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rops" sheetId="1" r:id="rId5"/>
    <sheet state="hidden" name="Index" sheetId="2" r:id="rId6"/>
    <sheet state="visible" name="FAQ" sheetId="3" r:id="rId7"/>
    <sheet state="visible" name="Linked Tasks" sheetId="4" r:id="rId8"/>
    <sheet state="visible" name="Localizações" sheetId="5" r:id="rId9"/>
    <sheet state="visible" name="Search" sheetId="6" r:id="rId10"/>
    <sheet state="hidden" name="PokeTalents" sheetId="7" r:id="rId11"/>
    <sheet state="visible" name="Star" sheetId="8" r:id="rId12"/>
    <sheet state="visible" name="Brokes" sheetId="9" r:id="rId13"/>
    <sheet state="visible" name="Tier List" sheetId="10" r:id="rId14"/>
    <sheet state="visible" name="Shiny Rate" sheetId="11" r:id="rId15"/>
    <sheet state="hidden" name="DGs" sheetId="12" r:id="rId16"/>
    <sheet state="visible" name="GYM" sheetId="13" r:id="rId17"/>
    <sheet state="visible" name="Tasks" sheetId="14" r:id="rId18"/>
    <sheet state="visible" name="Runes" sheetId="15" r:id="rId19"/>
    <sheet state="visible" name="Damage" sheetId="16" r:id="rId20"/>
    <sheet state="visible" name="Dungeons" sheetId="17" r:id="rId21"/>
    <sheet state="hidden" name="Star Level" sheetId="18" r:id="rId22"/>
    <sheet state="hidden" name="BH" sheetId="19" r:id="rId23"/>
    <sheet state="visible" name="Rocket" sheetId="20" r:id="rId24"/>
    <sheet state="visible" name="Police" sheetId="21" r:id="rId25"/>
    <sheet state="visible" name="Medals" sheetId="22" r:id="rId26"/>
    <sheet state="visible" name="Search Boost Items" sheetId="23" r:id="rId27"/>
    <sheet state="visible" name="Hazard Tasks" sheetId="24" r:id="rId28"/>
    <sheet state="visible" name="Search Dens" sheetId="25" r:id="rId29"/>
    <sheet state="visible" name="Sheet184" sheetId="26" r:id="rId30"/>
    <sheet state="visible" name="Porygon" sheetId="27" r:id="rId31"/>
    <sheet state="hidden" name="DgMobs" sheetId="28" r:id="rId32"/>
    <sheet state="hidden" name="DgItems" sheetId="29" r:id="rId33"/>
    <sheet state="hidden" name="Boost" sheetId="30" r:id="rId34"/>
  </sheets>
  <definedNames>
    <definedName name="POLIWAG">'Localizações'!$A$14</definedName>
    <definedName name="figh">Search!$A$1</definedName>
    <definedName name="blastoise">'Localizações'!$A$377:$A$387</definedName>
    <definedName name="vaporeon">#REF!</definedName>
    <definedName name="slowking">#REF!</definedName>
    <definedName name="StarObjetivo">'Star Level'!$A$15:$E$15</definedName>
    <definedName name="brown">Search!$A$4:$A$1000</definedName>
    <definedName name="rhydon">'Localizações'!$A$2</definedName>
    <definedName name="mouse">Search!$2:$2</definedName>
    <definedName name="charmander">Search!$A$2:$A$3</definedName>
    <definedName name="pinsir">'Localizações'!$C$128</definedName>
    <definedName name="miss">#REF!</definedName>
    <definedName name="forretres">#REF!</definedName>
    <definedName name="Typhlosion">'Localizações'!$B$392</definedName>
    <definedName name="rampardos">'Localizações'!$A$1</definedName>
    <definedName name="arca">'Localizações'!$E$14:$E$1000</definedName>
    <definedName name="ursarin">'Localizações'!$E$2:$E$13</definedName>
    <definedName name="hitmontop">'Localizações'!$C$274</definedName>
    <definedName name="fire">#REF!</definedName>
    <definedName name="onix">'Localizações'!$A:$A</definedName>
    <definedName name="Grass">'Tier List'!$C:$C</definedName>
    <definedName name="sky">Brokes!$A$1</definedName>
    <definedName name="seal">'Localizações'!$C$1</definedName>
    <definedName hidden="1" localSheetId="6" name="_xlnm._FilterDatabase">PokeTalents!$A$1:$I$10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Wild Ecruteak baixo = 3000/h
Wild Ecruteak meio = Quebra
Wild Ecruteak cima = Quebra
Ilhas Laranja direita cima = 2800/h
Ilhas Laranja esq baixo = Quebra
Ilhas Laranja direita baixo = Quebra
Ilhas Laranja esq cima = 2700/h</t>
      </text>
    </comment>
    <comment authorId="0" ref="B49">
      <text>
        <t xml:space="preserve">Sul da ponte = 3500/h</t>
      </text>
    </comment>
    <comment authorId="0" ref="B16">
      <text>
        <t xml:space="preserve">Laranja -1 norte = 2900/h
Laranja -1 sul = 2900/h</t>
      </text>
    </comment>
    <comment authorId="0" ref="B31">
      <text>
        <t xml:space="preserve">Shamouti subsolo = 3750/h
</t>
      </text>
    </comment>
    <comment authorId="0" ref="B45">
      <text>
        <t xml:space="preserve">Cima = 3220/h
</t>
      </text>
    </comment>
    <comment authorId="0" ref="B28">
      <text>
        <t xml:space="preserve">Ilhas Laranja = 3300/h</t>
      </text>
    </comment>
    <comment authorId="0" ref="B25">
      <text>
        <t xml:space="preserve">Direita (Pontes) = 2500</t>
      </text>
    </comment>
    <comment authorId="0" ref="B23">
      <text>
        <t xml:space="preserve">Direita = 2150/h</t>
      </text>
    </comment>
    <comment authorId="0" ref="B54">
      <text>
        <t xml:space="preserve">Canal = 2300/h</t>
      </text>
    </comment>
    <comment authorId="0" ref="B21">
      <text>
        <t xml:space="preserve">Esquerda = 2350/h
Direita = 2150/h</t>
      </text>
    </comment>
    <comment authorId="0" ref="B35">
      <text>
        <t xml:space="preserve">Rotação sul = 2700/h
Rotação norte = 2750/h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Pokes queimados pra subir a estrela do seu pokemon</t>
      </text>
    </comment>
  </commentList>
</comments>
</file>

<file path=xl/sharedStrings.xml><?xml version="1.0" encoding="utf-8"?>
<sst xmlns="http://schemas.openxmlformats.org/spreadsheetml/2006/main" count="7136" uniqueCount="2132">
  <si>
    <t>star</t>
  </si>
  <si>
    <t>Qtd</t>
  </si>
  <si>
    <t>Pokemon</t>
  </si>
  <si>
    <t>Tipo de hunt</t>
  </si>
  <si>
    <t>Hunt</t>
  </si>
  <si>
    <t>Kills/h</t>
  </si>
  <si>
    <t>Rattata</t>
  </si>
  <si>
    <t>Normal</t>
  </si>
  <si>
    <r>
      <rPr>
        <sz val="16.0"/>
      </rPr>
      <t xml:space="preserve">Pra ver as tasks, aperta Ctrl L no jogo
Completando uma task, libera a próxima
Mais detalhes: </t>
    </r>
    <r>
      <rPr>
        <color rgb="FF1155CC"/>
        <sz val="16.0"/>
        <u/>
      </rPr>
      <t>https://discord.com/channels/1159230367803392022/1159230368940032093/1495879078094311494</t>
    </r>
  </si>
  <si>
    <t>Oddish</t>
  </si>
  <si>
    <t>Geodude</t>
  </si>
  <si>
    <t>Mankey</t>
  </si>
  <si>
    <t>Rhyhorn</t>
  </si>
  <si>
    <t>Gloom</t>
  </si>
  <si>
    <t>Star Ascension: wiki.pokealliance.com/sistemas/star-machine  /  Calculadora de custos pra estrelar: tinyurl.com/planilha-pka-star     A máquina fica subindo uma escada no TC</t>
  </si>
  <si>
    <t>",</t>
  </si>
  <si>
    <t>boost</t>
  </si>
  <si>
    <r>
      <rPr>
        <rFont val="Arial"/>
      </rPr>
      <t xml:space="preserve">Boost Pokémon: </t>
    </r>
    <r>
      <rPr>
        <rFont val="Arial"/>
        <color rgb="FF1155CC"/>
        <u/>
      </rPr>
      <t>wiki.pokealliance.com/guias/boost_stone</t>
    </r>
    <r>
      <rPr>
        <rFont val="Arial"/>
      </rPr>
      <t xml:space="preserve">      A máquina de boost fica no meio do TC, do lado direito</t>
    </r>
  </si>
  <si>
    <t>Graveler</t>
  </si>
  <si>
    <t>up</t>
  </si>
  <si>
    <t>Guia de up até o lvl 150: https://discord.com/channels/1159230367803392022/1308522087517782047     /     Primeiros passos: wiki.pokealliance.com/guias/primeiros-passos</t>
  </si>
  <si>
    <r>
      <rPr>
        <rFont val="Arial"/>
        <b/>
        <sz val="17.0"/>
      </rPr>
      <t xml:space="preserve">Como usar
</t>
    </r>
    <r>
      <rPr>
        <rFont val="Arial"/>
        <b/>
        <sz val="12.0"/>
      </rPr>
      <t xml:space="preserve">- Aperte Ctrl+F
- Pesquise o nome do Pokémon que quer caçar
Ilhas Laranja: </t>
    </r>
    <r>
      <rPr>
        <rFont val="Arial"/>
        <b/>
        <color rgb="FF1155CC"/>
        <sz val="12.0"/>
      </rPr>
      <t>https://imgur.com/a/FV42d75</t>
    </r>
    <r>
      <rPr>
        <rFont val="Arial"/>
        <b/>
        <sz val="17.0"/>
      </rPr>
      <t xml:space="preserve">
</t>
    </r>
    <r>
      <rPr>
        <rFont val="Arial"/>
        <b/>
        <sz val="12.0"/>
      </rPr>
      <t xml:space="preserve">Hoenn: </t>
    </r>
    <r>
      <rPr>
        <rFont val="Arial"/>
        <b/>
        <color rgb="FF1155CC"/>
        <sz val="12.0"/>
        <u/>
      </rPr>
      <t>https://imgur.com/a/Uwf1wBW</t>
    </r>
  </si>
  <si>
    <t>fly</t>
  </si>
  <si>
    <t>Order no seu pé pra montar no fly. Subir e descer configura as hotkeys no Ctrl K -&gt; Movements -&gt; Fly Up e Fly Down. Se quiser tirar os botões que aparecem na tela, é em Config -&gt; Game -&gt; Show Fly Up/Down buttons</t>
  </si>
  <si>
    <t>ilhas laranja</t>
  </si>
  <si>
    <t>Ilhas laranja (lvl150+): Fala com o Captain Frederic, na praia sul de Cianwood, e depois pega a chave escondida atrás do coqueiro (imgur.com/a/uu36dVY), e entrega a chave para o capitão. Depois só voar pra ilha que precisa ir</t>
  </si>
  <si>
    <t>mapa</t>
  </si>
  <si>
    <t>Pra liberar o mapa completo: tinyurl.com/discord-pka-mapa     Fecha o jogo, e importa o arquivo pelo launcher: imgur.com/a/FzbjhL0</t>
  </si>
  <si>
    <t>ditto</t>
  </si>
  <si>
    <t>Pra fazer o shiny Ditto: wiki.pokealliance.com/quests/quests-principais#dr-oliveira-e-shiny-ditto     O NPC Fica no lab de Pallet</t>
  </si>
  <si>
    <t>combo autocombo</t>
  </si>
  <si>
    <r>
      <rPr>
        <rFont val="Arial"/>
        <color rgb="FF1155CC"/>
        <u/>
      </rPr>
      <t xml:space="preserve">Autocombo: Botão direito nas skills -&gt; Open Auto Combo. Arrasta a skills pra baixo na ordem que quiser. Fecha a interface, botão direito no terceiro botão da action bar (o monstrinho) e seta a hotkey. </t>
    </r>
    <r>
      <rPr>
        <rFont val="Arial"/>
        <color rgb="FF1155CC"/>
        <u/>
      </rPr>
      <t>imgur.com/6xFdECI</t>
    </r>
  </si>
  <si>
    <t>Golbat</t>
  </si>
  <si>
    <t>pesca</t>
  </si>
  <si>
    <t>Pra pescar, tem que procurar os fishing spots (uns peixes na água) direita ou sul de Saffron. Quando achar, aperta Ctrl Z e clica nele. Pescar só upa a skill de pesca, não da xp pro personagem, e nem vem muito shiny</t>
  </si>
  <si>
    <t>fundir</t>
  </si>
  <si>
    <r>
      <rPr>
        <rFont val="Arial"/>
        <color rgb="FF1155CC"/>
        <u/>
      </rPr>
      <t xml:space="preserve">Fundir helds: </t>
    </r>
    <r>
      <rPr>
        <rFont val="Arial"/>
        <color rgb="FF1155CC"/>
        <u/>
      </rPr>
      <t>wiki.pokealliance.com/sistemas/helds#fusao-de-helds    A máquina fica no meio do TC</t>
    </r>
  </si>
  <si>
    <t>trocar</t>
  </si>
  <si>
    <t>Trocar tokens por helds: youtu.be/Bvq8_LrDuXo?t=50</t>
  </si>
  <si>
    <t>cupom</t>
  </si>
  <si>
    <t>Cupons: Biskella, Anunaki, Bandicot, Lemes, Safnaw, Loxas, Lele, Emprego, Twooplayerss, Kaka, Lixito</t>
  </si>
  <si>
    <t>Tangela</t>
  </si>
  <si>
    <t>aura addon skill</t>
  </si>
  <si>
    <t>Trocar Aura/Addon/Nome/Training: Com o poke pra dentro, Ctrl Click na ball e seleciona "Customize Pokeball"</t>
  </si>
  <si>
    <t>prey</t>
  </si>
  <si>
    <t>Sistema de prey: wiki.pokealliance.com/sistemas/prey</t>
  </si>
  <si>
    <t>offensive defensive</t>
  </si>
  <si>
    <t>Pra setar offensive/defensive: Ctrl K -&gt; Pokemon -&gt; As últimas opções. imgur.com/a/0hqCnBb</t>
  </si>
  <si>
    <t>shard dg</t>
  </si>
  <si>
    <t>Arcane shards: wiki.pokealliance.com/sistemas/arcane-shards-dungeons     /     Como chegar em cada dungeon: tinyurl.com/planilha-pka-dgs</t>
  </si>
  <si>
    <t>treino treinar punching</t>
  </si>
  <si>
    <t>Sistema de treinamento: wiki.pokealliance.com/sistemas/treinamento                Pra treinar sem house é descendo uma escada no TC, e vai pro lado direito. Precisa comprar Punching Bag Premium Charger na DD Store -&gt; Promotions</t>
  </si>
  <si>
    <t>vender</t>
  </si>
  <si>
    <t>Pra vender um item no market é só arrastar ele pra interface. Não pode ser item unique.</t>
  </si>
  <si>
    <t>july</t>
  </si>
  <si>
    <t>Compra camera/decoração/backpack com a NPC July, na entrada do TC &gt;</t>
  </si>
  <si>
    <t>medalha</t>
  </si>
  <si>
    <t>Sistema de medalhas: wiki.pokealliance.com/sistemas/medal-system            Inicio da quest é com NPC sul de Petalburg</t>
  </si>
  <si>
    <t>carteira</t>
  </si>
  <si>
    <t>Pra ver o dinheiro é no Perfil (Ctrl T) -&gt; Carteira</t>
  </si>
  <si>
    <t>expedition</t>
  </si>
  <si>
    <r>
      <rPr>
        <rFont val="Arial"/>
        <color rgb="FF1155CC"/>
        <u/>
      </rPr>
      <t xml:space="preserve">Expeditions: </t>
    </r>
    <r>
      <rPr>
        <rFont val="Arial"/>
        <color rgb="FF1155CC"/>
        <u/>
      </rPr>
      <t>www.youtube.com/watch?v=hPkmXE61Y18</t>
    </r>
  </si>
  <si>
    <t>Marowak</t>
  </si>
  <si>
    <t>hunt</t>
  </si>
  <si>
    <t>Localizações das hunts:   tinyurl.com/planilha-pka-hunts  &lt;-- Nesse link tem como chegar nas hunts, e também da pra ver pela Pokédex dentro do jogo, clicando na lupa do lado da foto dele na dex. Filtra por normal/wild na esquerda/cima</t>
  </si>
  <si>
    <t>maxima media</t>
  </si>
  <si>
    <t>Máxima de brokes por tier (só shiny):  tinyurl.com/planilha-pka-brokes          /          Médias dos pokemons:  criticalcatch-pkatools.vercel.app/averages</t>
  </si>
  <si>
    <t>passe</t>
  </si>
  <si>
    <t>Game Pass é acessado no menu superior, segundo botão. Pra ganhar as moedas da loja, precisa upar depois do lvl 50. 1 lvl = 1 moeda</t>
  </si>
  <si>
    <t>linked</t>
  </si>
  <si>
    <t>Linked Tasks: tinyurl.com/planilha-pka-linked-tasks   //   Mais detalhes: wiki.pokealliance.com/sistemas/linked-tasks</t>
  </si>
  <si>
    <t>revive</t>
  </si>
  <si>
    <t>Pra conseguir uns revives, tem uma box grátis na Store (No menu superior) -&gt; Character -&gt; Starter Box. As conquistas (Ctrl T) e Linked Tasks (Ctrl L) tbm dão</t>
  </si>
  <si>
    <t>mega</t>
  </si>
  <si>
    <t>Megas: wiki.pokealliance.com/sistemas/hazard-mega-dens     Só a mega Clefable aparece na wildscape delas</t>
  </si>
  <si>
    <t>togepi</t>
  </si>
  <si>
    <t>Pra evoluir Togepi/Eevee/Golbat/Chansey, mate pokemons com ele pra subir a barra de felicidade em baixo da vida dele, e ele estar pronto e começar a brilhar. Mas não compensa evoluir o togepi, ele perde a skill de cura</t>
  </si>
  <si>
    <t>vip</t>
  </si>
  <si>
    <t>Benefícios de ser VIP: Autoloot, Teleport, Loot Stash, Guild Boss, Comprar House, Brotherhood, Rockets, Officers, Clones</t>
  </si>
  <si>
    <t>legendary</t>
  </si>
  <si>
    <r>
      <rPr>
        <rFont val="Arial"/>
        <color rgb="FF1155CC"/>
        <u/>
      </rPr>
      <t xml:space="preserve">Shiny tier lendário só spawna na Mewtwo Island. Precisa lvl 350+ pra acessar e caça usando rotação de pokes. Nas wildscapes deles, nascem T1s do tipo respectivo: </t>
    </r>
    <r>
      <rPr>
        <rFont val="Arial"/>
        <color rgb="FF1155CC"/>
        <u/>
      </rPr>
      <t>https://discord.com/channels/1159230367803392022/1235107027026448385/1492317824306384998</t>
    </r>
  </si>
  <si>
    <t>Electrode</t>
  </si>
  <si>
    <t>caveira</t>
  </si>
  <si>
    <t>Hunts com caveira são as Wildscapes. Precisa lvl 150 pra ganhar xp. Lá os pokes são mais fortes, tem drop rate maior e vem mais shiny</t>
  </si>
  <si>
    <t>bh</t>
  </si>
  <si>
    <r>
      <rPr>
        <rFont val="Arial"/>
        <color rgb="FF1155CC"/>
        <u/>
      </rPr>
      <t xml:space="preserve">BH: </t>
    </r>
    <r>
      <rPr>
        <rFont val="Arial"/>
        <color rgb="FF1155CC"/>
        <u/>
      </rPr>
      <t>https://discord.com/channels/1159230367803392022/1308285144943034398/1460010127838150699</t>
    </r>
  </si>
  <si>
    <t>kecleon</t>
  </si>
  <si>
    <t>Pra vender stones é com o NPC Kecleon, na entrada do TC -&gt;</t>
  </si>
  <si>
    <t>balls</t>
  </si>
  <si>
    <t>Magneton</t>
  </si>
  <si>
    <t>AB=5x, PB=4x, Elemental=5x, UB=4x. AB e PB não consideram o sistema de mérito (sempre contam como se fosse a primeira ball jogada). Mas AB e PB somam pro total de brokes (pra quando for usar UB/Elemental). Elem &gt; UB &gt; AB &gt; PB</t>
  </si>
  <si>
    <t>hoenn</t>
  </si>
  <si>
    <t>Ir pra Hoenn (Lvl250): Fala com os profs em Pallet e New Bark, depois pro NPC Hank sul de Goldenrod (imgur.com/a/AOqN6L0) e clica no trailer pra ir pra Hoenn. O prof Birch fica na hunt de Poochyena (imgur.com/a/AV1brbq)</t>
  </si>
  <si>
    <t>pokelog</t>
  </si>
  <si>
    <t>Pokelog acessa no Ctrl T. Mais detalhes:     wiki.pokealliance.com/sistemas/pokelog</t>
  </si>
  <si>
    <t>hazard</t>
  </si>
  <si>
    <t>Tasks do hazard: tinyurl.com/planilha-pka-hazard     /     Mais infos: https://discord.com/channels/1159230367803392022/1159230368940032093/1445053824707330221</t>
  </si>
  <si>
    <t>stash</t>
  </si>
  <si>
    <t>Fecha o stash e arrasta o item pra cima da caixa azul no TC, como se fosse dropar em cima. Se forem muitos itens pra guardar, coloca numa bagzinha e arrasta ela</t>
  </si>
  <si>
    <t>orb</t>
  </si>
  <si>
    <t>Todos os orbs são usados nos Poketalents. Da pra ver eles no Ctrl T -&gt; Talentos. Mais detalhes: wiki.pokealliance.com/sistemas/talentos</t>
  </si>
  <si>
    <t>dex</t>
  </si>
  <si>
    <t>Dex é o primeiro botão da action bar. Botao direito nele pra setar uma hotkey. Ou seta direto a hotkey no Ctrl K -&gt; Action Bar -&gt; Action Bar Pokedex</t>
  </si>
  <si>
    <t>discord</t>
  </si>
  <si>
    <t>discord.gg/pokealliance</t>
  </si>
  <si>
    <t>Fearow</t>
  </si>
  <si>
    <t>tierlist</t>
  </si>
  <si>
    <r>
      <rPr>
        <rFont val="Arial"/>
        <color rgb="FF1F1F1F"/>
      </rPr>
      <t xml:space="preserve">Tierlist: </t>
    </r>
    <r>
      <rPr>
        <rFont val="Arial"/>
        <color rgb="FF1155CC"/>
        <u/>
      </rPr>
      <t>wiki.pokealliance.com/pokemon</t>
    </r>
    <r>
      <rPr>
        <rFont val="Arial"/>
      </rPr>
      <t xml:space="preserve">          //          </t>
    </r>
    <r>
      <rPr>
        <rFont val="Arial"/>
        <color rgb="FF1155CC"/>
        <u/>
      </rPr>
      <t>tinyurl.com/planilha-pka-tierlist</t>
    </r>
  </si>
  <si>
    <t>Venusaur</t>
  </si>
  <si>
    <t>talents</t>
  </si>
  <si>
    <t>Talentos de dano são os do tipo do move que será usado. Talentos de defesa são os do tipo do Pokemon que será usado. Se o pokemon tiver dois tipos, precisa fazer os talents de defesa dos dois pra ter 100% da eficácia</t>
  </si>
  <si>
    <t>tp teleport</t>
  </si>
  <si>
    <t>Pra dar TP, Ctrl Tab e clica no nome da cidade. Precisa de VIP e ter falado com a Joy no CP da cidade. O cooldown base é 30min, e diminui conforme o held de tp quer tiver no pokemon (t1=25min, t2=22min, t3=20min, t4=15min, t5=10min, t6=5min, t7=1min)</t>
  </si>
  <si>
    <t>rosemary</t>
  </si>
  <si>
    <t>Remover helds é com a NPC Rosemary, na entrada do TC à direita. Fala hi -&gt; remove -&gt; {NomeDoHeld}        wiki.pokealliance.com/sistemas/helds#como-retirar-um-held</t>
  </si>
  <si>
    <t>heather</t>
  </si>
  <si>
    <t>Vender pokes é com a NPC Heather, na entrada do TC, do lado esquerdo</t>
  </si>
  <si>
    <t>rockets</t>
  </si>
  <si>
    <t>Rockets: tinyurl.com/planilha-pka-rockets     /     Mais detalhes: wiki.pokealliance.com/sistemas/rockets-semanais</t>
  </si>
  <si>
    <t>ginasios gyms</t>
  </si>
  <si>
    <t>Gyms: tinyurl.com/planilha-pka-gyms     /     Mais detalhes: wiki.pokealliance.com/sistemas/gyms-kanto-hoenn#etapas-de-cada-gym</t>
  </si>
  <si>
    <t>normal</t>
  </si>
  <si>
    <t>Pokemon não-shiny não tem como calcular uma média dos catches pq  eles não aparecem no discord pra poder calcular. A máxima de não-shiny até T2 fica em torno de 5k, e de T1 120k+</t>
  </si>
  <si>
    <t>memory</t>
  </si>
  <si>
    <t>Memory: Ctrl Click na ball e seleciona "Ditto Memory". Daí clica nos slots pra ir comprando. Custa 30, 40, 50, 60 e 70DD pra desbloquear os slots, respectivamente. Só funciona no Shiny Ditto</t>
  </si>
  <si>
    <t>johto</t>
  </si>
  <si>
    <t>pra ir pras cidades de Johto, vai voando pela água ao sul de New Bark (Ctrl Tab pra ver o mapa), ou pode pegar o barco em Vermilion até Olivine por 50k</t>
  </si>
  <si>
    <t>held</t>
  </si>
  <si>
    <t>Com o poke pra dentro, usa o held na ball. Tem que começar pelo tier 1 do held e ir subindo na ordem (t2, t3...). Mais infos:     wiki.pokealliance.com/sistemas/helds</t>
  </si>
  <si>
    <t>share</t>
  </si>
  <si>
    <r>
      <rPr>
        <rFont val="Arial"/>
        <color rgb="FF1155CC"/>
        <u/>
      </rPr>
      <t xml:space="preserve">Compartilhar xp: Padrão=15lvls / Ilhas laranja=30lvls / Hoenn=80lvls. Mais detalhes: </t>
    </r>
    <r>
      <rPr>
        <rFont val="Arial"/>
        <color rgb="FF1155CC"/>
        <u/>
      </rPr>
      <t>https://discord.com/channels/1159230367803392022/1308285144943034398/1460739112435712022</t>
    </r>
  </si>
  <si>
    <t>Blastoise</t>
  </si>
  <si>
    <t>espeon umbreon</t>
  </si>
  <si>
    <t>Espeon = entre 06:00 e 17:59 no relógio do minimap. Umbreon = entre 18:00 e 05:59. O ciclo de 12h no jogo dura 2h no tempo real</t>
  </si>
  <si>
    <t>bless</t>
  </si>
  <si>
    <r>
      <rPr>
        <rFont val="Arial"/>
        <color rgb="FF1155CC"/>
        <u/>
      </rPr>
      <t xml:space="preserve">Pra comprar bless é com a enfermeira Joy no CP abandonado direita de Fuchsia. </t>
    </r>
    <r>
      <rPr>
        <rFont val="Arial"/>
        <color rgb="FF1155CC"/>
        <u/>
      </rPr>
      <t>imgur.com/a/ZRjJxLj</t>
    </r>
  </si>
  <si>
    <t>porygon</t>
  </si>
  <si>
    <t>Quest do Porygon: wiki.pokealliance.com/quests/porygon-dr-vektor     /     tinyurl.com/planilha-pka-porygon</t>
  </si>
  <si>
    <t>loot</t>
  </si>
  <si>
    <t>Os itens vão pro Loot Stash. É o ícone de uma caixa no menu superior</t>
  </si>
  <si>
    <t>order</t>
  </si>
  <si>
    <t>Order é o segundo botão na action bar (a mãozinha). Botão direito nela pra setar a hotkey</t>
  </si>
  <si>
    <t>brokes</t>
  </si>
  <si>
    <t>Pra ver as brokes é no Ctrl T -&gt; Pokemon Brokes, ou usando o comando !pokeball "shiny nomedopoke</t>
  </si>
  <si>
    <t>house</t>
  </si>
  <si>
    <t>Comprar house precisa lvl 200, VIP e ter o dinheiro na carteira. Clica na porta pra fazer o bid. Se tiver casas vazias pra comprar, aparece o ícone no Ctrl Tab, e depois que comprar usa !houseinfo wiki.pokealliance.com/sistemas/houses-e-bids</t>
  </si>
  <si>
    <t>twitch</t>
  </si>
  <si>
    <r>
      <rPr>
        <rFont val="Arial"/>
        <color rgb="FF1155CC"/>
        <u/>
      </rPr>
      <t xml:space="preserve">Twitch: </t>
    </r>
    <r>
      <rPr>
        <rFont val="Arial"/>
        <color rgb="FF1155CC"/>
        <u/>
      </rPr>
      <t>wiki.pokealliance.com/sistemas/twitch-shop</t>
    </r>
    <r>
      <rPr>
        <rFont val="Arial"/>
        <color rgb="FF1155CC"/>
        <u/>
      </rPr>
      <t xml:space="preserve">                 Sem previsão pra abrir no Titan</t>
    </r>
  </si>
  <si>
    <t>Charizard</t>
  </si>
  <si>
    <t>amulet</t>
  </si>
  <si>
    <r>
      <rPr>
        <rFont val="Arial"/>
        <color rgb="FF1155CC"/>
        <u/>
      </rPr>
      <t xml:space="preserve">Lucky Amulet (Lvl 250+): </t>
    </r>
    <r>
      <rPr>
        <rFont val="Arial"/>
        <color rgb="FF1155CC"/>
        <u/>
      </rPr>
      <t>https://discord.com/channels/1159230367803392022/1367202787208859759/1367206876458254407</t>
    </r>
    <r>
      <rPr>
        <rFont val="Arial"/>
        <color rgb="FF1155CC"/>
        <u/>
      </rPr>
      <t xml:space="preserve">     /     wiki.pokealliance.com/quests/lucky_amulet</t>
    </r>
  </si>
  <si>
    <t>corte</t>
  </si>
  <si>
    <t>Cortes de xp acontecem nos lvls: 100 130 150 200 320 400</t>
  </si>
  <si>
    <t>hydreigon</t>
  </si>
  <si>
    <t>Hydreigon: https://discord.com/channels/1159230367803392022/1308285144943034398/1460007176562016448</t>
  </si>
  <si>
    <t>foil</t>
  </si>
  <si>
    <t xml:space="preserve">Energy foils são teleports pras hunts de hoen (lvl 250+). Precisa ter ido nos waypoints (fotos dos pokes no Ctrl Tab) pra liberar o tp antes de usar </t>
  </si>
  <si>
    <t>elixir</t>
  </si>
  <si>
    <t>Pra não tomar miss tem o Guardian Elixir. Compra no NPC Mark, ou na Twitch Store no menu superior -&gt; Store -&gt; Twitch Shop</t>
  </si>
  <si>
    <t>radar</t>
  </si>
  <si>
    <r>
      <rPr>
        <rFont val="Arial"/>
        <color rgb="FF1155CC"/>
        <u/>
      </rPr>
      <t xml:space="preserve">Como funcionam os radares da Brotherhood: </t>
    </r>
    <r>
      <rPr>
        <rFont val="Arial"/>
        <color rgb="FF1155CC"/>
        <u/>
      </rPr>
      <t>youtube.com/shorts/IssTYDDWpBo</t>
    </r>
  </si>
  <si>
    <t>Ampharos</t>
  </si>
  <si>
    <t>berry</t>
  </si>
  <si>
    <r>
      <rPr>
        <rFont val="Arial"/>
        <color rgb="FF1155CC"/>
        <u/>
      </rPr>
      <t xml:space="preserve">Berries na loja do Global Buff: </t>
    </r>
    <r>
      <rPr>
        <rFont val="Arial"/>
        <color rgb="FF1155CC"/>
        <u/>
      </rPr>
      <t>https://discord.com/channels/1159230367803392022/1159230368940032093/1503091998884626725</t>
    </r>
  </si>
  <si>
    <t>Wild</t>
  </si>
  <si>
    <t>global buffs</t>
  </si>
  <si>
    <t>Global buffs: wiki.pokealliance.com/sistemas/global-buff</t>
  </si>
  <si>
    <t>pokestop</t>
  </si>
  <si>
    <t>Configurar Pokestop: Ctrl K -&gt; Player Actions -&gt; Pokestop</t>
  </si>
  <si>
    <t>rotações</t>
  </si>
  <si>
    <t>Rotações pra Hoenn: docs.google.com/document/d/1mVsLDJnSddFdjA3r_Gm66L9E5VVb1nAm (Créditos: Shaolin Pig Slayer - MOON)</t>
  </si>
  <si>
    <t>speed</t>
  </si>
  <si>
    <t>Tier 7 até Tier 4: 500 de velocidade //  Tier 3: 600 de velocidade // Tier 2: 700 de velocidade //  Tier 1: 800 de velocidade // SR, UR e Legendary: 1000 de velocidade</t>
  </si>
  <si>
    <t>taunt</t>
  </si>
  <si>
    <t>Ctrl K -&gt; Player Actions -&gt; Start Outfit Taunt</t>
  </si>
  <si>
    <t>heracross</t>
  </si>
  <si>
    <t>NPC Heracross: 1986, 2014, 6</t>
  </si>
  <si>
    <t>clones</t>
  </si>
  <si>
    <t>Clones: wiki.pokealliance.com/sistemas/clones</t>
  </si>
  <si>
    <t>util</t>
  </si>
  <si>
    <t>Drop de shiny não da pra vender em NPC. Se for de primeira evolução pode ser usado nos talentos (Ctrl T). Se não for, não tem uso. Se o drop for de evolução, serve pra evoluir a pré-evolução respectiva</t>
  </si>
  <si>
    <t>autorevive</t>
  </si>
  <si>
    <t>Arrasta o revive pra action bar e seleciona Auto Revive. Depois clica com o botão direito na barra pra setar a hotkey.    imgur.com/a/LsV35UJ</t>
  </si>
  <si>
    <t>bid</t>
  </si>
  <si>
    <r>
      <rPr>
        <rFont val="Arial"/>
      </rPr>
      <t xml:space="preserve">Lances/bids de house: </t>
    </r>
    <r>
      <rPr>
        <rFont val="Arial"/>
        <color rgb="FF1155CC"/>
        <u/>
      </rPr>
      <t>wiki.pokealliance.com/sistemas/houses-e-bids</t>
    </r>
    <r>
      <rPr>
        <rFont val="Arial"/>
      </rPr>
      <t xml:space="preserve">     /     </t>
    </r>
    <r>
      <rPr>
        <rFont val="Arial"/>
        <color rgb="FF1155CC"/>
        <u/>
      </rPr>
      <t>https://discord.com/channels/1159230367803392022/1159230368940032093/1515868878373130332</t>
    </r>
  </si>
  <si>
    <t>wonka</t>
  </si>
  <si>
    <t>Wonka Golden Ticket é do evento de páscoa. Deve voltar no ano que vem</t>
  </si>
  <si>
    <t>voucher</t>
  </si>
  <si>
    <t>Alliance Voucher só é dado como compensação quando tem alguma instabilidade no servidor</t>
  </si>
  <si>
    <t>zap</t>
  </si>
  <si>
    <t>Comunidade oficial do PKA no Whatsapp: chat.whatsapp.com/DkjmJXgB6vgLwXGyr2dRYb  (Trade e Chat)  //  Trade 2:  https://chat.whatsapp.com/I8V1bnZRRVC2bNodHqekai</t>
  </si>
  <si>
    <t>walk</t>
  </si>
  <si>
    <t>Configurar walk/fly automático: Ctrl K -&gt; Player Actions -&gt; Walk</t>
  </si>
  <si>
    <t>ancient</t>
  </si>
  <si>
    <t>Único jeito de conseguir Ancient Stone é como recompensa na quest do Flint: https://discord.com/channels/1159230367803392022/1308283917266059304</t>
  </si>
  <si>
    <t>seta efeito</t>
  </si>
  <si>
    <t>Efeitos de drops: Ctrl click no personagem -&gt; Set Outfit -&gt; Loot Effects</t>
  </si>
  <si>
    <t>zoom</t>
  </si>
  <si>
    <t>Diminuir o zoom: Configs -&gt; Graphics -&gt; HudScale Percent. Se já tiver em 100%, só aumentando a resolução do monitor (O jogo ta otimizado pra 1920x1080). Jogar no modo clássico tbm diminui (Ctrl Ponto)</t>
  </si>
  <si>
    <t>autoball</t>
  </si>
  <si>
    <r>
      <rPr>
        <rFont val="Arial"/>
        <color rgb="FF1155CC"/>
        <u/>
      </rPr>
      <t xml:space="preserve">Pra só pressionar a hotkey e ir passando o mouse nos corpos pra jogar ball, seleciona "Smart Use" na ação da ball, e "On Key Press" na hotkey da ball.     </t>
    </r>
    <r>
      <rPr>
        <rFont val="Arial"/>
        <color rgb="FF1155CC"/>
        <u/>
      </rPr>
      <t>imgur.com/a/wsBc9WF</t>
    </r>
  </si>
  <si>
    <t>moving</t>
  </si>
  <si>
    <t>Pra mudar a cidade inicial tem que usar o Moving Ticket. É um verde que vc ganhou quando criou a conta. Se já usou, da pra comprar outro na Store -&gt; Characater</t>
  </si>
  <si>
    <t>police</t>
  </si>
  <si>
    <t>Police: tinyurl.com/planilha-pka-police     /     Mais detalhes: wiki.pokealliance.com/sistemas/polices-semanais</t>
  </si>
  <si>
    <t>corpse bride</t>
  </si>
  <si>
    <t>Corpse Bride Ticket era do evento do dia dos namorados. Já terminou, agora não da mais pra usar</t>
  </si>
  <si>
    <t>moomoo moo</t>
  </si>
  <si>
    <t>Moomoo Milk Quest(Lvl 300+): https://discord.com/channels/1159230367803392022/1525116514116567080</t>
  </si>
  <si>
    <t>tyrogue</t>
  </si>
  <si>
    <t>Serve pra evoluir o tyrogue. Na dex dele da pra ver qual item usa pra cada evolução</t>
  </si>
  <si>
    <t>roupa</t>
  </si>
  <si>
    <t>Roupa de Ski (Levar 3 Ice Stone): imgur.com/a/zyBfjzG // Sandboard (Levar 3 Enigma Stone): imgur.com/bUSyhB4 // Roupa de Mergulho (Levar 3 Water Stone): imgur.com/xWkxgwg Se a conta foi criada depois de 09/05/2026 ja tem as roupas</t>
  </si>
  <si>
    <t>fraqueza</t>
  </si>
  <si>
    <t>Olha na dex quais as fraquezas do pokemon. Usa o maior tier que vc conseguir pegar que bata efetivo: wiki.pokealliance.com/pokemon</t>
  </si>
  <si>
    <t>recovery</t>
  </si>
  <si>
    <r>
      <rPr>
        <rFont val="Arial"/>
        <color rgb="FF1155CC"/>
        <u/>
      </rPr>
      <t xml:space="preserve">Recovery Key: </t>
    </r>
    <r>
      <rPr>
        <rFont val="Arial"/>
        <color rgb="FF1155CC"/>
        <u/>
      </rPr>
      <t>https://discord.com/channels/1159230367803392022/1235107027026448385/1525600910506725576</t>
    </r>
  </si>
  <si>
    <t>money</t>
  </si>
  <si>
    <t>ve na aba Sell do market os drops que a galera ta pagando mais, e farma elas pra vender</t>
  </si>
  <si>
    <t>npc task</t>
  </si>
  <si>
    <t>NPC Tasks: tinyurl.com/planilha-pka-tasks   &lt;- Localizações   //   wiki.pokealliance.com/sistemas/tasks-do-mundo   &lt;- Recompensas, e mais infos</t>
  </si>
  <si>
    <t>isca</t>
  </si>
  <si>
    <r>
      <rPr>
        <rFont val="Arial"/>
        <color rgb="FF1155CC"/>
        <u/>
      </rPr>
      <t xml:space="preserve">Pra comprar isca é com o NPC Fisherman, norte/esquerda do market de Saffron: </t>
    </r>
    <r>
      <rPr>
        <rFont val="Arial"/>
        <color rgb="FF1155CC"/>
        <u/>
      </rPr>
      <t>imgur.com/a/NVhr3YD</t>
    </r>
  </si>
  <si>
    <t>drop</t>
  </si>
  <si>
    <t>Pra saber qual poke dropa um item específico:      tinyurl.com/planilha-pka-drops      Ou segura Shift na tela dos talentos/boost  Ou Ctrl click -&gt; Consultar Drops</t>
  </si>
  <si>
    <t>ping</t>
  </si>
  <si>
    <r>
      <rPr>
        <rFont val="Arial"/>
        <color rgb="FF1155CC"/>
        <u/>
      </rPr>
      <t xml:space="preserve">Nâo tem como ver o ping dentro do jogo. O mais próximo é mandar um "ping </t>
    </r>
    <r>
      <rPr>
        <rFont val="Arial"/>
        <color rgb="FF1155CC"/>
        <u/>
      </rPr>
      <t>pokealliance.com</t>
    </r>
    <r>
      <rPr>
        <rFont val="Arial"/>
        <color rgb="FF1155CC"/>
        <u/>
      </rPr>
      <t>" no cmd</t>
    </r>
  </si>
  <si>
    <t>100k cargas premium upam 1 pokemon do lvl 0 até lvl 23 + 30%</t>
  </si>
  <si>
    <r>
      <rPr>
        <rFont val="Arial"/>
        <color rgb="FF1155CC"/>
        <u/>
      </rPr>
      <t xml:space="preserve">Depois do lvl 150 vc upa em qualquer wildscape (hunt com caveira) que vc tenha pokes pra caçar: </t>
    </r>
    <r>
      <rPr>
        <rFont val="Arial"/>
        <color rgb="FF1155CC"/>
        <u/>
      </rPr>
      <t>tinyurl.com/planilha-pka-hunts</t>
    </r>
  </si>
  <si>
    <t>tubos</t>
  </si>
  <si>
    <r>
      <rPr>
        <rFont val="Arial"/>
        <color rgb="FF1155CC"/>
        <u/>
      </rPr>
      <t xml:space="preserve">Tubos (Hunt lvl 350+):  </t>
    </r>
    <r>
      <rPr>
        <rFont val="Arial"/>
        <color rgb="FF1155CC"/>
        <u/>
      </rPr>
      <t>imgur.com/a/wFcUcVR</t>
    </r>
  </si>
  <si>
    <t>python</t>
  </si>
  <si>
    <t>Fiz um scriptzinho em python onde eu aperto um atalho, digito uma palavra chave da pergunta, e ele ja traz a mensagem pro meu Ctrl C</t>
  </si>
  <si>
    <t>qwilfish</t>
  </si>
  <si>
    <r>
      <rPr>
        <rFont val="Arial"/>
        <color rgb="FF1155CC"/>
        <u/>
      </rPr>
      <t xml:space="preserve">NPC pra trocar o item do Qwilfish pelo shiny: </t>
    </r>
    <r>
      <rPr>
        <rFont val="Arial"/>
        <color rgb="FF1155CC"/>
        <u/>
      </rPr>
      <t>imgur.com/a/fmnPze7</t>
    </r>
  </si>
  <si>
    <t>reinicia reabre</t>
  </si>
  <si>
    <t>Reabre o client, e força atualização pelo launcher, clicando na engrenagem em cima/direita -&gt; Verificar atualizações</t>
  </si>
  <si>
    <t>package</t>
  </si>
  <si>
    <t>Usa um Package Kit no item pra tirar ele da house. Compra por 1k na NPC July na entrada do TC -&gt;</t>
  </si>
  <si>
    <t>quest</t>
  </si>
  <si>
    <r>
      <rPr>
        <rFont val="Arial"/>
        <color rgb="FF1155CC"/>
        <u/>
      </rPr>
      <t xml:space="preserve">Quests principais: </t>
    </r>
    <r>
      <rPr>
        <rFont val="Arial"/>
        <color rgb="FF1155CC"/>
        <u/>
      </rPr>
      <t>wiki.pokealliance.com/quests/quests-principais</t>
    </r>
  </si>
  <si>
    <t>wiki</t>
  </si>
  <si>
    <r>
      <rPr>
        <rFont val="Arial"/>
        <color rgb="FF1155CC"/>
        <u/>
      </rPr>
      <t xml:space="preserve">Wiki oficial do PKA: </t>
    </r>
    <r>
      <rPr>
        <rFont val="Arial"/>
        <color rgb="FF1155CC"/>
        <u/>
      </rPr>
      <t>wiki.pokealliance.com</t>
    </r>
  </si>
  <si>
    <t>outland</t>
  </si>
  <si>
    <t>.h outland north/east/south</t>
  </si>
  <si>
    <t>depot</t>
  </si>
  <si>
    <t>Depot stash no TC, uma caixa azul perto da televisão</t>
  </si>
  <si>
    <t>autoloot</t>
  </si>
  <si>
    <t>autoloot é só pra vip. Se não for, aperta espaço perto dos corpos pra lootear. E se quiser trocar a hotkey, Ctrl K -&gt; Others -&gt; Auto Loot</t>
  </si>
  <si>
    <t>tracker rastreador</t>
  </si>
  <si>
    <t>Tracker de Linked/Pokelog: Ctrl T -&gt; Pokelog -&gt; Open Tracker     /     Tracker de Brokes: Ctrl T -&gt; Pokemon Brokes -&gt; Open Tracker. Clica na mira do lado do pokemon pra adicionar ele no tracker</t>
  </si>
  <si>
    <t>revendedor</t>
  </si>
  <si>
    <r>
      <rPr>
        <rFont val="Arial"/>
        <color rgb="FF1155CC"/>
        <u/>
      </rPr>
      <t xml:space="preserve">Revendedor oficial do PKA: </t>
    </r>
    <r>
      <rPr>
        <rFont val="Arial"/>
        <color rgb="FF1155CC"/>
        <u/>
      </rPr>
      <t>curse.com.br/pokealliance</t>
    </r>
  </si>
  <si>
    <t>store</t>
  </si>
  <si>
    <t>Pra acessar a loja da twitch/online points é na guia superior ^, no lado esquerdo &lt; simbolo de uma lojinha</t>
  </si>
  <si>
    <t>compravip</t>
  </si>
  <si>
    <t>pra comprar VIP: Menu superior -&gt; Store -&gt; Diamond Shop -&gt; Aba Character -&gt; VIP Account</t>
  </si>
  <si>
    <t>donate</t>
  </si>
  <si>
    <t>depois de confirmar o pagamento, reabre a Diamond Shop que o saldo vai estar em "Account" em cima na esquerda. Clica em "Withdraw" que os DDs vão pro seu depot</t>
  </si>
  <si>
    <t>market</t>
  </si>
  <si>
    <t>pra recolher os itens/dinheiro do market, clica no sqm da direita na máquina azul do market. Vai abrir o depot com os itens pra vc coletar</t>
  </si>
  <si>
    <t>rmt</t>
  </si>
  <si>
    <r>
      <rPr>
        <rFont val="Arial"/>
        <color rgb="FF1155CC"/>
        <u/>
      </rPr>
      <t xml:space="preserve">RMT é liberado, mas não pode anunciar os preços em canais dentro do jogo. Nas regras no discord explica com mais detalhes: </t>
    </r>
    <r>
      <rPr>
        <rFont val="Arial"/>
        <color rgb="FF1155CC"/>
        <u/>
      </rPr>
      <t>https://discord.com/channels/1159230367803392022/1159230368940032092/1235097347394895872</t>
    </r>
  </si>
  <si>
    <t>referal</t>
  </si>
  <si>
    <t>Referal code não da nenhuma vantagem. É só usado em algumas campanhas específicas pra staff ter umas métricas. Pode usar seu nick mesmo</t>
  </si>
  <si>
    <t>recomendado</t>
  </si>
  <si>
    <t>Pokemons bons pra pegar antes do lvl 150: Arcanine, Mimikyu, Gyarados, Shiny Victreebel, Glaceon, Pachirisu, Mightyena</t>
  </si>
  <si>
    <t>dailyguild</t>
  </si>
  <si>
    <t>Daily guild são 42 tasks por semana (7 diárias + 35 tickets). Mais detalhes: https://discord.com/channels/1159230367803392022/1159230368940032093/1536193255350345848</t>
  </si>
  <si>
    <t>surf</t>
  </si>
  <si>
    <t>pra surfar é só andar em direção à água, tendo um poke pra fora que tenha surf</t>
  </si>
  <si>
    <t>ability habilidade</t>
  </si>
  <si>
    <t>pra saber se o pokemon tem fly, surf, dig... olha na Pokedex -&gt; Info -&gt; Field Abilities</t>
  </si>
  <si>
    <t>comandos</t>
  </si>
  <si>
    <t>wiki.pokealliance.com/guias/comandos-disponiveis</t>
  </si>
  <si>
    <t>ticket</t>
  </si>
  <si>
    <r>
      <rPr>
        <rFont val="Arial"/>
        <color rgb="FF1155CC"/>
        <u/>
      </rPr>
      <t xml:space="preserve">Pra abrir ticket,  </t>
    </r>
    <r>
      <rPr>
        <rFont val="Arial"/>
        <color rgb="FF1155CC"/>
        <u/>
      </rPr>
      <t>pokealliance.com/</t>
    </r>
    <r>
      <rPr>
        <rFont val="Arial"/>
        <color rgb="FF1155CC"/>
        <u/>
      </rPr>
      <t xml:space="preserve">  faz o login e clica em "Tickets"</t>
    </r>
  </si>
  <si>
    <t>instancia canal</t>
  </si>
  <si>
    <t>Pra saber se um poke tem instância, procura a foto dele no Ctrl Tab. Geralmente ta em uma das hunts dele. Vai até lá, clica na porta pra escolher o canal. Caveira vermelha = wildscape(Lvl 150+).  Brotinho = hunt normal</t>
  </si>
  <si>
    <t>topmenu</t>
  </si>
  <si>
    <t>Passa o mouse no meio da tela em cima que vai aparecer o botão pra abrir o menu</t>
  </si>
  <si>
    <t>help</t>
  </si>
  <si>
    <t>deixa o chat de Help só pra dúvidas sobre o jogo, por favor. Se for bug, abre um ticket no site. Sugestão manda no #sugestões no discord. Resto manda no GC</t>
  </si>
  <si>
    <t>mc</t>
  </si>
  <si>
    <t>pode abrir 2 clients, mas tem restrições. Da uma lida no chat #regras no Discord</t>
  </si>
  <si>
    <t>calendario</t>
  </si>
  <si>
    <t>calendário premium vc consegue resgatar os dias anteriores pagando 100 online points pra cada dia</t>
  </si>
  <si>
    <t>critico critical</t>
  </si>
  <si>
    <t>o efeito que aparece às vezes quando joga a ball é o critical catch. Naquela ball, a chance é dobrada</t>
  </si>
  <si>
    <t>technological</t>
  </si>
  <si>
    <t>revive normal só funciona até o lvl 219. Max revive funciona a partir do lvl 220. Technological revive é o único que funciona nas hunts de rotação (Lvl 350+)</t>
  </si>
  <si>
    <t>trade</t>
  </si>
  <si>
    <t>pra dar trade, ctrl click no item -&gt; Trade With, e clica na pessoa</t>
  </si>
  <si>
    <t>appricorn</t>
  </si>
  <si>
    <t>appricorns ainda não têm uso</t>
  </si>
  <si>
    <t>smeargle</t>
  </si>
  <si>
    <t>Smeargle vem de um tipo aleatório, com moveset já pré-definido. O item do shiny permite troca a tipagem do shiny Smeargle. Pra estrelar, pode sacrificar um de qualquer tipo</t>
  </si>
  <si>
    <t>evolui</t>
  </si>
  <si>
    <t>pra evoluir shiny, geralmente precisa de uma stone e do drop raro da evolução shiny dele. Na dex vai mostrar certinho o que precisa</t>
  </si>
  <si>
    <t>aerodactyl</t>
  </si>
  <si>
    <t>Aerodactyl só tem na dg de mega dele. Lvl 350+ pra acessar</t>
  </si>
  <si>
    <t>toybox</t>
  </si>
  <si>
    <t>Toybox da um toy de decoração. Não da pra vender em NPC</t>
  </si>
  <si>
    <t>sellhouse</t>
  </si>
  <si>
    <r>
      <rPr>
        <rFont val="Arial"/>
        <color rgb="FF1155CC"/>
        <u/>
      </rPr>
      <t xml:space="preserve">Vender casa: </t>
    </r>
    <r>
      <rPr>
        <rFont val="Arial"/>
        <color rgb="FF1155CC"/>
        <u/>
      </rPr>
      <t>wiki.pokealliance.com/sistemas/houses-e-bids#abandonar-ou-vender-uma-house</t>
    </r>
  </si>
  <si>
    <t>celebi shrine</t>
  </si>
  <si>
    <t>Celebi Shrine só fica ativo durante eventos. O próximo provavelmente vai ser no Halloween</t>
  </si>
  <si>
    <t>pegaheld</t>
  </si>
  <si>
    <t>Pra conseguir helds: Daily Guild, Daily Shop, Rockets, Police, Brotherhood, Clones</t>
  </si>
  <si>
    <t>exemploball</t>
  </si>
  <si>
    <t>Ex: Vc jogou 1000 PB ou AB. Se a ball 1001 for PB ou AB, vai ignorar as outras 1000. Se a ball 1001 for UB ou elemental, essa ball vai ter o mérito de 1001 brokes</t>
  </si>
  <si>
    <t>pegaelemental</t>
  </si>
  <si>
    <t>Pra conseguir ball elemental é só na Diamond Store, Online Shop, Battle pass, ou comprando de jogadores no market</t>
  </si>
  <si>
    <t>pegaab</t>
  </si>
  <si>
    <t>Pra conseguir AB, é só na Diamond Store, Battle Pass, durante eventos, ou comprando de jogadores no market</t>
  </si>
  <si>
    <t>Dodrio</t>
  </si>
  <si>
    <t>pegapb</t>
  </si>
  <si>
    <t>Pra conseguir PB, é só na Diamond Store, Online shop, Battle Pass, durante eventos, ou comprando de jogadores no market</t>
  </si>
  <si>
    <t>heldboost</t>
  </si>
  <si>
    <t>Held boost aumenta o equivalente a x lvls no personagem. Da look no held, o level projetado é o valor que aparecer no final multiplicado por 3</t>
  </si>
  <si>
    <t>pegacharm pegashiny</t>
  </si>
  <si>
    <t>Pra conseguir item de buff de shiny, tem na Diamond Store-&gt;Utilities, Linked Tasks (Ctrl L), NPC Tasks, Battle Pass e durante eventos</t>
  </si>
  <si>
    <t>lucky</t>
  </si>
  <si>
    <t>Lucky amulet e lucky held no poke vai contar só o que der o maior bonus</t>
  </si>
  <si>
    <t>talentditto</t>
  </si>
  <si>
    <t>Pro Ditto, talent de def é normal, e de dano é do tipo do move que for usar quando tiver transformado</t>
  </si>
  <si>
    <t>console</t>
  </si>
  <si>
    <t>Pras mensagens privadas abrirem em uma nova aba, desmarca a opção Ctrl K -&gt; Console -&gt; Show private messages in console</t>
  </si>
  <si>
    <t>multithread</t>
  </si>
  <si>
    <t>Se tiver travando, ativa a opção Options -&gt; Graphics -&gt; Multithread rendering</t>
  </si>
  <si>
    <t>trainingroom</t>
  </si>
  <si>
    <t>Testa o dano dos pokemons no TR (Training Room), vai em qualquer CP, do lado da porta que entra no TC</t>
  </si>
  <si>
    <t>achievement conquista</t>
  </si>
  <si>
    <t>Conquistas e recompensas:    wiki.pokealliance.com/sistemas/achievements</t>
  </si>
  <si>
    <t>trocarevive</t>
  </si>
  <si>
    <t>Pra trocar revive unique por max revive é com o NPC na varanda do TC à esquerda. Deixa os revives no slot do lado do pokemon no Ctrl P, e fala "exchange". Só funciona com unique</t>
  </si>
  <si>
    <t>titanRewarder lvl level</t>
  </si>
  <si>
    <r>
      <rPr>
        <rFont val="Arial"/>
      </rPr>
      <t xml:space="preserve">Titan Rewarder: </t>
    </r>
    <r>
      <rPr>
        <rFont val="Arial"/>
        <color rgb="FF1155CC"/>
        <u/>
      </rPr>
      <t>imgur.com/a/K9OUnE6</t>
    </r>
    <r>
      <rPr>
        <rFont val="Arial"/>
      </rPr>
      <t xml:space="preserve">     Recompensa por pegar lvl no Titan: </t>
    </r>
    <r>
      <rPr>
        <rFont val="Arial"/>
        <color rgb="FF1155CC"/>
        <u/>
      </rPr>
      <t>https://discord.com/channels/1159230367803392022/1235107027026448385/1532474237913399396</t>
    </r>
  </si>
  <si>
    <t>AllianceRewarder 7k</t>
  </si>
  <si>
    <r>
      <rPr>
        <rFont val="Arial"/>
      </rPr>
      <t xml:space="preserve">Alliance Rewarder (Precisa lvl 150+ e Vip): </t>
    </r>
    <r>
      <rPr>
        <rFont val="Arial"/>
        <color rgb="FF1155CC"/>
        <u/>
      </rPr>
      <t>imgur.com/a/QzUk2PV</t>
    </r>
    <r>
      <rPr>
        <rFont val="Arial"/>
      </rPr>
      <t xml:space="preserve">    Recompensa pelos 7500 jogadores online  (10 Log Pose e 10 Minor Xp Boost)</t>
    </r>
  </si>
  <si>
    <t>tank</t>
  </si>
  <si>
    <t>Pra saber se um pokemon é tank, ve na dex se ele tem alguma skill que aumente a defesa dele</t>
  </si>
  <si>
    <t>clan</t>
  </si>
  <si>
    <r>
      <rPr>
        <rFont val="Arial"/>
      </rPr>
      <t xml:space="preserve">Ao invés de clã, aqui tem o sistema de Talentos, que da pra acessar no Ctrl T. Pode upar de todos os tipos. Mais detalhes: </t>
    </r>
    <r>
      <rPr>
        <rFont val="Arial"/>
        <color rgb="FF1155CC"/>
        <u/>
      </rPr>
      <t>wiki.pokealliance.com/sistemas/talentos</t>
    </r>
  </si>
  <si>
    <t>tooltip</t>
  </si>
  <si>
    <t>Pra desabilitar o tooltip dos itens: Config -&gt; Interface -&gt; Item Window Delay</t>
  </si>
  <si>
    <t>carga</t>
  </si>
  <si>
    <t>Carga pro treinamento da pra comprar por DD na Diamond Store -&gt; Promotions, ou por KK na NPC July, no TC &gt;. O item chama Punching Bag Premium Charger</t>
  </si>
  <si>
    <t>mighty</t>
  </si>
  <si>
    <t>Mighty Tokens vc consegue matando os NPCs da Brotherhood, ou fazendo as tasks dos NPC de Hoenn</t>
  </si>
  <si>
    <t>linkedwild</t>
  </si>
  <si>
    <t>Linked tasks só pode fazer em wildscape a partir da task de 10k Ampharos. Na própria task no Ctrl L vai dizer se é wild ou não. Ou ve por aqui: tinyurl.com/planilha-pka-linked-tasks</t>
  </si>
  <si>
    <t>temmedia</t>
  </si>
  <si>
    <t>Todo pokemon tem média. Se eu pego com 1 ball e vc com 100, a média vai ser 50</t>
  </si>
  <si>
    <t>smart</t>
  </si>
  <si>
    <t>Pra andar na diagonal, ativa o Smart Walk. Config -&gt; Game -&gt; Enable Smart Walk</t>
  </si>
  <si>
    <t>regras</t>
  </si>
  <si>
    <r>
      <rPr>
        <rFont val="Arial"/>
      </rPr>
      <t xml:space="preserve">Regras do PKA: </t>
    </r>
    <r>
      <rPr>
        <rFont val="Arial"/>
        <color rgb="FF1155CC"/>
        <u/>
      </rPr>
      <t>https://pokealliance.com/terms</t>
    </r>
  </si>
  <si>
    <t>anuncio</t>
  </si>
  <si>
    <t>Fica expressamente proibido todo tipo de anúncio em qualquer Game-Chat (PT-BR, ESP, EN, PL), seja de Lives, Grupos de Whatsapp, comércio, formação de grupos, formação de Guild, etc. Recomendamos que utilizem o Trade Center do respectivo mundo.</t>
  </si>
  <si>
    <t>Espeon</t>
  </si>
  <si>
    <t>Farfetch'd</t>
  </si>
  <si>
    <t>Feraligatr</t>
  </si>
  <si>
    <t>Flareon</t>
  </si>
  <si>
    <t>Golem</t>
  </si>
  <si>
    <t>Hitmonchan</t>
  </si>
  <si>
    <t>Hitmonlee</t>
  </si>
  <si>
    <t>Hitmontop</t>
  </si>
  <si>
    <t>Jolteon</t>
  </si>
  <si>
    <t>Jynx</t>
  </si>
  <si>
    <t>Kabutops</t>
  </si>
  <si>
    <t>Lapras</t>
  </si>
  <si>
    <t>Magcargo</t>
  </si>
  <si>
    <t>Mantine</t>
  </si>
  <si>
    <t>Meganium</t>
  </si>
  <si>
    <t>Miltank</t>
  </si>
  <si>
    <t>Muk</t>
  </si>
  <si>
    <t>Nidoking</t>
  </si>
  <si>
    <t>Nidoqueen</t>
  </si>
  <si>
    <t>Ninetales</t>
  </si>
  <si>
    <t>Omastar</t>
  </si>
  <si>
    <t>ITEM</t>
  </si>
  <si>
    <t>Pidgeot</t>
  </si>
  <si>
    <t>Politoed</t>
  </si>
  <si>
    <t>Poliwrath</t>
  </si>
  <si>
    <t>Raichu</t>
  </si>
  <si>
    <t>Rapidash</t>
  </si>
  <si>
    <r>
      <rPr>
        <rFont val="Arial"/>
        <b/>
        <color theme="1"/>
        <sz val="17.0"/>
      </rPr>
      <t xml:space="preserve">Como usar
</t>
    </r>
    <r>
      <rPr>
        <rFont val="Arial"/>
        <b/>
        <color theme="1"/>
        <sz val="12.0"/>
      </rPr>
      <t>- Pesquise o Item na célula A2 (clique no dropdown e digite o nome)
- Os pokemons aparecerão na coluna C
- Por uma limitação do Google, se tiver muita gente (90+ pessoas) usando a planilha, o campo de pesquisa não pode ser editado. Se isso acontecer, use essa planilha: Copy of Pokedex pública - Pokemon alliance (By Mts Vitor)</t>
    </r>
  </si>
  <si>
    <t>Slowking</t>
  </si>
  <si>
    <t>bottle of poison</t>
  </si>
  <si>
    <t>Steelix</t>
  </si>
  <si>
    <t>Tentacruel</t>
  </si>
  <si>
    <t>Typhlosion</t>
  </si>
  <si>
    <t>Umbreon</t>
  </si>
  <si>
    <t>Ursaring</t>
  </si>
  <si>
    <t>Vaporeon</t>
  </si>
  <si>
    <t>Misdreavus</t>
  </si>
  <si>
    <t>Mr. Mime</t>
  </si>
  <si>
    <t>Pinsir</t>
  </si>
  <si>
    <t>Pupitar</t>
  </si>
  <si>
    <t>Scyther</t>
  </si>
  <si>
    <t>Skarmory</t>
  </si>
  <si>
    <t>Tauros</t>
  </si>
  <si>
    <t>Houndoom</t>
  </si>
  <si>
    <t>Kangaskhan</t>
  </si>
  <si>
    <t>Kingdra</t>
  </si>
  <si>
    <t>Machamp</t>
  </si>
  <si>
    <t>Wobbuffet</t>
  </si>
  <si>
    <t>Dusknoir</t>
  </si>
  <si>
    <t>Luxray</t>
  </si>
  <si>
    <t>Mimikyu</t>
  </si>
  <si>
    <t>Toxicroak</t>
  </si>
  <si>
    <t>Torterra</t>
  </si>
  <si>
    <t>Tangrowth</t>
  </si>
  <si>
    <t>Arcanine</t>
  </si>
  <si>
    <t>Florges</t>
  </si>
  <si>
    <t>Hydreigon</t>
  </si>
  <si>
    <t>Walrein</t>
  </si>
  <si>
    <t>Hoenn</t>
  </si>
  <si>
    <t>Seviper</t>
  </si>
  <si>
    <t>Aggron</t>
  </si>
  <si>
    <t>Sharpedo</t>
  </si>
  <si>
    <t>Armaldo</t>
  </si>
  <si>
    <t>Altaria</t>
  </si>
  <si>
    <t>Swellow</t>
  </si>
  <si>
    <t>Huntail</t>
  </si>
  <si>
    <t>Breloom</t>
  </si>
  <si>
    <t>Claydol</t>
  </si>
  <si>
    <t>Hariyama</t>
  </si>
  <si>
    <t>Cradily</t>
  </si>
  <si>
    <t>Roselia</t>
  </si>
  <si>
    <t>Pelipper</t>
  </si>
  <si>
    <t>Dustox</t>
  </si>
  <si>
    <t>Solrock</t>
  </si>
  <si>
    <t>Clamperl</t>
  </si>
  <si>
    <t>Banette</t>
  </si>
  <si>
    <t>Camerupt</t>
  </si>
  <si>
    <t>Castform Fire</t>
  </si>
  <si>
    <t>https://imgur.com/a/Ts9I3R9</t>
  </si>
  <si>
    <t>a</t>
  </si>
  <si>
    <t>Castform Ice</t>
  </si>
  <si>
    <t>Quantidade</t>
  </si>
  <si>
    <t>Tipo</t>
  </si>
  <si>
    <t>Castform Electric</t>
  </si>
  <si>
    <t>#</t>
  </si>
  <si>
    <t>Buff</t>
  </si>
  <si>
    <t>Kecleon</t>
  </si>
  <si>
    <t>fighter hawk</t>
  </si>
  <si>
    <t>Machop</t>
  </si>
  <si>
    <t>Character</t>
  </si>
  <si>
    <t>Dusclops</t>
  </si>
  <si>
    <t>Gives all your Pokemon 1% critical chance.</t>
  </si>
  <si>
    <t>1 - Gives all your Pokemon 1% critical chance.</t>
  </si>
  <si>
    <t>rock fist</t>
  </si>
  <si>
    <t>bear claw</t>
  </si>
  <si>
    <t>Accelerates the regeneration of 1 second cooldown of the spells of Pokemon stored in the bag (Pokemon that remain inside the Poke Balls).</t>
  </si>
  <si>
    <t>2 - Accelerates the regeneration of 1 second cooldown of the spells of Pokemon stored in the bag (Pokemon that remain inside the Poke Balls).</t>
  </si>
  <si>
    <t>Zangoose</t>
  </si>
  <si>
    <t>cow tail</t>
  </si>
  <si>
    <t>earth badge</t>
  </si>
  <si>
    <t>Viridian Gym</t>
  </si>
  <si>
    <t>heart stone</t>
  </si>
  <si>
    <t>pink wings</t>
  </si>
  <si>
    <t>Clefable</t>
  </si>
  <si>
    <t>snorlax paw</t>
  </si>
  <si>
    <t>Snorlax</t>
  </si>
  <si>
    <t>Metang</t>
  </si>
  <si>
    <t>wigglytuff ear</t>
  </si>
  <si>
    <t>Wigglytuff</t>
  </si>
  <si>
    <t/>
  </si>
  <si>
    <t>volcano badge</t>
  </si>
  <si>
    <t>Cinnabar Gym</t>
  </si>
  <si>
    <t>Beautifly</t>
  </si>
  <si>
    <t>3 - Accelerates the regeneration of 1 second cooldown of the spells of Pokemon stored in the bag (Pokemon that remain inside the Poke Balls).</t>
  </si>
  <si>
    <t>fire wing</t>
  </si>
  <si>
    <t>magma foot</t>
  </si>
  <si>
    <t>Magmar</t>
  </si>
  <si>
    <t>giant piece of fur</t>
  </si>
  <si>
    <t>Ludicolo</t>
  </si>
  <si>
    <t>magma shell</t>
  </si>
  <si>
    <t>fire stone</t>
  </si>
  <si>
    <t>Verificar aba de drops</t>
  </si>
  <si>
    <t>Cacturne</t>
  </si>
  <si>
    <t>boulder badge</t>
  </si>
  <si>
    <t>Pewter Gym</t>
  </si>
  <si>
    <t>4 - Accelerates the regeneration of 1 second cooldown of the spells of Pokemon stored in the bag (Pokemon that remain inside the Poke Balls).</t>
  </si>
  <si>
    <t>stone rocks</t>
  </si>
  <si>
    <t>Chimecho</t>
  </si>
  <si>
    <t>horn drill</t>
  </si>
  <si>
    <t>Rhydon</t>
  </si>
  <si>
    <t>bone</t>
  </si>
  <si>
    <t>steelix tail</t>
  </si>
  <si>
    <t>Gorebyss</t>
  </si>
  <si>
    <t>rock stone</t>
  </si>
  <si>
    <t>Shiftry</t>
  </si>
  <si>
    <t>Crawdaunt</t>
  </si>
  <si>
    <t>Ninjask</t>
  </si>
  <si>
    <t>Relicanth</t>
  </si>
  <si>
    <t>earth stone</t>
  </si>
  <si>
    <t>cascade badge</t>
  </si>
  <si>
    <t>Cerulean Gym</t>
  </si>
  <si>
    <t>Masquerain</t>
  </si>
  <si>
    <t>5 - Accelerates the regeneration of 1 second cooldown of the spells of Pokemon stored in the bag (Pokemon that remain inside the Poke Balls).</t>
  </si>
  <si>
    <t>lapras fin</t>
  </si>
  <si>
    <t>gyarados tail</t>
  </si>
  <si>
    <t>Gyarados</t>
  </si>
  <si>
    <t>aquatic tail</t>
  </si>
  <si>
    <t>Wailord</t>
  </si>
  <si>
    <t>water cannon</t>
  </si>
  <si>
    <t>water stone</t>
  </si>
  <si>
    <t>Mawile</t>
  </si>
  <si>
    <t>ice stone</t>
  </si>
  <si>
    <t>Lunatone</t>
  </si>
  <si>
    <t>thunder badge</t>
  </si>
  <si>
    <t>Vermilion Gym</t>
  </si>
  <si>
    <t>6 - Accelerates the regeneration of 1 second cooldown of the spells of Pokemon stored in the bag (Pokemon that remain inside the Poke Balls).</t>
  </si>
  <si>
    <t>electric sheep tail</t>
  </si>
  <si>
    <t>Medicham</t>
  </si>
  <si>
    <t>electric tail</t>
  </si>
  <si>
    <t>Electabuzz</t>
  </si>
  <si>
    <t>electric ear</t>
  </si>
  <si>
    <t>Whiscash</t>
  </si>
  <si>
    <t>electric collar</t>
  </si>
  <si>
    <t>Shedinja</t>
  </si>
  <si>
    <t>thunder stone</t>
  </si>
  <si>
    <t>Delcatty</t>
  </si>
  <si>
    <t>rainbow badge</t>
  </si>
  <si>
    <t>Celadon Gym</t>
  </si>
  <si>
    <t>7 - Accelerates the regeneration of 1 second cooldown of the spells of Pokemon stored in the bag (Pokemon that remain inside the Poke Balls).</t>
  </si>
  <si>
    <t>red petal</t>
  </si>
  <si>
    <t>Grumpig</t>
  </si>
  <si>
    <t>big petal</t>
  </si>
  <si>
    <t>coconut leaves</t>
  </si>
  <si>
    <t>Exeggutor</t>
  </si>
  <si>
    <t>vine hair</t>
  </si>
  <si>
    <t>Blaziken</t>
  </si>
  <si>
    <t>leaf stone</t>
  </si>
  <si>
    <t>cocoon stone</t>
  </si>
  <si>
    <t>Metagross</t>
  </si>
  <si>
    <t>soul badge</t>
  </si>
  <si>
    <t>Fuchsia Gym</t>
  </si>
  <si>
    <t>8 - Accelerates the regeneration of 1 second cooldown of the spells of Pokemon stored in the bag (Pokemon that remain inside the Poke Balls).</t>
  </si>
  <si>
    <t>Swalot</t>
  </si>
  <si>
    <t>queen ear</t>
  </si>
  <si>
    <t>king ear</t>
  </si>
  <si>
    <t>giant bat wing</t>
  </si>
  <si>
    <t>Crobat</t>
  </si>
  <si>
    <t>stinky hand</t>
  </si>
  <si>
    <t>Exploud</t>
  </si>
  <si>
    <t>venom stone</t>
  </si>
  <si>
    <t>marsh badge</t>
  </si>
  <si>
    <t>Saffron Gym</t>
  </si>
  <si>
    <t>9 - Accelerates the regeneration of 1 second cooldown of the spells of Pokemon stored in the bag (Pokemon that remain inside the Poke Balls).</t>
  </si>
  <si>
    <t>Tropius</t>
  </si>
  <si>
    <t>psychic moustache</t>
  </si>
  <si>
    <t>Alakazam</t>
  </si>
  <si>
    <t>two-eyed black tail</t>
  </si>
  <si>
    <t>xatu wing</t>
  </si>
  <si>
    <t>Xatu</t>
  </si>
  <si>
    <t>giraffe antenna</t>
  </si>
  <si>
    <t>Girafarig</t>
  </si>
  <si>
    <t>Manectric</t>
  </si>
  <si>
    <t>enigma stone</t>
  </si>
  <si>
    <t>electric screws</t>
  </si>
  <si>
    <t>Magnemite</t>
  </si>
  <si>
    <t>Gives all your Pokemon 10% critical chance.</t>
  </si>
  <si>
    <t>Torkoal</t>
  </si>
  <si>
    <t>10 - Gives all your Pokemon 10% critical chance.</t>
  </si>
  <si>
    <t>remains of voltorb</t>
  </si>
  <si>
    <t>Voltorb</t>
  </si>
  <si>
    <t>blue wings</t>
  </si>
  <si>
    <t>Shiny Clefable</t>
  </si>
  <si>
    <t>Your character will have an increase of 500 hitpoints in their maximum health.</t>
  </si>
  <si>
    <t>11 - Your character will have an increase of 500 hitpoints in their maximum health.</t>
  </si>
  <si>
    <t>Gardevoir</t>
  </si>
  <si>
    <t>big cute ear</t>
  </si>
  <si>
    <t>Shiny Wigglytuff</t>
  </si>
  <si>
    <t>Your character will have an increase of 300 hitpoints in their maximum health.</t>
  </si>
  <si>
    <t>12 - Your character will have an increase of 300 hitpoints in their maximum health.</t>
  </si>
  <si>
    <t>Salamence</t>
  </si>
  <si>
    <t>13 - Your character will have an increase of 300 hitpoints in their maximum health.</t>
  </si>
  <si>
    <t>Mightyena</t>
  </si>
  <si>
    <t>magikarp fin</t>
  </si>
  <si>
    <t>Magikarp</t>
  </si>
  <si>
    <t>14 - Your character will have an increase of 300 hitpoints in their maximum health.</t>
  </si>
  <si>
    <t>mouse tail</t>
  </si>
  <si>
    <t>Ratata</t>
  </si>
  <si>
    <t>Milotic</t>
  </si>
  <si>
    <t>fire hair</t>
  </si>
  <si>
    <t>Ponyta</t>
  </si>
  <si>
    <t>Give to player more 20 speed.</t>
  </si>
  <si>
    <t>15 - Give to player more 20 speed.</t>
  </si>
  <si>
    <t>blue hair</t>
  </si>
  <si>
    <t>Shiny Ponyta</t>
  </si>
  <si>
    <t>Sceptile</t>
  </si>
  <si>
    <t>fire hoof</t>
  </si>
  <si>
    <t>16 - Give to player more 20 speed.</t>
  </si>
  <si>
    <t>Swampert</t>
  </si>
  <si>
    <t>yellow bird crest</t>
  </si>
  <si>
    <t>Shiny Pidgey</t>
  </si>
  <si>
    <t>17 - Give to player more 20 speed.</t>
  </si>
  <si>
    <t>carmine wing</t>
  </si>
  <si>
    <t>Shiny Spearow</t>
  </si>
  <si>
    <t>Glalie</t>
  </si>
  <si>
    <t>bird wing</t>
  </si>
  <si>
    <t>Spearow</t>
  </si>
  <si>
    <t>18 - Give to player more 20 speed.</t>
  </si>
  <si>
    <t>bird crest</t>
  </si>
  <si>
    <t>Pidgey</t>
  </si>
  <si>
    <t>Absol</t>
  </si>
  <si>
    <t>mythic water orb</t>
  </si>
  <si>
    <t>Reduces speed impariment caused by being underwater by 40%</t>
  </si>
  <si>
    <t>1 - Reduces speed impariment caused by being underwater by 40%</t>
  </si>
  <si>
    <t>giant ruby</t>
  </si>
  <si>
    <t>big fist gloves</t>
  </si>
  <si>
    <t>Flygon</t>
  </si>
  <si>
    <t>duck paw</t>
  </si>
  <si>
    <t>Golduck</t>
  </si>
  <si>
    <t>Dragonair</t>
  </si>
  <si>
    <t>crystal stone</t>
  </si>
  <si>
    <t>arcane water orb</t>
  </si>
  <si>
    <t>Reduces speed impariment caused by being underwater by 20%</t>
  </si>
  <si>
    <t>2 - Reduces speed impariment caused by being underwater by 20%</t>
  </si>
  <si>
    <t>Gengar</t>
  </si>
  <si>
    <t>Reduces speed impariment caused by being underwater by 10%</t>
  </si>
  <si>
    <t>3 - Reduces speed impariment caused by being underwater by 10%</t>
  </si>
  <si>
    <t>Scizor</t>
  </si>
  <si>
    <t>simple water orb</t>
  </si>
  <si>
    <t>4 - Reduces speed impariment caused by being underwater by 10%</t>
  </si>
  <si>
    <t>Lucario</t>
  </si>
  <si>
    <t>Rhyperior</t>
  </si>
  <si>
    <t>5 - Reduces speed impariment caused by being underwater by 10%</t>
  </si>
  <si>
    <t>Sylveon</t>
  </si>
  <si>
    <t>Glaceon</t>
  </si>
  <si>
    <t>6 - Reduces speed impariment caused by being underwater by 10%</t>
  </si>
  <si>
    <t>Garbodor</t>
  </si>
  <si>
    <t>Sableye</t>
  </si>
  <si>
    <t>mythic psychic orb</t>
  </si>
  <si>
    <t>Reduces speed impariment caused by sand by 40%</t>
  </si>
  <si>
    <t>7 - Reduces speed impariment caused by sand by 40%</t>
  </si>
  <si>
    <t>sea dragon fin</t>
  </si>
  <si>
    <t>red hair</t>
  </si>
  <si>
    <t>blue ray tail</t>
  </si>
  <si>
    <t>Restantes</t>
  </si>
  <si>
    <t>arcane psychic orb</t>
  </si>
  <si>
    <t>Reduces speed impariment caused by sand by 20%</t>
  </si>
  <si>
    <t>8 - Reduces speed impariment caused by sand by 20%</t>
  </si>
  <si>
    <t>Ultra Rare (Hoenn)</t>
  </si>
  <si>
    <t>Legendary (Tubos)</t>
  </si>
  <si>
    <t>Mythic (Tubos)</t>
  </si>
  <si>
    <t>Mythic (Hoenn)</t>
  </si>
  <si>
    <t>Restantes:</t>
  </si>
  <si>
    <t>2250/h</t>
  </si>
  <si>
    <t>Gliscor</t>
  </si>
  <si>
    <t>Super Rare</t>
  </si>
  <si>
    <t>Infernape</t>
  </si>
  <si>
    <t>Pachirisu</t>
  </si>
  <si>
    <t>Rampardos</t>
  </si>
  <si>
    <t>Ultra Rare</t>
  </si>
  <si>
    <t>Leafeon</t>
  </si>
  <si>
    <t>Legendary</t>
  </si>
  <si>
    <t>Tubos</t>
  </si>
  <si>
    <t>Dragonite</t>
  </si>
  <si>
    <t>Mythic</t>
  </si>
  <si>
    <t>Slaking</t>
  </si>
  <si>
    <t>Tyranitar</t>
  </si>
  <si>
    <t>Reduces speed impariment caused by sand by 10%</t>
  </si>
  <si>
    <t>9 - Reduces speed impariment caused by sand by 10%</t>
  </si>
  <si>
    <t>Star atual</t>
  </si>
  <si>
    <t>Custo total DD💎</t>
  </si>
  <si>
    <t>simple psychic orb</t>
  </si>
  <si>
    <t>10 - Reduces speed impariment caused by sand by 10%</t>
  </si>
  <si>
    <t>Star objetivo</t>
  </si>
  <si>
    <t>Custo total KK💸</t>
  </si>
  <si>
    <t>11 - Reduces speed impariment caused by sand by 10%</t>
  </si>
  <si>
    <t>Tier</t>
  </si>
  <si>
    <t>T1</t>
  </si>
  <si>
    <t>Pokes necessarios</t>
  </si>
  <si>
    <t>Valores são considerando a opção de 100% de sucesso;
Star aumenta o DANO DE ATAQUE:
- Tier 3: 2% por nível de estrela.
- Tier 2: 4% por nível de estrela.
- Tier 1: 6% por nível de estrela.
- Super Rare: 8% por nível de estrela.
- Ultra Rare: 10% por nível de estrela.
- Legendary: 15% por nível de estrela.</t>
  </si>
  <si>
    <t>12 - Reduces speed impariment caused by sand by 10%</t>
  </si>
  <si>
    <t>Max Broke</t>
  </si>
  <si>
    <r>
      <rPr>
        <rFont val="Arial"/>
        <color theme="1"/>
        <sz val="14.0"/>
      </rPr>
      <t xml:space="preserve">OBS
1. Premier/Alliance balls contam sempre como a primeira bola jogada.
2. Premier/Alliance balls contam para a contagem de brokes totais.
3. O max é um valor não oficial descoberto pela comunidade, e pode mudar a qualquer momento.
</t>
    </r>
    <r>
      <rPr>
        <rFont val="Arial"/>
        <b/>
        <color theme="1"/>
        <sz val="14.0"/>
      </rPr>
      <t xml:space="preserve">4. As brokes são pra shinys. Pokémon normal não tem max.
</t>
    </r>
    <r>
      <rPr>
        <rFont val="Arial"/>
        <color theme="1"/>
        <sz val="14.0"/>
      </rPr>
      <t>5. Chegar na máxima não garante o catch. A chance só fica muito mais alta.
6. Rates:
PB = 4x
UB = 4x
AB = 5x
Elemental = 5x
7. O sistema de mérito considera o total de brokes. Os rates não têm nada a ver com ele</t>
    </r>
  </si>
  <si>
    <t>?</t>
  </si>
  <si>
    <t>T2</t>
  </si>
  <si>
    <t>~900</t>
  </si>
  <si>
    <t>T3</t>
  </si>
  <si>
    <t>~700</t>
  </si>
  <si>
    <t>T4</t>
  </si>
  <si>
    <t>~600</t>
  </si>
  <si>
    <t>T5</t>
  </si>
  <si>
    <t>~400</t>
  </si>
  <si>
    <t>T6</t>
  </si>
  <si>
    <t>~200</t>
  </si>
  <si>
    <t>mythic ice orb</t>
  </si>
  <si>
    <t>Reduces speed impariment caused by snow by 40%</t>
  </si>
  <si>
    <t>13 - Reduces speed impariment caused by snow by 40%</t>
  </si>
  <si>
    <t>pieces of shell</t>
  </si>
  <si>
    <t>Cloyster</t>
  </si>
  <si>
    <t>Pokémon</t>
  </si>
  <si>
    <t>dragonair tail</t>
  </si>
  <si>
    <t>Moveset</t>
  </si>
  <si>
    <t>psychic wig</t>
  </si>
  <si>
    <t>dewgong tail</t>
  </si>
  <si>
    <t>Dewgong</t>
  </si>
  <si>
    <t>dragonite tail</t>
  </si>
  <si>
    <t>Reduces speed impariment caused by snow by 20%</t>
  </si>
  <si>
    <t>14 - Reduces speed impariment caused by snow by 20%</t>
  </si>
  <si>
    <t>Bulbasaur</t>
  </si>
  <si>
    <t>Grass</t>
  </si>
  <si>
    <t>T7</t>
  </si>
  <si>
    <t>Fire</t>
  </si>
  <si>
    <t>Shiny Bulbasaur</t>
  </si>
  <si>
    <t>Water</t>
  </si>
  <si>
    <t>Ivysaur</t>
  </si>
  <si>
    <t>Steel</t>
  </si>
  <si>
    <t>Bug</t>
  </si>
  <si>
    <t>Shiny Ivysaur</t>
  </si>
  <si>
    <t>Flying</t>
  </si>
  <si>
    <t>Reduces speed impariment caused by snow by 10%</t>
  </si>
  <si>
    <t>15 - Reduces speed impariment caused by snow by 10%</t>
  </si>
  <si>
    <t>Shiny Venusaur</t>
  </si>
  <si>
    <t>Poison</t>
  </si>
  <si>
    <t>Charmander</t>
  </si>
  <si>
    <t>Electric</t>
  </si>
  <si>
    <t>Shiny Charmander</t>
  </si>
  <si>
    <t>Ground</t>
  </si>
  <si>
    <t>Ajude a tabela a ser mais precisa, mande os dados do seu analyzer pelo form:</t>
  </si>
  <si>
    <t>Charmeleon</t>
  </si>
  <si>
    <t>Fairy</t>
  </si>
  <si>
    <t>https://docs.google.com/forms/d/e/1FAIpQLSfDhUaqGeUK-6uLphsluOpr_FMMDLni0Q3uPvx69x19tYVfvg/viewform</t>
  </si>
  <si>
    <t>Shiny Charmeleon</t>
  </si>
  <si>
    <t>Dark</t>
  </si>
  <si>
    <t>Psychic</t>
  </si>
  <si>
    <t>Shiny Charizard</t>
  </si>
  <si>
    <t>Fighting</t>
  </si>
  <si>
    <t>Squirtle</t>
  </si>
  <si>
    <t>Rock</t>
  </si>
  <si>
    <t>Shiny Squirtle</t>
  </si>
  <si>
    <t>Wartortle</t>
  </si>
  <si>
    <t>Ice</t>
  </si>
  <si>
    <t>Shiny Wartortle</t>
  </si>
  <si>
    <t>Obrigado! :)</t>
  </si>
  <si>
    <t>Ghost</t>
  </si>
  <si>
    <t>16 - Reduces speed impariment caused by snow by 10%</t>
  </si>
  <si>
    <t>Shiny Blastoise</t>
  </si>
  <si>
    <t>Dragon</t>
  </si>
  <si>
    <t>Caterpie</t>
  </si>
  <si>
    <t>Shiny Caterpie</t>
  </si>
  <si>
    <t>Metapod</t>
  </si>
  <si>
    <t>Shiny Metapod</t>
  </si>
  <si>
    <t>Butterfree</t>
  </si>
  <si>
    <t>Shiny Butterfree</t>
  </si>
  <si>
    <t>Weedle</t>
  </si>
  <si>
    <t>Shiny Weedle</t>
  </si>
  <si>
    <t>Kakuna</t>
  </si>
  <si>
    <t>Shiny Kakuna</t>
  </si>
  <si>
    <t>Beedrill</t>
  </si>
  <si>
    <t>Shiny Beedrill</t>
  </si>
  <si>
    <t>Pidgeotto</t>
  </si>
  <si>
    <t>Shiny Pidgeotto</t>
  </si>
  <si>
    <t>Shiny Pidgeot</t>
  </si>
  <si>
    <t>Shiny Rattata</t>
  </si>
  <si>
    <t>w</t>
  </si>
  <si>
    <t>Cidade</t>
  </si>
  <si>
    <t>Raticate</t>
  </si>
  <si>
    <t>Pokemon 1</t>
  </si>
  <si>
    <t>Pokemon 2</t>
  </si>
  <si>
    <t>Pokemon 3</t>
  </si>
  <si>
    <t>Shiny Raticate</t>
  </si>
  <si>
    <t>The Rocky Mountain</t>
  </si>
  <si>
    <t>Pewter</t>
  </si>
  <si>
    <t>Larvitar</t>
  </si>
  <si>
    <t>Shiny Fearow</t>
  </si>
  <si>
    <t>Ekans</t>
  </si>
  <si>
    <t>17 - Reduces speed impariment caused by snow by 10%</t>
  </si>
  <si>
    <t>Shiny Ekans</t>
  </si>
  <si>
    <t>The Fairy Garden</t>
  </si>
  <si>
    <t>Flabébé</t>
  </si>
  <si>
    <t>Foette</t>
  </si>
  <si>
    <t>Arbok</t>
  </si>
  <si>
    <t>Shiny Arbok</t>
  </si>
  <si>
    <t>The Fighting Dojo</t>
  </si>
  <si>
    <t>Pikachu</t>
  </si>
  <si>
    <t>Shiny Pikachu</t>
  </si>
  <si>
    <t>Shiny Raichu</t>
  </si>
  <si>
    <t>Sandshrew</t>
  </si>
  <si>
    <t>Shiny Sandshrew</t>
  </si>
  <si>
    <t>Sandslash</t>
  </si>
  <si>
    <t>Shiny Sandslash</t>
  </si>
  <si>
    <t>Nidoran female</t>
  </si>
  <si>
    <t>Shiny Nidoran female</t>
  </si>
  <si>
    <t>Nidorina</t>
  </si>
  <si>
    <t>Shiny Nidorina</t>
  </si>
  <si>
    <t>Shiny Nidoqueen</t>
  </si>
  <si>
    <t>Nidoran Male</t>
  </si>
  <si>
    <t>Shiny Nidoran Male</t>
  </si>
  <si>
    <t>Nidorino</t>
  </si>
  <si>
    <t>Shiny Nidorino</t>
  </si>
  <si>
    <t>Shiny Nidoking</t>
  </si>
  <si>
    <t>Clefairy</t>
  </si>
  <si>
    <t>Shiny Clefairy</t>
  </si>
  <si>
    <t>Mega Clefable</t>
  </si>
  <si>
    <t>Vulpix</t>
  </si>
  <si>
    <t>Shiny Vulpix</t>
  </si>
  <si>
    <t>Shiny Ninetales</t>
  </si>
  <si>
    <t>Jigglypuff</t>
  </si>
  <si>
    <t>18 - Reduces speed impariment caused by snow by 10%</t>
  </si>
  <si>
    <t>Shiny Jigglypuff</t>
  </si>
  <si>
    <t>Zubat</t>
  </si>
  <si>
    <t>Shiny Zubat</t>
  </si>
  <si>
    <t>Shiny Golbat</t>
  </si>
  <si>
    <t>Shiny Oddish</t>
  </si>
  <si>
    <t>Shiny Gloom</t>
  </si>
  <si>
    <t>Vileplume</t>
  </si>
  <si>
    <t>Shiny Vileplume</t>
  </si>
  <si>
    <t>Paras</t>
  </si>
  <si>
    <t>Shiny Paras</t>
  </si>
  <si>
    <t>Parasect</t>
  </si>
  <si>
    <t>Shiny Parasect</t>
  </si>
  <si>
    <t>Venonat</t>
  </si>
  <si>
    <t>Shiny Venonat</t>
  </si>
  <si>
    <t>Venomoth</t>
  </si>
  <si>
    <t>Shiny Venomoth</t>
  </si>
  <si>
    <t>Diglett</t>
  </si>
  <si>
    <t>Shiny Diglett</t>
  </si>
  <si>
    <t>Dugtrio</t>
  </si>
  <si>
    <t>Shiny Dugtrio</t>
  </si>
  <si>
    <t>Meowth</t>
  </si>
  <si>
    <t>Shiny Meowth</t>
  </si>
  <si>
    <t>Persian</t>
  </si>
  <si>
    <t>Shiny Persian</t>
  </si>
  <si>
    <t>Psyduck</t>
  </si>
  <si>
    <t>Shiny Psyduck</t>
  </si>
  <si>
    <t>Shiny Golduck</t>
  </si>
  <si>
    <t>Shiny Mankey</t>
  </si>
  <si>
    <t>Primeape</t>
  </si>
  <si>
    <t>Shiny Primeape</t>
  </si>
  <si>
    <r>
      <rPr>
        <b/>
        <sz val="12.0"/>
      </rPr>
      <t xml:space="preserve">Informações extras:
- Precisa ser lvl 250+
- Pra começar a task, fale com o NPC Alfred na entrada de cada ginásio
- Pra completar a task, fale com o NPC Alfred novamente
- As dungeons possuem um limite de 10 minutos, e não é possível usar revive
- Se morrer na dungeon, conta como uma morte normal (perde xp/bless)
- Caso falhe na dungeon, é cobrado 250k para tentar novamente
- Caso falhe no líder do ginásio, é cobrado 3 simple orbs do tipo respectivo
- Caso falhe pros outros membros do ginásio, é cobrado 1 simple orb
- Recompensa: 4 Potent Boost Stones (Lvl 21-25) do tipo respectivo
- Mais informações: </t>
    </r>
    <r>
      <rPr>
        <b/>
        <color rgb="FF1155CC"/>
        <sz val="12.0"/>
        <u/>
      </rPr>
      <t>https://www.youtube.com/watch?v=khbKeyFrczI</t>
    </r>
    <r>
      <rPr>
        <b/>
        <sz val="12.0"/>
      </rPr>
      <t xml:space="preserve">
</t>
    </r>
  </si>
  <si>
    <t>Growlithe</t>
  </si>
  <si>
    <t>Shiny Growlithe</t>
  </si>
  <si>
    <t>mythic bug orb</t>
  </si>
  <si>
    <t>Shiny Arcanine</t>
  </si>
  <si>
    <t>Poliwag</t>
  </si>
  <si>
    <t>Shiny Poliwag</t>
  </si>
  <si>
    <t>Increas all Bug Type spells damage by 3%.</t>
  </si>
  <si>
    <t>1 - Increas all Bug Type spells damage by 3%.</t>
  </si>
  <si>
    <t>Poliwhirl</t>
  </si>
  <si>
    <t>Shiny Poliwhirl</t>
  </si>
  <si>
    <t>bug essence</t>
  </si>
  <si>
    <t>Wurmple
Silcoon
Beautifly
Cascoon
Dustox
Surskit
Masquerain
Nincada
Ninjask
Shedinja
Volbeat
Illumise</t>
  </si>
  <si>
    <t>Shiny Poliwrath</t>
  </si>
  <si>
    <t>Abra</t>
  </si>
  <si>
    <t>Shiny Abra</t>
  </si>
  <si>
    <t>Kadabra</t>
  </si>
  <si>
    <t>Shiny Kadabra</t>
  </si>
  <si>
    <t>worm horn</t>
  </si>
  <si>
    <t>Wurmple</t>
  </si>
  <si>
    <t>Shiny Alakazam</t>
  </si>
  <si>
    <t>Shiny Machop</t>
  </si>
  <si>
    <t>Machoke</t>
  </si>
  <si>
    <t>Shiny Machoke</t>
  </si>
  <si>
    <t>Shiny Machamp</t>
  </si>
  <si>
    <t>Bellsprout</t>
  </si>
  <si>
    <t>Shiny Bellsprout</t>
  </si>
  <si>
    <t>Weepinbell</t>
  </si>
  <si>
    <t>2 - Increas all Bug Type spells damage by 3%.</t>
  </si>
  <si>
    <t>Shiny Weepinbell</t>
  </si>
  <si>
    <t>Victreebel</t>
  </si>
  <si>
    <t>pink bug horn</t>
  </si>
  <si>
    <t>Shiny Heracross</t>
  </si>
  <si>
    <t>Shiny Victreebel</t>
  </si>
  <si>
    <t>Tentacool</t>
  </si>
  <si>
    <t>moth wing</t>
  </si>
  <si>
    <t>Shiny Tentacool</t>
  </si>
  <si>
    <t>Shiny Tentacruel</t>
  </si>
  <si>
    <t>Shiny Geodude</t>
  </si>
  <si>
    <t>Shiny Graveler</t>
  </si>
  <si>
    <t>simple bug orb</t>
  </si>
  <si>
    <t>Shiny Golem</t>
  </si>
  <si>
    <t>Increas all Bug Type spells damage by 5%.</t>
  </si>
  <si>
    <t>3 - Increas all Bug Type spells damage by 5%.</t>
  </si>
  <si>
    <t>yellow sting</t>
  </si>
  <si>
    <t>Shiny Rapidash</t>
  </si>
  <si>
    <t>Slowpoke</t>
  </si>
  <si>
    <t>Shiny Slowpoke</t>
  </si>
  <si>
    <t>Slowbro</t>
  </si>
  <si>
    <t>Shiny Slowbro</t>
  </si>
  <si>
    <t>Shiny Magnemite</t>
  </si>
  <si>
    <t>Shiny Magneton</t>
  </si>
  <si>
    <t>bee sting</t>
  </si>
  <si>
    <t>Shiny Farfetch'd</t>
  </si>
  <si>
    <t>Doduo</t>
  </si>
  <si>
    <t>4 - Increas all Bug Type spells damage by 3%.</t>
  </si>
  <si>
    <t>Shiny Doduo</t>
  </si>
  <si>
    <t>Shiny Dodrio</t>
  </si>
  <si>
    <t>Seel</t>
  </si>
  <si>
    <t>Shiny Seel</t>
  </si>
  <si>
    <t>Shiny Dewgong</t>
  </si>
  <si>
    <t>Grimer</t>
  </si>
  <si>
    <t>Shiny Grimer</t>
  </si>
  <si>
    <t>arcane bug orb</t>
  </si>
  <si>
    <t>Shiny Muk</t>
  </si>
  <si>
    <t>Shellder</t>
  </si>
  <si>
    <t>Shiny Shellder</t>
  </si>
  <si>
    <t>5 - Increas all Bug Type spells damage by 5%.</t>
  </si>
  <si>
    <t>Shiny Cloyster</t>
  </si>
  <si>
    <t>Gastly</t>
  </si>
  <si>
    <t>Shiny Gastly</t>
  </si>
  <si>
    <t>red cocoon</t>
  </si>
  <si>
    <t>Haunter</t>
  </si>
  <si>
    <t>Shiny Haunter</t>
  </si>
  <si>
    <t>POKEMONS DOS LÍDERES</t>
  </si>
  <si>
    <t>Shiny Gengar</t>
  </si>
  <si>
    <t>Onix</t>
  </si>
  <si>
    <t>Shiny Onix</t>
  </si>
  <si>
    <t>Drowzee</t>
  </si>
  <si>
    <t>Shiny Drowzee</t>
  </si>
  <si>
    <t>Hypno</t>
  </si>
  <si>
    <t>Shiny Hypno</t>
  </si>
  <si>
    <t>Viridian</t>
  </si>
  <si>
    <t>Krabby</t>
  </si>
  <si>
    <t>Shiny Krabby</t>
  </si>
  <si>
    <t>Kingler</t>
  </si>
  <si>
    <t>Cerulean</t>
  </si>
  <si>
    <t>Vermilion</t>
  </si>
  <si>
    <t>Shiny Kingler</t>
  </si>
  <si>
    <t>Celadon</t>
  </si>
  <si>
    <t>Fuchsia</t>
  </si>
  <si>
    <t>Saffron</t>
  </si>
  <si>
    <t>Shiny Voltorb</t>
  </si>
  <si>
    <t>Increas all Bug Type spells defense by 5%.</t>
  </si>
  <si>
    <t>6 - Increas all Bug Type spells defense by 5%.</t>
  </si>
  <si>
    <t>Cinnabar</t>
  </si>
  <si>
    <t>sh Kangaskhan</t>
  </si>
  <si>
    <t>Shiny Electrode</t>
  </si>
  <si>
    <t>sh Marowak</t>
  </si>
  <si>
    <t>sparkle antenna</t>
  </si>
  <si>
    <t>sh Blastoise</t>
  </si>
  <si>
    <t>Exeggcute</t>
  </si>
  <si>
    <t>sh Magneton</t>
  </si>
  <si>
    <t>sh Exeggutor</t>
  </si>
  <si>
    <t>Shiny Exeggcute</t>
  </si>
  <si>
    <t>sh Nidoking</t>
  </si>
  <si>
    <t>sh Alakazam</t>
  </si>
  <si>
    <t>sh Magmar</t>
  </si>
  <si>
    <t>Shiny Exeggutor</t>
  </si>
  <si>
    <t>sh Onix</t>
  </si>
  <si>
    <t>sh Vaporeon</t>
  </si>
  <si>
    <t>sh Ampharos</t>
  </si>
  <si>
    <t>Cubone</t>
  </si>
  <si>
    <t>sh Venusaur</t>
  </si>
  <si>
    <t>sh Nidoqueen</t>
  </si>
  <si>
    <t>sh Xatu</t>
  </si>
  <si>
    <t>sh Flareon</t>
  </si>
  <si>
    <t>Shiny Cubone</t>
  </si>
  <si>
    <t>sh Rhydon</t>
  </si>
  <si>
    <t>sh Tentacruel</t>
  </si>
  <si>
    <t>sh Raichu</t>
  </si>
  <si>
    <t>sh Meganium</t>
  </si>
  <si>
    <t>sh Crobat</t>
  </si>
  <si>
    <t>sh Wobbuffet</t>
  </si>
  <si>
    <t>Shiny Marowak</t>
  </si>
  <si>
    <t>sh Ninetales</t>
  </si>
  <si>
    <t>sh Dugtrio</t>
  </si>
  <si>
    <t>sh Golem</t>
  </si>
  <si>
    <t>sh Feraligatr</t>
  </si>
  <si>
    <t>sh Lanturn</t>
  </si>
  <si>
    <t>sh Tangela</t>
  </si>
  <si>
    <t>sh Espeon</t>
  </si>
  <si>
    <t>sh Arcanine</t>
  </si>
  <si>
    <t>sh Persian</t>
  </si>
  <si>
    <t>Shiny Hitmonlee</t>
  </si>
  <si>
    <t>Aerodactyl</t>
  </si>
  <si>
    <t>sh Politoed</t>
  </si>
  <si>
    <t>sh Jolteon</t>
  </si>
  <si>
    <t>sh Vileplume</t>
  </si>
  <si>
    <t>sh Venomoth</t>
  </si>
  <si>
    <t>sh Mr. Mime</t>
  </si>
  <si>
    <t>piece of cocoon</t>
  </si>
  <si>
    <t>sh Charizard</t>
  </si>
  <si>
    <t>sh Steelix</t>
  </si>
  <si>
    <t>Shiny Hitmonchan</t>
  </si>
  <si>
    <t>Increas all Bug Type spells defense by 3%.</t>
  </si>
  <si>
    <t>Lickitung</t>
  </si>
  <si>
    <t>sh Mantine</t>
  </si>
  <si>
    <t>7 - Increas all Bug Type spells defense by 3%.</t>
  </si>
  <si>
    <t>sh Electabuzz</t>
  </si>
  <si>
    <t>Shiny Lickitung</t>
  </si>
  <si>
    <t>sh Muk</t>
  </si>
  <si>
    <t>Koffing</t>
  </si>
  <si>
    <t>sh Hypno</t>
  </si>
  <si>
    <t>yellow cocoon</t>
  </si>
  <si>
    <t>sh Typhlosion</t>
  </si>
  <si>
    <t>Shiny Koffing</t>
  </si>
  <si>
    <t>Weezing</t>
  </si>
  <si>
    <t>Shiny Weezing</t>
  </si>
  <si>
    <t>Shiny Rhyhorn</t>
  </si>
  <si>
    <t>Shiny Rhydon</t>
  </si>
  <si>
    <t>Chansey</t>
  </si>
  <si>
    <t>Shiny Chansey</t>
  </si>
  <si>
    <t>Shiny Tangela</t>
  </si>
  <si>
    <t>8 - Increas all Bug Type spells defense by 5%.</t>
  </si>
  <si>
    <t>Shiny Kangaskhan</t>
  </si>
  <si>
    <t>Horsea</t>
  </si>
  <si>
    <t>Shiny Horsea</t>
  </si>
  <si>
    <t>red piece of cocoon</t>
  </si>
  <si>
    <t>Seadra</t>
  </si>
  <si>
    <t>Shiny Seadra</t>
  </si>
  <si>
    <t>Goldeen</t>
  </si>
  <si>
    <t>Shiny Goldeen</t>
  </si>
  <si>
    <t>Seaking</t>
  </si>
  <si>
    <t>butterfree wing</t>
  </si>
  <si>
    <t>Shiny Seaking</t>
  </si>
  <si>
    <t>Staryu</t>
  </si>
  <si>
    <t>Shiny Staryu</t>
  </si>
  <si>
    <t>mythic dark orb</t>
  </si>
  <si>
    <t>Increas all Dark Type spells damage by 3%.</t>
  </si>
  <si>
    <t>Starmie</t>
  </si>
  <si>
    <t>1 - Increas all Dark Type spells damage by 3%.</t>
  </si>
  <si>
    <t>dark essence</t>
  </si>
  <si>
    <t>Shiny Starmie</t>
  </si>
  <si>
    <t>pooch fur</t>
  </si>
  <si>
    <t>Poochyena</t>
  </si>
  <si>
    <t>Shiny Mr. Mime</t>
  </si>
  <si>
    <t>Shiny Scyther</t>
  </si>
  <si>
    <t>2 - Increas all Dark Type spells damage by 3%.</t>
  </si>
  <si>
    <t>Shiny Jynx</t>
  </si>
  <si>
    <t>cyan feather</t>
  </si>
  <si>
    <t>Shiny Sneasel</t>
  </si>
  <si>
    <t>Shiny Electabuzz</t>
  </si>
  <si>
    <t>tyranitar tail</t>
  </si>
  <si>
    <t>Shiny Magmar</t>
  </si>
  <si>
    <t>simple dark orb</t>
  </si>
  <si>
    <t>Shiny Houndour</t>
  </si>
  <si>
    <t>Shiny Pinsir</t>
  </si>
  <si>
    <t>Increas all Dark Type spells damage by 5%.</t>
  </si>
  <si>
    <t>3 - Increas all Dark Type spells damage by 5%.</t>
  </si>
  <si>
    <t>smoked bones</t>
  </si>
  <si>
    <t>Shiny Tauros</t>
  </si>
  <si>
    <t>Shiny Magikarp</t>
  </si>
  <si>
    <t>yellow beak</t>
  </si>
  <si>
    <t>Murkrow</t>
  </si>
  <si>
    <t>Shiny Gyarados</t>
  </si>
  <si>
    <t>4 - Increas all Dark Type spells damage by 3%.</t>
  </si>
  <si>
    <t>Shiny Lapras</t>
  </si>
  <si>
    <t>Ditto</t>
  </si>
  <si>
    <t>Shiny Ditto</t>
  </si>
  <si>
    <t>Eevee</t>
  </si>
  <si>
    <t>arcane dark orb</t>
  </si>
  <si>
    <t>Shiny Eevee</t>
  </si>
  <si>
    <t>5 - Increas all Dark Type spells damage by 5%.</t>
  </si>
  <si>
    <t>Shiny Vaporeon</t>
  </si>
  <si>
    <t>dark beak</t>
  </si>
  <si>
    <t>Shiny Murkrow</t>
  </si>
  <si>
    <t>Shiny Jolteon</t>
  </si>
  <si>
    <t>Shiny Flareon</t>
  </si>
  <si>
    <t>Porygon</t>
  </si>
  <si>
    <t>Shiny Porygon</t>
  </si>
  <si>
    <t>Omanyte</t>
  </si>
  <si>
    <t>Shiny Omanyte</t>
  </si>
  <si>
    <t>Increas all Dark Type spells defense by 5%.</t>
  </si>
  <si>
    <t>6 - Increas all Dark Type spells defense by 5%.</t>
  </si>
  <si>
    <t>Shiny Omastar</t>
  </si>
  <si>
    <t>Kabuto</t>
  </si>
  <si>
    <t>Shiny Kabuto</t>
  </si>
  <si>
    <t>Shiny Kabutops</t>
  </si>
  <si>
    <t>Shiny Aerodactyl</t>
  </si>
  <si>
    <t>Shiny Snorlax</t>
  </si>
  <si>
    <t>Articuno</t>
  </si>
  <si>
    <t>Shiny Articuno</t>
  </si>
  <si>
    <t>Increas all Dark Type spells defense by 3%.</t>
  </si>
  <si>
    <t>Zapdos</t>
  </si>
  <si>
    <t>Shiny Zapdos</t>
  </si>
  <si>
    <t>7 - Increas all Dark Type spells defense by 3%.</t>
  </si>
  <si>
    <t>Moltres</t>
  </si>
  <si>
    <t>Shiny Moltres</t>
  </si>
  <si>
    <t>Dratini</t>
  </si>
  <si>
    <t>Shiny Dratini</t>
  </si>
  <si>
    <t>Shiny Dragonair</t>
  </si>
  <si>
    <t>8 - Increas all Dark Type spells defense by 5%.</t>
  </si>
  <si>
    <t>Shiny Dragonite</t>
  </si>
  <si>
    <t>Mewtwo</t>
  </si>
  <si>
    <t>Shiny Mewtwo</t>
  </si>
  <si>
    <t>Mew</t>
  </si>
  <si>
    <t>Shiny Mew</t>
  </si>
  <si>
    <t>Chikorita</t>
  </si>
  <si>
    <t>Shiny Chikorita</t>
  </si>
  <si>
    <t>mythic dragon orb</t>
  </si>
  <si>
    <t>Bayleef</t>
  </si>
  <si>
    <t>Shiny Bayleef</t>
  </si>
  <si>
    <t>Increas all Dragon Type spells damage by 3%.</t>
  </si>
  <si>
    <t>1 - Increas all Dragon Type spells damage by 3%.</t>
  </si>
  <si>
    <t>dragon essence</t>
  </si>
  <si>
    <t>Shiny Meganium</t>
  </si>
  <si>
    <t>Cyndaquil</t>
  </si>
  <si>
    <t>dragon topknot</t>
  </si>
  <si>
    <t>Bagon</t>
  </si>
  <si>
    <t>Shiny Cyndaquil</t>
  </si>
  <si>
    <t>Quilava</t>
  </si>
  <si>
    <t>Shiny Quilava</t>
  </si>
  <si>
    <t>Shiny Typhlosion</t>
  </si>
  <si>
    <t>2 - Increas all Dragon Type spells damage by 3%.</t>
  </si>
  <si>
    <t>Totodile</t>
  </si>
  <si>
    <t>shiny dragon ears</t>
  </si>
  <si>
    <t>Shiny Totodile</t>
  </si>
  <si>
    <t>Croconaw</t>
  </si>
  <si>
    <t>Shiny Croconaw</t>
  </si>
  <si>
    <t>Shiny Feraligatr</t>
  </si>
  <si>
    <t>Sentret</t>
  </si>
  <si>
    <t>simple dragon orb</t>
  </si>
  <si>
    <t>Shiny Sentret</t>
  </si>
  <si>
    <t>Increas all Dragon Type spells damage by 5%.</t>
  </si>
  <si>
    <t>3 - Increas all Dragon Type spells damage by 5%.</t>
  </si>
  <si>
    <t>Furret</t>
  </si>
  <si>
    <t>Shiny Furret</t>
  </si>
  <si>
    <t>Hoothoot</t>
  </si>
  <si>
    <t>Shiny Hoothoot</t>
  </si>
  <si>
    <t>Noctowl</t>
  </si>
  <si>
    <t>dratini ear</t>
  </si>
  <si>
    <t>Shiny Noctowl</t>
  </si>
  <si>
    <t>Ledyba</t>
  </si>
  <si>
    <t>4 - Increas all Dragon Type spells damage by 3%.</t>
  </si>
  <si>
    <t>Shiny Ledyba</t>
  </si>
  <si>
    <t>Ledian</t>
  </si>
  <si>
    <t>arcane dragon orb</t>
  </si>
  <si>
    <t>Shiny Ledian</t>
  </si>
  <si>
    <t>Spinarak</t>
  </si>
  <si>
    <t>5 - Increas all Dragon Type spells damage by 5%.</t>
  </si>
  <si>
    <t>Shiny Spinarak</t>
  </si>
  <si>
    <t>Ariados</t>
  </si>
  <si>
    <t>Shiny Ariados</t>
  </si>
  <si>
    <t>Shiny Crobat</t>
  </si>
  <si>
    <t>Chinchou</t>
  </si>
  <si>
    <t>Shiny Chinchou</t>
  </si>
  <si>
    <t>Lanturn</t>
  </si>
  <si>
    <t>Shiny Lanturn</t>
  </si>
  <si>
    <t>Pichu</t>
  </si>
  <si>
    <t>Increas all Dragon Type spells defense by 5%.</t>
  </si>
  <si>
    <t>Shiny Pichu</t>
  </si>
  <si>
    <t>6 - Increas all Dragon Type spells defense by 5%.</t>
  </si>
  <si>
    <t>Cleffa</t>
  </si>
  <si>
    <t>Shiny Cleffa</t>
  </si>
  <si>
    <t>Igglybuff</t>
  </si>
  <si>
    <t>Increas all Dragon Type spells defense by 3%.</t>
  </si>
  <si>
    <t>7 - Increas all Dragon Type spells defense by 3%.</t>
  </si>
  <si>
    <t>Shiny Igglybuff</t>
  </si>
  <si>
    <t>Togepi</t>
  </si>
  <si>
    <t>Shiny Togepi</t>
  </si>
  <si>
    <t>Togetic</t>
  </si>
  <si>
    <t>8 - Increas all Dragon Type spells defense by 5%.</t>
  </si>
  <si>
    <t>Shiny Togetic</t>
  </si>
  <si>
    <t>Natu</t>
  </si>
  <si>
    <t>Shiny Natu</t>
  </si>
  <si>
    <t>Shiny Xatu</t>
  </si>
  <si>
    <t>simple electric orb</t>
  </si>
  <si>
    <t>Mareep</t>
  </si>
  <si>
    <t>Shiny Mareep</t>
  </si>
  <si>
    <t>Increas all Electric Type spells defense by 5%.</t>
  </si>
  <si>
    <t>1 - Increas all Electric Type spells defense by 5%.</t>
  </si>
  <si>
    <t>Flaaffy</t>
  </si>
  <si>
    <t>Shiny Flaaffy</t>
  </si>
  <si>
    <t>green remains</t>
  </si>
  <si>
    <t>Shiny Ampharos</t>
  </si>
  <si>
    <t>Bellossom</t>
  </si>
  <si>
    <t>electric rat tail</t>
  </si>
  <si>
    <t>Shiny Bellossom</t>
  </si>
  <si>
    <t>Marill</t>
  </si>
  <si>
    <t>Increas all Electric Type spells defense by 3%.</t>
  </si>
  <si>
    <t>2 - Increas all Electric Type spells defense by 3%.</t>
  </si>
  <si>
    <t>Shiny Marill</t>
  </si>
  <si>
    <t>Azumarill</t>
  </si>
  <si>
    <t>mythic electric orb</t>
  </si>
  <si>
    <t>Shiny Azumarill</t>
  </si>
  <si>
    <t>3 - Increas all Electric Type spells defense by 5%.</t>
  </si>
  <si>
    <t>Sudowoodo</t>
  </si>
  <si>
    <t>electric soft wool</t>
  </si>
  <si>
    <t>Shiny Sudowoodo</t>
  </si>
  <si>
    <t>Shiny Politoed</t>
  </si>
  <si>
    <t>soft wool</t>
  </si>
  <si>
    <t>Hoppip</t>
  </si>
  <si>
    <t>Shiny Hoppip</t>
  </si>
  <si>
    <t>Skiploom</t>
  </si>
  <si>
    <t>Shiny Skiploom</t>
  </si>
  <si>
    <t>Jumpluff</t>
  </si>
  <si>
    <t>Shiny Jumpluff</t>
  </si>
  <si>
    <t>4 - Increas all Electric Type spells defense by 3%.</t>
  </si>
  <si>
    <t>Aipom</t>
  </si>
  <si>
    <t>electric essence</t>
  </si>
  <si>
    <t>Shiny Aipom</t>
  </si>
  <si>
    <t>Sunkern</t>
  </si>
  <si>
    <t>green crest</t>
  </si>
  <si>
    <t>Electrike</t>
  </si>
  <si>
    <t>Shiny Sunkern</t>
  </si>
  <si>
    <t>Sunflora</t>
  </si>
  <si>
    <t>Shiny Sunflora</t>
  </si>
  <si>
    <t>Yanma</t>
  </si>
  <si>
    <t>arcane electric orb</t>
  </si>
  <si>
    <t>Shiny Yanma</t>
  </si>
  <si>
    <t>Increas all Electric Type spells damage by 5%.</t>
  </si>
  <si>
    <t>5 - Increas all Electric Type spells damage by 5%.</t>
  </si>
  <si>
    <t>Wooper</t>
  </si>
  <si>
    <t>Shiny Wooper</t>
  </si>
  <si>
    <t>big green piece</t>
  </si>
  <si>
    <t>Quagsire</t>
  </si>
  <si>
    <t>Shiny Quagsire</t>
  </si>
  <si>
    <t>Shiny Espeon</t>
  </si>
  <si>
    <t>Shiny Umbreon</t>
  </si>
  <si>
    <t>Shiny Slowking</t>
  </si>
  <si>
    <t>6 - Increas all Electric Type spells damage by 5%.</t>
  </si>
  <si>
    <t>blue screws</t>
  </si>
  <si>
    <t>Shiny Misdreavus</t>
  </si>
  <si>
    <t>Unown</t>
  </si>
  <si>
    <t>Shiny Unown</t>
  </si>
  <si>
    <t>Shiny Wobbuffet</t>
  </si>
  <si>
    <t>Shiny Girafarig</t>
  </si>
  <si>
    <t>Pineco</t>
  </si>
  <si>
    <t>Shiny Pineco</t>
  </si>
  <si>
    <t>Increas all Electric Type spells damage by 3%.</t>
  </si>
  <si>
    <t>7 - Increas all Electric Type spells damage by 3%.</t>
  </si>
  <si>
    <t>Forretress</t>
  </si>
  <si>
    <t>Shiny Forretress</t>
  </si>
  <si>
    <t>Dunsparce</t>
  </si>
  <si>
    <t>Shiny Dunsparce</t>
  </si>
  <si>
    <t>Gligar</t>
  </si>
  <si>
    <t>Shiny Gligar</t>
  </si>
  <si>
    <t>Shiny Steelix</t>
  </si>
  <si>
    <t>Snubbull</t>
  </si>
  <si>
    <t>Shiny Snubbull</t>
  </si>
  <si>
    <t>Granbull</t>
  </si>
  <si>
    <t>8 - Increas all Electric Type spells damage by 5%.</t>
  </si>
  <si>
    <t>Shiny Granbull</t>
  </si>
  <si>
    <t>Qwilfish</t>
  </si>
  <si>
    <t>Shiny Qwilfish</t>
  </si>
  <si>
    <t>Shiny Scizor</t>
  </si>
  <si>
    <t>simple fairy orb</t>
  </si>
  <si>
    <t>Shuckle</t>
  </si>
  <si>
    <t>Increas all Fairy Type spells defense by 5%.</t>
  </si>
  <si>
    <t>1 - Increas all Fairy Type spells defense by 5%.</t>
  </si>
  <si>
    <t>Shiny Shuckle</t>
  </si>
  <si>
    <t>punk ear</t>
  </si>
  <si>
    <t>Heracross</t>
  </si>
  <si>
    <t>Sneasel</t>
  </si>
  <si>
    <t>snubull ear</t>
  </si>
  <si>
    <t>Teddiursa</t>
  </si>
  <si>
    <t>Increas all Fairy Type spells defense by 3%.</t>
  </si>
  <si>
    <t>2 - Increas all Fairy Type spells defense by 3%.</t>
  </si>
  <si>
    <t>Shiny Teddiursa</t>
  </si>
  <si>
    <t>Shiny Ursaring</t>
  </si>
  <si>
    <t>Slugma</t>
  </si>
  <si>
    <t>Shiny Slugma</t>
  </si>
  <si>
    <t>mythic fairy orb</t>
  </si>
  <si>
    <t>Shiny Magcargo</t>
  </si>
  <si>
    <t>Swinub</t>
  </si>
  <si>
    <t>3 - Increas all Fairy Type spells defense by 5%.</t>
  </si>
  <si>
    <t>Shiny Swinub</t>
  </si>
  <si>
    <t>Piloswine</t>
  </si>
  <si>
    <t>purple moon topknot</t>
  </si>
  <si>
    <t>Shiny Piloswine</t>
  </si>
  <si>
    <t>Corsola</t>
  </si>
  <si>
    <t>Shiny Corsola</t>
  </si>
  <si>
    <t>Remoraid</t>
  </si>
  <si>
    <t>moon topknot</t>
  </si>
  <si>
    <t>Shiny Remoraid</t>
  </si>
  <si>
    <t>Octillery</t>
  </si>
  <si>
    <t>Shiny Octillery</t>
  </si>
  <si>
    <t>Delibird</t>
  </si>
  <si>
    <t>Shiny Delibird</t>
  </si>
  <si>
    <t>Shiny Mantine</t>
  </si>
  <si>
    <t>4 - Increas all Fairy Type spells defense by 3%.</t>
  </si>
  <si>
    <t>fairy essence</t>
  </si>
  <si>
    <t>Shiny Skarmory</t>
  </si>
  <si>
    <t>Houndour</t>
  </si>
  <si>
    <t>baby blue tail</t>
  </si>
  <si>
    <t>Azurill</t>
  </si>
  <si>
    <t>Shiny Houndoom</t>
  </si>
  <si>
    <t>Mega Houndoom</t>
  </si>
  <si>
    <t>Shiny Kingdra</t>
  </si>
  <si>
    <t>Phanpy</t>
  </si>
  <si>
    <t>Shiny Phanpy</t>
  </si>
  <si>
    <t>arcane fairy orb</t>
  </si>
  <si>
    <t>Donphan</t>
  </si>
  <si>
    <t>Shiny Donphan</t>
  </si>
  <si>
    <t>Increas all Fairy Type spells damage by 5%.</t>
  </si>
  <si>
    <t>5 - Increas all Fairy Type spells damage by 5%.</t>
  </si>
  <si>
    <t>Porygon2</t>
  </si>
  <si>
    <t>Shiny Porygon2</t>
  </si>
  <si>
    <t>pink dainty wing</t>
  </si>
  <si>
    <t>Stantler</t>
  </si>
  <si>
    <t>Shiny Stantler</t>
  </si>
  <si>
    <t>Smeargle</t>
  </si>
  <si>
    <t>Shiny Smeargle</t>
  </si>
  <si>
    <t>Tyrogue</t>
  </si>
  <si>
    <t>Shiny Tyrogue</t>
  </si>
  <si>
    <t>Shiny Hitmontop</t>
  </si>
  <si>
    <t>Smoochum</t>
  </si>
  <si>
    <t>Shiny Smoochum</t>
  </si>
  <si>
    <t>Elekid</t>
  </si>
  <si>
    <t>6 - Increas all Fairy Type spells damage by 5%.</t>
  </si>
  <si>
    <t>Shiny Elekid</t>
  </si>
  <si>
    <t>Magby</t>
  </si>
  <si>
    <t>Shiny Magby</t>
  </si>
  <si>
    <t>Shiny Miltank</t>
  </si>
  <si>
    <t>Blissey</t>
  </si>
  <si>
    <t>Increas all Fairy Type spells damage by 3%.</t>
  </si>
  <si>
    <t>7 - Increas all Fairy Type spells damage by 3%.</t>
  </si>
  <si>
    <t>Shiny Blissey</t>
  </si>
  <si>
    <t>Raikou</t>
  </si>
  <si>
    <t>Shiny Raikou</t>
  </si>
  <si>
    <t>Entei</t>
  </si>
  <si>
    <t>Shiny Entei</t>
  </si>
  <si>
    <t>Suicune</t>
  </si>
  <si>
    <t>Shiny Suicune</t>
  </si>
  <si>
    <t>8 - Increas all Fairy Type spells damage by 5%.</t>
  </si>
  <si>
    <t>Shiny Larvitar</t>
  </si>
  <si>
    <t>Shiny Pupitar</t>
  </si>
  <si>
    <t>Shiny Tyranitar</t>
  </si>
  <si>
    <t>Lugia</t>
  </si>
  <si>
    <t>Shiny Lugia</t>
  </si>
  <si>
    <t>mythic fighting orb</t>
  </si>
  <si>
    <t>Ho-oh</t>
  </si>
  <si>
    <t>Increas all Fighting Type spells damage by 3%.</t>
  </si>
  <si>
    <t>Shiny Ho-oh</t>
  </si>
  <si>
    <t>1 - Increas all Fighting Type spells damage by 3%.</t>
  </si>
  <si>
    <t>Celebi</t>
  </si>
  <si>
    <t>fighter essence</t>
  </si>
  <si>
    <t>Shiny Celebi</t>
  </si>
  <si>
    <t>Treecko</t>
  </si>
  <si>
    <t>Shiny Treecko</t>
  </si>
  <si>
    <t>Grovyle</t>
  </si>
  <si>
    <t>Shiny Grovyle</t>
  </si>
  <si>
    <t>boxing gloves</t>
  </si>
  <si>
    <t>Shiny Sceptile</t>
  </si>
  <si>
    <t>Torchic</t>
  </si>
  <si>
    <t>Shiny Torchic</t>
  </si>
  <si>
    <t>Combusken</t>
  </si>
  <si>
    <t>Shiny Combusken</t>
  </si>
  <si>
    <t>Makuhita</t>
  </si>
  <si>
    <t>Shiny Blaziken</t>
  </si>
  <si>
    <t>Mudkip</t>
  </si>
  <si>
    <t>Shiny Mudkip</t>
  </si>
  <si>
    <t>Marshtomp</t>
  </si>
  <si>
    <t>Shiny Marshtomp</t>
  </si>
  <si>
    <t>Shiny Swampert</t>
  </si>
  <si>
    <t>2 - Increas all Fighting Type spells damage by 3%.</t>
  </si>
  <si>
    <t>metal bracelet</t>
  </si>
  <si>
    <t>Shiny Poochyena</t>
  </si>
  <si>
    <t>punching machine</t>
  </si>
  <si>
    <t>Shiny Mightyena</t>
  </si>
  <si>
    <t>Zigzagoon</t>
  </si>
  <si>
    <t>Shiny Zigzagoon</t>
  </si>
  <si>
    <t>Linoone</t>
  </si>
  <si>
    <t>Shiny Linoone</t>
  </si>
  <si>
    <t>simple fighting orb</t>
  </si>
  <si>
    <t>Shiny Wurmple</t>
  </si>
  <si>
    <t>Increas all Fighting Type spells damage by 5%.</t>
  </si>
  <si>
    <t>3 - Increas all Fighting Type spells damage by 5%.</t>
  </si>
  <si>
    <t>Silcoon</t>
  </si>
  <si>
    <t>blond hawk</t>
  </si>
  <si>
    <t>Shiny Silcoon</t>
  </si>
  <si>
    <t>Shiny Beautifly</t>
  </si>
  <si>
    <t>Cascoon</t>
  </si>
  <si>
    <t>Shiny Cascoon</t>
  </si>
  <si>
    <t>Shiny Dustox</t>
  </si>
  <si>
    <t>mankey tail</t>
  </si>
  <si>
    <t>Lotad</t>
  </si>
  <si>
    <t>4 - Increas all Fighting Type spells damage by 3%.</t>
  </si>
  <si>
    <t>Shiny Lotad</t>
  </si>
  <si>
    <t>Lombre</t>
  </si>
  <si>
    <t>Shiny Lombre</t>
  </si>
  <si>
    <t>arcane fighting orb</t>
  </si>
  <si>
    <t>5 - Increas all Fighting Type spells damage by 5%.</t>
  </si>
  <si>
    <t>Shiny Ludicolo</t>
  </si>
  <si>
    <t>champion underwear</t>
  </si>
  <si>
    <t>Seedot</t>
  </si>
  <si>
    <t>Shiny Seedot</t>
  </si>
  <si>
    <t>fighter underwear</t>
  </si>
  <si>
    <t>Nuzleaf</t>
  </si>
  <si>
    <t>Shiny Nuzleaf</t>
  </si>
  <si>
    <t>Shiny Shiftry</t>
  </si>
  <si>
    <t>Taillow</t>
  </si>
  <si>
    <t>Shiny Taillow</t>
  </si>
  <si>
    <t>Increas all Fighting Type spells defense by 5%.</t>
  </si>
  <si>
    <t>6 - Increas all Fighting Type spells defense by 5%.</t>
  </si>
  <si>
    <t>white monkey tail</t>
  </si>
  <si>
    <t>Shiny Swellow</t>
  </si>
  <si>
    <t>Wingull</t>
  </si>
  <si>
    <t>Shiny Wingull</t>
  </si>
  <si>
    <t>Shiny Pelipper</t>
  </si>
  <si>
    <t>Ralts</t>
  </si>
  <si>
    <t>Shiny Ralts</t>
  </si>
  <si>
    <t>Kirlia</t>
  </si>
  <si>
    <t>Increas all Fighting Type spells defense by 3%.</t>
  </si>
  <si>
    <t>7 - Increas all Fighting Type spells defense by 3%.</t>
  </si>
  <si>
    <t>Shiny Kirlia</t>
  </si>
  <si>
    <t>Shiny Gardevoir</t>
  </si>
  <si>
    <t>Surskit</t>
  </si>
  <si>
    <t>Shiny Surskit</t>
  </si>
  <si>
    <t>Shiny Masquerain</t>
  </si>
  <si>
    <t>Shroomish</t>
  </si>
  <si>
    <t>8 - Increas all Fighting Type spells defense by 5%.</t>
  </si>
  <si>
    <t>Shiny Shroomish</t>
  </si>
  <si>
    <t>Shiny Breloom</t>
  </si>
  <si>
    <t>Slakoth</t>
  </si>
  <si>
    <t>Shiny Slakoth</t>
  </si>
  <si>
    <t>Vigoroth</t>
  </si>
  <si>
    <t>Shiny Vigoroth</t>
  </si>
  <si>
    <t>Shiny Slaking</t>
  </si>
  <si>
    <t>Nincada</t>
  </si>
  <si>
    <t>mythic fire orb</t>
  </si>
  <si>
    <t>Shiny Nincada</t>
  </si>
  <si>
    <t>Increas all Fire Type spells damage by 3%.</t>
  </si>
  <si>
    <t>Shiny Ninjask</t>
  </si>
  <si>
    <t>1 - Increas all Fire Type spells damage by 3%.</t>
  </si>
  <si>
    <t>Shiny Shedinja</t>
  </si>
  <si>
    <t>Whismur</t>
  </si>
  <si>
    <t>Shiny Whismur</t>
  </si>
  <si>
    <t>Loudred</t>
  </si>
  <si>
    <t>Shiny Loudred</t>
  </si>
  <si>
    <t>fire plume</t>
  </si>
  <si>
    <t>Shiny Exploud</t>
  </si>
  <si>
    <t>Shiny Makuhita</t>
  </si>
  <si>
    <t>Shiny Hariyama</t>
  </si>
  <si>
    <t>Shiny Azurill</t>
  </si>
  <si>
    <t>Nosepass</t>
  </si>
  <si>
    <t>Shiny Nosepass</t>
  </si>
  <si>
    <t>2 - Increas all Fire Type spells damage by 3%.</t>
  </si>
  <si>
    <t>Skitty</t>
  </si>
  <si>
    <t>Shiny Skitty</t>
  </si>
  <si>
    <t>black lizard tail</t>
  </si>
  <si>
    <t>Shiny Charmelion</t>
  </si>
  <si>
    <t>Shiny Delcatty</t>
  </si>
  <si>
    <t>Shiny Sableye</t>
  </si>
  <si>
    <t>Shiny Mawile</t>
  </si>
  <si>
    <t>Aron</t>
  </si>
  <si>
    <t>Shiny Aron</t>
  </si>
  <si>
    <t>Lairon</t>
  </si>
  <si>
    <t>Shiny Lairon</t>
  </si>
  <si>
    <t>Shiny Aggron</t>
  </si>
  <si>
    <t>Meditite</t>
  </si>
  <si>
    <t>Shiny Meditite</t>
  </si>
  <si>
    <t>simple fire orb</t>
  </si>
  <si>
    <t>Shiny Medicham</t>
  </si>
  <si>
    <t>Increas all Fire Type spells damage by 5%.</t>
  </si>
  <si>
    <t>Shiny Electrike</t>
  </si>
  <si>
    <t>3 - Increas all Fire Type spells damage by 5%.</t>
  </si>
  <si>
    <t>Shiny Manectric</t>
  </si>
  <si>
    <t>blue canine tail</t>
  </si>
  <si>
    <t>Plusle</t>
  </si>
  <si>
    <t>Shiny Plusle</t>
  </si>
  <si>
    <t>Minun</t>
  </si>
  <si>
    <t>Shiny Minun</t>
  </si>
  <si>
    <t>Volbeat</t>
  </si>
  <si>
    <t>Shiny Volbeat</t>
  </si>
  <si>
    <t>Illumise</t>
  </si>
  <si>
    <t>Shiny Illumise</t>
  </si>
  <si>
    <t>Shiny Roselia</t>
  </si>
  <si>
    <t>4 - Increas all Fire Type spells damage by 3%.</t>
  </si>
  <si>
    <t>Gulpin</t>
  </si>
  <si>
    <t>Shiny Gulpin</t>
  </si>
  <si>
    <t>dog fur</t>
  </si>
  <si>
    <t>Shiny Swalot</t>
  </si>
  <si>
    <t>Carvanha</t>
  </si>
  <si>
    <t>Shiny Carvanha</t>
  </si>
  <si>
    <t>Shiny Sharpedo</t>
  </si>
  <si>
    <t>Wailmer</t>
  </si>
  <si>
    <t>Shiny Wailmer</t>
  </si>
  <si>
    <t>arcane fire orb</t>
  </si>
  <si>
    <t>Shiny Wailord</t>
  </si>
  <si>
    <t>Numel</t>
  </si>
  <si>
    <t>5 - Increas all Fire Type spells damage by 5%.</t>
  </si>
  <si>
    <t>Shiny Numel</t>
  </si>
  <si>
    <t>Shiny Camerupt</t>
  </si>
  <si>
    <t>Shiny Torkoal</t>
  </si>
  <si>
    <t>Spoink</t>
  </si>
  <si>
    <t>lizard tail</t>
  </si>
  <si>
    <t>Charmelion</t>
  </si>
  <si>
    <t>Shiny Spoink</t>
  </si>
  <si>
    <t>Shiny Grumpig</t>
  </si>
  <si>
    <t>Spinda</t>
  </si>
  <si>
    <t>Shiny Spinda</t>
  </si>
  <si>
    <t>Trapinch</t>
  </si>
  <si>
    <t>Shiny Trapinch</t>
  </si>
  <si>
    <t>Vibrava</t>
  </si>
  <si>
    <t>Shiny Vibrava</t>
  </si>
  <si>
    <t>Increas all Fire Type spells defense by 5%.</t>
  </si>
  <si>
    <t>6 - Increas all Fire Type spells defense by 5%.</t>
  </si>
  <si>
    <t>Shiny Flygon</t>
  </si>
  <si>
    <t>Cacnea</t>
  </si>
  <si>
    <t>black tail</t>
  </si>
  <si>
    <t>Shiny Cacnea</t>
  </si>
  <si>
    <t>Shiny Cacturne</t>
  </si>
  <si>
    <t>Swablu</t>
  </si>
  <si>
    <t>Shiny Swablu</t>
  </si>
  <si>
    <t>Shiny Altaria</t>
  </si>
  <si>
    <t>fire tail</t>
  </si>
  <si>
    <t>Shiny Zangoose</t>
  </si>
  <si>
    <t>Increas all Fire Type spells defense by 3%.</t>
  </si>
  <si>
    <t>Shiny Seviper</t>
  </si>
  <si>
    <t>7 - Increas all Fire Type spells defense by 3%.</t>
  </si>
  <si>
    <t>Shiny Lunatone</t>
  </si>
  <si>
    <t>canine tail</t>
  </si>
  <si>
    <t>Shiny Solrock</t>
  </si>
  <si>
    <t>Barboach</t>
  </si>
  <si>
    <t>Shiny Barboach</t>
  </si>
  <si>
    <t>Shiny Whiscash</t>
  </si>
  <si>
    <t>Corphish</t>
  </si>
  <si>
    <t>Shiny Corphish</t>
  </si>
  <si>
    <t>Shiny Crawdaunt</t>
  </si>
  <si>
    <t>Baltoy</t>
  </si>
  <si>
    <t>Shiny Baltoy</t>
  </si>
  <si>
    <t>Shiny Claydol</t>
  </si>
  <si>
    <t>Lileep</t>
  </si>
  <si>
    <t>Shiny Lileep</t>
  </si>
  <si>
    <t>8 - Increas all Fire Type spells defense by 5%.</t>
  </si>
  <si>
    <t>Shiny Cradily</t>
  </si>
  <si>
    <t>Anorith</t>
  </si>
  <si>
    <t>Shiny Anorith</t>
  </si>
  <si>
    <t>blaze fur</t>
  </si>
  <si>
    <t>Shiny Armaldo</t>
  </si>
  <si>
    <t>Feebas</t>
  </si>
  <si>
    <t>Shiny Feebas</t>
  </si>
  <si>
    <t>quilava fur</t>
  </si>
  <si>
    <t>Shiny Milotic</t>
  </si>
  <si>
    <t>Castform</t>
  </si>
  <si>
    <t>Shiny Castform</t>
  </si>
  <si>
    <t>Shiny Kecleon</t>
  </si>
  <si>
    <t>mythic flying orb</t>
  </si>
  <si>
    <t>Shuppet</t>
  </si>
  <si>
    <t>Shiny Shuppet</t>
  </si>
  <si>
    <t>Increas all Flying Type spells damage by 3%.</t>
  </si>
  <si>
    <t>1 - Increas all Flying Type spells damage by 3%.</t>
  </si>
  <si>
    <t>Shiny Banette</t>
  </si>
  <si>
    <t>flying essence</t>
  </si>
  <si>
    <t>Duskull</t>
  </si>
  <si>
    <t>Shiny Duskull</t>
  </si>
  <si>
    <t>Shiny Dusclops</t>
  </si>
  <si>
    <t>feather tail</t>
  </si>
  <si>
    <t>Shiny Tropius</t>
  </si>
  <si>
    <t>Shiny Chimecho</t>
  </si>
  <si>
    <t>Shiny Absol</t>
  </si>
  <si>
    <t>Wynaut</t>
  </si>
  <si>
    <t>Shiny Wynaut</t>
  </si>
  <si>
    <t>Snorunt</t>
  </si>
  <si>
    <t>Shiny Snorunt</t>
  </si>
  <si>
    <t>2 - Increas all Flying Type spells damage by 3%.</t>
  </si>
  <si>
    <t>shiny bat wing</t>
  </si>
  <si>
    <t>Shiny Glalie</t>
  </si>
  <si>
    <t>Spheal</t>
  </si>
  <si>
    <t>Shiny Spheal</t>
  </si>
  <si>
    <t>Sealeo</t>
  </si>
  <si>
    <t>dodrio feather</t>
  </si>
  <si>
    <t>Shiny Sealeo</t>
  </si>
  <si>
    <t>Shiny Walrein</t>
  </si>
  <si>
    <t>Shiny Clamperl</t>
  </si>
  <si>
    <t>Shiny Huntail</t>
  </si>
  <si>
    <t>3 - Increas all Flying Type spells damage by 3%.</t>
  </si>
  <si>
    <t>Shiny Gorebyss</t>
  </si>
  <si>
    <t>Shiny Relicanth</t>
  </si>
  <si>
    <t>simple flying orb</t>
  </si>
  <si>
    <t>Luvdisc</t>
  </si>
  <si>
    <t>Increas all Flying Type spells damage by 5%.</t>
  </si>
  <si>
    <t>4 - Increas all Flying Type spells damage by 5%.</t>
  </si>
  <si>
    <t>Shiny Luvdisc</t>
  </si>
  <si>
    <t>Shiny Bagon</t>
  </si>
  <si>
    <t>Shelgon</t>
  </si>
  <si>
    <t>Shiny Shelgon</t>
  </si>
  <si>
    <t>Shiny Salamence</t>
  </si>
  <si>
    <t>Beldum</t>
  </si>
  <si>
    <t>arcane flying orb</t>
  </si>
  <si>
    <t>Shiny Beldum</t>
  </si>
  <si>
    <t>5 - Increas all Flying Type spells damage by 5%.</t>
  </si>
  <si>
    <t>two-colored tail</t>
  </si>
  <si>
    <t>Shiny Metang</t>
  </si>
  <si>
    <t>bird tail</t>
  </si>
  <si>
    <t>Shiny Metagross</t>
  </si>
  <si>
    <t>Regirock</t>
  </si>
  <si>
    <t>Shiny Regirock</t>
  </si>
  <si>
    <t>Regice</t>
  </si>
  <si>
    <t>Shiny Regice</t>
  </si>
  <si>
    <t>Registeel</t>
  </si>
  <si>
    <t>Shiny Registeel</t>
  </si>
  <si>
    <t>Latios</t>
  </si>
  <si>
    <t>Increas all Flying Type spells defense by 3%.</t>
  </si>
  <si>
    <t>6 - Increas all Flying Type spells defense by 3%.</t>
  </si>
  <si>
    <t>Shiny Latios</t>
  </si>
  <si>
    <t>Latias</t>
  </si>
  <si>
    <t>Shiny Latias</t>
  </si>
  <si>
    <t>Kyogre</t>
  </si>
  <si>
    <t>Shiny Kyogre</t>
  </si>
  <si>
    <t>Groudon</t>
  </si>
  <si>
    <t>Shiny Groudon</t>
  </si>
  <si>
    <t>Rayquaza</t>
  </si>
  <si>
    <t>Shiny Rayquaza</t>
  </si>
  <si>
    <t>Jirachi</t>
  </si>
  <si>
    <t>Shiny Jirachi</t>
  </si>
  <si>
    <t>Increas all Flying Type spells defense by 5%.</t>
  </si>
  <si>
    <t>7 - Increas all Flying Type spells defense by 5%.</t>
  </si>
  <si>
    <t>Deoxys</t>
  </si>
  <si>
    <t>Shiny Deoxys</t>
  </si>
  <si>
    <t>Turtwig</t>
  </si>
  <si>
    <t>Shiny Turtwig</t>
  </si>
  <si>
    <t>Grotle</t>
  </si>
  <si>
    <t>Shiny Grotle</t>
  </si>
  <si>
    <t>Shiny Torterra</t>
  </si>
  <si>
    <t>Chimchar</t>
  </si>
  <si>
    <t>Shiny Chimchar</t>
  </si>
  <si>
    <t>Monferno</t>
  </si>
  <si>
    <t>Shiny Monferno</t>
  </si>
  <si>
    <t>8 - Increas all Flying Type spells defense by 5%.</t>
  </si>
  <si>
    <t>Shiny Infernape</t>
  </si>
  <si>
    <t>Shinx</t>
  </si>
  <si>
    <t>Shiny Shinx</t>
  </si>
  <si>
    <t>Luxio</t>
  </si>
  <si>
    <t>Shiny Luxio</t>
  </si>
  <si>
    <t>Shiny Luxray</t>
  </si>
  <si>
    <t>Cranidos</t>
  </si>
  <si>
    <t>Shiny Cranidos</t>
  </si>
  <si>
    <t>mythic ghost orb</t>
  </si>
  <si>
    <t>Shiny Rampardos</t>
  </si>
  <si>
    <t>Increas all Ghost Type spells damage by 3%.</t>
  </si>
  <si>
    <t>1 - Increas all Ghost Type spells damage by 3%.</t>
  </si>
  <si>
    <t>Shiny Pachirisu</t>
  </si>
  <si>
    <t>ghost essence</t>
  </si>
  <si>
    <t>Lopuny</t>
  </si>
  <si>
    <t>Shiny Lopuny</t>
  </si>
  <si>
    <t>Riolu</t>
  </si>
  <si>
    <t>Shiny Riolu</t>
  </si>
  <si>
    <t>gray cloth</t>
  </si>
  <si>
    <t>Shiny Lucario</t>
  </si>
  <si>
    <t>Croagunk</t>
  </si>
  <si>
    <t>Shiny Croagunk</t>
  </si>
  <si>
    <t>Shiny Toxicroak</t>
  </si>
  <si>
    <t>Abomasnow</t>
  </si>
  <si>
    <t>Mega Abomasnow</t>
  </si>
  <si>
    <t>2 - Increas all Ghost Type spells damage by 3%.</t>
  </si>
  <si>
    <t>Shiny Rhyperior</t>
  </si>
  <si>
    <t>dark claw</t>
  </si>
  <si>
    <t>Shiny Tangrowth</t>
  </si>
  <si>
    <t>Shiny Leafeon</t>
  </si>
  <si>
    <t>ghost claw</t>
  </si>
  <si>
    <t>Shiny Glaceon</t>
  </si>
  <si>
    <t>Shiny Gliscor</t>
  </si>
  <si>
    <t>Shiny Dusknoir</t>
  </si>
  <si>
    <t>Audino</t>
  </si>
  <si>
    <t>simple ghost orb</t>
  </si>
  <si>
    <t>Shiny Audino</t>
  </si>
  <si>
    <t>Increas all Ghost Type spells damage by 5%.</t>
  </si>
  <si>
    <t>3 - Increas all Ghost Type spells damage by 5%.</t>
  </si>
  <si>
    <t>Scolipede</t>
  </si>
  <si>
    <t>Mega Scolipede</t>
  </si>
  <si>
    <t>Trubbish</t>
  </si>
  <si>
    <t>Shiny Trubbish</t>
  </si>
  <si>
    <t>Shiny Garbodor</t>
  </si>
  <si>
    <t>Druddigon</t>
  </si>
  <si>
    <t>Shiny Druddigon</t>
  </si>
  <si>
    <t>miss traces</t>
  </si>
  <si>
    <t>Deino</t>
  </si>
  <si>
    <t>Shiny Deino</t>
  </si>
  <si>
    <t>Zweilous</t>
  </si>
  <si>
    <t>ectoplasm</t>
  </si>
  <si>
    <t>Shiny Zweilous</t>
  </si>
  <si>
    <t>Shiny Hydreigon</t>
  </si>
  <si>
    <t>Shiny Flabébé</t>
  </si>
  <si>
    <t>Floette</t>
  </si>
  <si>
    <t>ghost bottle</t>
  </si>
  <si>
    <t>Shiny Floette</t>
  </si>
  <si>
    <t>4 - Increas all Ghost Type spells damage by 3%.</t>
  </si>
  <si>
    <t>Shiny Florges</t>
  </si>
  <si>
    <t>Skiddo</t>
  </si>
  <si>
    <t>Shiny Skiddo</t>
  </si>
  <si>
    <t>Gogoat</t>
  </si>
  <si>
    <t>Shiny Gogoat</t>
  </si>
  <si>
    <t>Dragalge</t>
  </si>
  <si>
    <t>Mega Dragalge</t>
  </si>
  <si>
    <t>Shiny Sylveon</t>
  </si>
  <si>
    <t>5 - Increas all Ghost Type spells damage by 5%.</t>
  </si>
  <si>
    <t>Shiny Mimikyu</t>
  </si>
  <si>
    <t>green ghost bottle</t>
  </si>
  <si>
    <t>Increas all Ghost Type spells defense by 3%.</t>
  </si>
  <si>
    <t>6 - Increas all Ghost Type spells defense by 3%.</t>
  </si>
  <si>
    <t>Increas all Ghost Type spells defense by 5%.</t>
  </si>
  <si>
    <t>7 - Increas all Ghost Type spells defense by 5%.</t>
  </si>
  <si>
    <t>arcane ghost orb</t>
  </si>
  <si>
    <t>8 - Increas all Ghost Type spells defense by 5%.</t>
  </si>
  <si>
    <t>mythic grass orb</t>
  </si>
  <si>
    <t>Increas all Grass Type spells damage by 3%.</t>
  </si>
  <si>
    <t>1 - Increas all Grass Type spells damage by 3%.</t>
  </si>
  <si>
    <t>grass essence</t>
  </si>
  <si>
    <t>reptilian tail</t>
  </si>
  <si>
    <t>2 - Increas all Grass Type spells damage by 3%.</t>
  </si>
  <si>
    <t>blue coconut leaves</t>
  </si>
  <si>
    <t>flower stem</t>
  </si>
  <si>
    <t>3 - Increas all Grass Type spells damage by 3%.</t>
  </si>
  <si>
    <t>simple grass orb</t>
  </si>
  <si>
    <t>Increas all Grass Type spells damage by 5%.</t>
  </si>
  <si>
    <t>4 - Increas all Grass Type spells damage by 5%.</t>
  </si>
  <si>
    <t>brown bulb</t>
  </si>
  <si>
    <t>arcane grass orb</t>
  </si>
  <si>
    <t>5 - Increas all Grass Type spells damage by 5%.</t>
  </si>
  <si>
    <t>purple leaf</t>
  </si>
  <si>
    <t>leaf</t>
  </si>
  <si>
    <t>leaves</t>
  </si>
  <si>
    <t>Increas all Grass Type spells defense by 3%.</t>
  </si>
  <si>
    <t>6 - Increas all Grass Type spells defense by 3%.</t>
  </si>
  <si>
    <t>Increas all Grass Type spells defense by 5%.</t>
  </si>
  <si>
    <t>7 - Increas all Grass Type spells defense by 5%.</t>
  </si>
  <si>
    <t>purple chicory</t>
  </si>
  <si>
    <t>8 - Increas all Grass Type spells defense by 5%.</t>
  </si>
  <si>
    <t>purple big leaf</t>
  </si>
  <si>
    <t>big leaf</t>
  </si>
  <si>
    <t>small handfull of stones</t>
  </si>
  <si>
    <t>Increas all Ground Type spells defense by 3%.</t>
  </si>
  <si>
    <t>1 - Increas all Ground Type spells defense by 3%.</t>
  </si>
  <si>
    <t>simple ground orb</t>
  </si>
  <si>
    <t>Increas all Ground Type spells defense by 5%.</t>
  </si>
  <si>
    <t>2 - Increas all Ground Type spells defense by 5%.</t>
  </si>
  <si>
    <t>armadillo red tail</t>
  </si>
  <si>
    <t>arcane ground orb</t>
  </si>
  <si>
    <t>Vereificar aba de drops</t>
  </si>
  <si>
    <t>3 - Increas all Ground Type spells defense by 5%.</t>
  </si>
  <si>
    <t>golden shell</t>
  </si>
  <si>
    <t>mythic ground orb</t>
  </si>
  <si>
    <t>Increas all Ground Type spells damage by 3%.</t>
  </si>
  <si>
    <t>4 - Increas all Ground Type spells damage by 3%.</t>
  </si>
  <si>
    <t>ground essence</t>
  </si>
  <si>
    <t>strange ball</t>
  </si>
  <si>
    <t>5 - Increas all Ground Type spells damage by 3%.</t>
  </si>
  <si>
    <t>golden drill</t>
  </si>
  <si>
    <t>elephant foot</t>
  </si>
  <si>
    <t>armadillo tail</t>
  </si>
  <si>
    <t>6 - Increas all Ground Type spells damage by 3%.</t>
  </si>
  <si>
    <t>Increas all Ground Type spells damage by 5%.</t>
  </si>
  <si>
    <t>7 - Increas all Ground Type spells damage by 5%.</t>
  </si>
  <si>
    <t>small yellow stones</t>
  </si>
  <si>
    <t>Attack</t>
  </si>
  <si>
    <t>Critical Chance</t>
  </si>
  <si>
    <t>Critical Damage</t>
  </si>
  <si>
    <t>Critical Res</t>
  </si>
  <si>
    <t>Defense</t>
  </si>
  <si>
    <t>8 - Increas all Ground Type spells damage by 5%.</t>
  </si>
  <si>
    <t>Evasion</t>
  </si>
  <si>
    <t>Precision</t>
  </si>
  <si>
    <t>Shiny Charm</t>
  </si>
  <si>
    <t>Points</t>
  </si>
  <si>
    <t>locksmith of shell</t>
  </si>
  <si>
    <t>Bonus</t>
  </si>
  <si>
    <t>Increas all Ice Type spells defense by 3%.</t>
  </si>
  <si>
    <t>1 - Increas all Ice Type spells defense by 3%.</t>
  </si>
  <si>
    <t>simple ice orb</t>
  </si>
  <si>
    <t>Increas all Ice Type spells defense by 5%.</t>
  </si>
  <si>
    <t>2 - Increas all Ice Type spells defense by 5%.</t>
  </si>
  <si>
    <t>blue shell</t>
  </si>
  <si>
    <t>arcane ice orb</t>
  </si>
  <si>
    <t>3 - Increas all Ice Type spells defense by 5%.</t>
  </si>
  <si>
    <t>Increas all Ice Type spells damage by 3%.</t>
  </si>
  <si>
    <t>4 - Increas all Ice Type spells damage by 3%.</t>
  </si>
  <si>
    <t>ice essence</t>
  </si>
  <si>
    <t>short tail</t>
  </si>
  <si>
    <t>5 - Increas all Ice Type spells damage by 3%.</t>
  </si>
  <si>
    <t>rainbow gift tail</t>
  </si>
  <si>
    <t>seel tail</t>
  </si>
  <si>
    <t>6 - Increas all Ice Type spells damage by 3%.</t>
  </si>
  <si>
    <t>550?</t>
  </si>
  <si>
    <t>Increas all Ice Type spells damage by 5%.</t>
  </si>
  <si>
    <t>7 - Increas all Ice Type spells damage by 5%.</t>
  </si>
  <si>
    <t>850?</t>
  </si>
  <si>
    <t>blue seel tail</t>
  </si>
  <si>
    <t>1250?</t>
  </si>
  <si>
    <t>8 - Increas all Ice Type spells damage by 5%.</t>
  </si>
  <si>
    <t>mythic normal orb</t>
  </si>
  <si>
    <t>Increas all Normal Type spells damage by 3%.</t>
  </si>
  <si>
    <t>1 - Increas all Normal Type spells damage by 3%.</t>
  </si>
  <si>
    <t>normal essence</t>
  </si>
  <si>
    <t>cute ball</t>
  </si>
  <si>
    <t>2 - Increas all Normal Type spells damage by 3%.</t>
  </si>
  <si>
    <t>purple egg</t>
  </si>
  <si>
    <t>3 - Increas all Normal Type spells damage by 3%.</t>
  </si>
  <si>
    <t>simple normal orb</t>
  </si>
  <si>
    <t>Increas all Normal Type spells damage by 5%.</t>
  </si>
  <si>
    <t>4 - Increas all Normal Type spells damage by 5%.</t>
  </si>
  <si>
    <t>blue mouse tail</t>
  </si>
  <si>
    <t>Shiny Ratata</t>
  </si>
  <si>
    <t>arcane normal orb</t>
  </si>
  <si>
    <t>5 - Increas all Normal Type spells damage by 5%.</t>
  </si>
  <si>
    <t>loud microphone</t>
  </si>
  <si>
    <t>bull tail</t>
  </si>
  <si>
    <t>Increas all Normal Type spells defense by 3%.</t>
  </si>
  <si>
    <t>6 - Increas all Normal Type spells defense by 3%.</t>
  </si>
  <si>
    <t>Increas all Normal Type spells defense by 5%.</t>
  </si>
  <si>
    <t>7 - Increas all Normal Type spells defense by 5%.</t>
  </si>
  <si>
    <t>8 - Increas all Normal Type spells defense by 5%.</t>
  </si>
  <si>
    <t>mythic poison orb</t>
  </si>
  <si>
    <t>Increas all Poison Type spells damage by 3%.</t>
  </si>
  <si>
    <t>1 - Increas all Poison Type spells damage by 3%.</t>
  </si>
  <si>
    <t>poison essence</t>
  </si>
  <si>
    <t>toxic thing</t>
  </si>
  <si>
    <t>2 - Increas all Poison Type spells damage by 3%.</t>
  </si>
  <si>
    <t>poisoned fish tail</t>
  </si>
  <si>
    <t>snake tail</t>
  </si>
  <si>
    <t>3 - Increas all Poison Type spells damage by 3%.</t>
  </si>
  <si>
    <t>simple poison orb</t>
  </si>
  <si>
    <t>Increas all Poison Type spells damage by 5%.</t>
  </si>
  <si>
    <t>4 - Increas all Poison Type spells damage by 5%.</t>
  </si>
  <si>
    <t>disgusting gosme</t>
  </si>
  <si>
    <t>arcane poison orb</t>
  </si>
  <si>
    <t>5 - Increas all Poison Type spells damage by 5%.</t>
  </si>
  <si>
    <t>contagious pore</t>
  </si>
  <si>
    <t>cobra tail</t>
  </si>
  <si>
    <t>poison pore</t>
  </si>
  <si>
    <t>Increas all Poison Type spells defense by 3%.</t>
  </si>
  <si>
    <t>6 - Increas all Poison Type spells defense by 3%.</t>
  </si>
  <si>
    <t>Increas all Poison Type spells defense by 5%.</t>
  </si>
  <si>
    <t>7 - Increas all Poison Type spells defense by 5%.</t>
  </si>
  <si>
    <t>8 - Increas all Poison Type spells defense by 5%.</t>
  </si>
  <si>
    <t>gray snake tail</t>
  </si>
  <si>
    <t>toxic scale</t>
  </si>
  <si>
    <t>Increas all Psychic Type spells damage by 3%.</t>
  </si>
  <si>
    <t>1 - Increas all Psychic Type spells damage by 3%.</t>
  </si>
  <si>
    <t>psychic essence</t>
  </si>
  <si>
    <t>bowl hair</t>
  </si>
  <si>
    <t>2 - Increas all Psychic Type spells damage by 3%.</t>
  </si>
  <si>
    <t>psychic wings</t>
  </si>
  <si>
    <t>psychic vest</t>
  </si>
  <si>
    <t>3 - Increas all Psychic Type spells damage by 3%.</t>
  </si>
  <si>
    <t>Increas all Psychic Type spells damage by 5%.</t>
  </si>
  <si>
    <t>4 - Increas all Psychic Type spells damage by 5%.</t>
  </si>
  <si>
    <t>blue psychic vest</t>
  </si>
  <si>
    <t>5 - Increas all Psychic Type spells damage by 5%.</t>
  </si>
  <si>
    <t>enchanted spoon</t>
  </si>
  <si>
    <t>psychic spoon</t>
  </si>
  <si>
    <t>drowzee trunk</t>
  </si>
  <si>
    <t>Increas all Psychic Type spells defense by 3%.</t>
  </si>
  <si>
    <t>6 - Increas all Psychic Type spells defense by 3%.</t>
  </si>
  <si>
    <t>Increas all Psychic Type spells defense by 5%.</t>
  </si>
  <si>
    <t>7 - Increas all Psychic Type spells defense by 5%.</t>
  </si>
  <si>
    <t>orange trunk</t>
  </si>
  <si>
    <t>8 - Increas all Psychic Type spells defense by 5%.</t>
  </si>
  <si>
    <t>hypnosis pendant</t>
  </si>
  <si>
    <t>Increas all Rock Type spells defense by 3%.</t>
  </si>
  <si>
    <t>1 - Increas all Rock Type spells defense by 3%.</t>
  </si>
  <si>
    <t>simple rock orb</t>
  </si>
  <si>
    <t>Increas all Rock Type spells defense by 5%.</t>
  </si>
  <si>
    <t>2 - Increas all Rock Type spells defense by 5%.</t>
  </si>
  <si>
    <t>purple fist</t>
  </si>
  <si>
    <t>arcane rock orb</t>
  </si>
  <si>
    <t>3 - Increas all Rock Type spells defense by 5%.</t>
  </si>
  <si>
    <t>purple stone forehead</t>
  </si>
  <si>
    <t>rock forehead</t>
  </si>
  <si>
    <t>mythic rock orb</t>
  </si>
  <si>
    <t>Increas all Rock Type spells damage by 3%.</t>
  </si>
  <si>
    <t>4 - Increas all Rock Type spells damage by 3%.</t>
  </si>
  <si>
    <t>rock essence</t>
  </si>
  <si>
    <t>rock nose</t>
  </si>
  <si>
    <t>5 - Increas all Rock Type spells damage by 3%.</t>
  </si>
  <si>
    <t>gold tail</t>
  </si>
  <si>
    <t>rock plate</t>
  </si>
  <si>
    <t>6 - Increas all Rock Type spells damage by 3%.</t>
  </si>
  <si>
    <t>Increas all Rock Type spells damage by 5%.</t>
  </si>
  <si>
    <t>7 - Increas all Rock Type spells damage by 5%.</t>
  </si>
  <si>
    <t>8 - Increas all Rock Type spells damage by 5%.</t>
  </si>
  <si>
    <t>Increas all Steel Type spells defense by 3%.</t>
  </si>
  <si>
    <t>1 - Increas all Steel Type spells defense by 3%.</t>
  </si>
  <si>
    <t>simple metal orb</t>
  </si>
  <si>
    <t>Increas all Steel Type spells defense by 5%.</t>
  </si>
  <si>
    <t>2 - Increas all Steel Type spells defense by 5%.</t>
  </si>
  <si>
    <t>arcane metal orb</t>
  </si>
  <si>
    <t>3 - Increas all Steel Type spells defense by 5%.</t>
  </si>
  <si>
    <t>forretress shell</t>
  </si>
  <si>
    <t>mythic metal orb</t>
  </si>
  <si>
    <t>Increas all Steel Type spells damage by 3%.</t>
  </si>
  <si>
    <t>4 - Increas all Steel Type spells damage by 3%.</t>
  </si>
  <si>
    <t>steel essence</t>
  </si>
  <si>
    <t>aron helmet</t>
  </si>
  <si>
    <t>5 - Increas all Steel Type spells damage by 3%.</t>
  </si>
  <si>
    <t>strong magnet</t>
  </si>
  <si>
    <t>steel wing</t>
  </si>
  <si>
    <t>6 - Increas all Steel Type spells damage by 3%.</t>
  </si>
  <si>
    <t>Increas all Steel Type spells damage by 5%.</t>
  </si>
  <si>
    <t>7 - Increas all Steel Type spells damage by 5%.</t>
  </si>
  <si>
    <t>8 - Increas all Steel Type spells damage by 5%.</t>
  </si>
  <si>
    <t>magnet</t>
  </si>
  <si>
    <t>frog tail</t>
  </si>
  <si>
    <t>Increas all Water Type spells defense by 3%.</t>
  </si>
  <si>
    <t>1 - Increas all Water Type spells defense by 3%.</t>
  </si>
  <si>
    <t>Increas all Water Type spells defense by 5%.</t>
  </si>
  <si>
    <t>2 - Increas all Water Type spells defense by 5%.</t>
  </si>
  <si>
    <t>white tail</t>
  </si>
  <si>
    <t>3 - Increas all Water Type spells defense by 5%.</t>
  </si>
  <si>
    <t>cyan ear</t>
  </si>
  <si>
    <t>fsmf</t>
  </si>
  <si>
    <t>wartortle ear</t>
  </si>
  <si>
    <t>Increas all Water Type spells damage by 3%.</t>
  </si>
  <si>
    <t>4 - Increas all Water Type spells damage by 3%.</t>
  </si>
  <si>
    <t>water essence</t>
  </si>
  <si>
    <t>mud tail</t>
  </si>
  <si>
    <t>Shiny Quagsire
Mudkip</t>
  </si>
  <si>
    <t>5 - Increas all Water Type spells damage by 3%.</t>
  </si>
  <si>
    <t>malfunctioning core</t>
  </si>
  <si>
    <t>star jewel</t>
  </si>
  <si>
    <t>horsea tail</t>
  </si>
  <si>
    <t>6 - Increas all Water Type spells damage by 3%.</t>
  </si>
  <si>
    <t>small blue fin</t>
  </si>
  <si>
    <t>Increas all Water Type spells damage by 5%.</t>
  </si>
  <si>
    <t>7 - Increas all Water Type spells damage by 5%.</t>
  </si>
  <si>
    <t>gray frog tail</t>
  </si>
  <si>
    <t>8 - Increas all Water Type spells damage by 5%.</t>
  </si>
  <si>
    <t>blue mohawk</t>
  </si>
  <si>
    <t>crocodile hair</t>
  </si>
  <si>
    <t>SR</t>
  </si>
  <si>
    <t>UR</t>
  </si>
  <si>
    <t>Legandary</t>
  </si>
  <si>
    <t>DPS FInalizador</t>
  </si>
  <si>
    <t>-</t>
  </si>
  <si>
    <t>DPS HardCC</t>
  </si>
  <si>
    <t>Off Tanker</t>
  </si>
  <si>
    <t>Tanker</t>
  </si>
  <si>
    <t>Danos no lvl 150, sem bonus de attack</t>
  </si>
  <si>
    <t>DG</t>
  </si>
  <si>
    <t>Localização</t>
  </si>
  <si>
    <t>Hunt 1</t>
  </si>
  <si>
    <t>Hunt 2</t>
  </si>
  <si>
    <t>Hunt 3</t>
  </si>
  <si>
    <t>The Bone Graveyard</t>
  </si>
  <si>
    <t>https://imgur.com/a/bxWbOIL</t>
  </si>
  <si>
    <t>The Steel Forest</t>
  </si>
  <si>
    <t>https://imgur.com/a/DNwqsCH</t>
  </si>
  <si>
    <t>The Toxic Swamp</t>
  </si>
  <si>
    <t>https://imgur.com/a/aKs3fNp</t>
  </si>
  <si>
    <t>https://imgur.com/a/dw5JWuO</t>
  </si>
  <si>
    <t>https://imgur.com/a/FYqUGWs</t>
  </si>
  <si>
    <t>https://imgur.com/a/DTSPjVD</t>
  </si>
  <si>
    <t>The Power Plant</t>
  </si>
  <si>
    <t>https://imgur.com/a/71ylvsZ</t>
  </si>
  <si>
    <t>The Sky Nest</t>
  </si>
  <si>
    <t>https://imgur.com/a/zr9dusV</t>
  </si>
  <si>
    <t>The Psychic realm</t>
  </si>
  <si>
    <t>https://imgur.com/a/rheBd69</t>
  </si>
  <si>
    <t>The Treasure Vault</t>
  </si>
  <si>
    <t>https://imgur.com/a/f3auU8w</t>
  </si>
  <si>
    <t>The Electric Plains</t>
  </si>
  <si>
    <t>https://imgur.com/a/Mcc2tDO</t>
  </si>
  <si>
    <t>The Flooded Cavern</t>
  </si>
  <si>
    <t>https://imgur.com/a/8AOBeci</t>
  </si>
  <si>
    <t>The Big Volcano</t>
  </si>
  <si>
    <t>https://imgur.com/a/bZlqknr</t>
  </si>
  <si>
    <t>The Dragon's Lair</t>
  </si>
  <si>
    <t>https://imgur.com/a/ca4NlMA</t>
  </si>
  <si>
    <t>The Frozen Tundra</t>
  </si>
  <si>
    <t>https://imgur.com/a/x6Vhx3k</t>
  </si>
  <si>
    <t>The Verdant Garden</t>
  </si>
  <si>
    <t>https://imgur.com/a/WUFWUoC</t>
  </si>
  <si>
    <t>0 -&gt; 1 star</t>
  </si>
  <si>
    <t>The Haunted Tower</t>
  </si>
  <si>
    <t>https://imgur.com/a/407kGXI</t>
  </si>
  <si>
    <t>1 -&gt; 2 star</t>
  </si>
  <si>
    <t>2 -&gt; 3 star</t>
  </si>
  <si>
    <t>The Dark Abyss</t>
  </si>
  <si>
    <t>3 -&gt; 4 star</t>
  </si>
  <si>
    <t>https://imgur.com/a/Nv70mug</t>
  </si>
  <si>
    <t>4 -&gt; 5 star</t>
  </si>
  <si>
    <t>DD</t>
  </si>
  <si>
    <t>KK</t>
  </si>
  <si>
    <t>Desativados</t>
  </si>
  <si>
    <t>- Para iniciar a BH: https://imgur.com/a/Vx4pbl2
- Só precisa falar com o NPC uma vez
- Pra pegar os contratos, interaja com a caixa de correio na frente de qualquer CP
- São 40 contratos por semana, resetando no SS de domingo pra segunda</t>
  </si>
  <si>
    <t>SHADOW</t>
  </si>
  <si>
    <t>OFFICER BLAZE</t>
  </si>
  <si>
    <t>FROST</t>
  </si>
  <si>
    <t>THORN</t>
  </si>
  <si>
    <t>OFFICER MARINA</t>
  </si>
  <si>
    <t>CIPHER</t>
  </si>
  <si>
    <t>SERGEANT VOLT</t>
  </si>
  <si>
    <t>CAPTAIN VERDANT</t>
  </si>
  <si>
    <r>
      <rPr>
        <rFont val="Arial"/>
        <b/>
        <sz val="17.0"/>
      </rPr>
      <t xml:space="preserve">Pokemons da esquerda são os do NPC. 
Os da direita são os recomendados
Localização:
</t>
    </r>
    <r>
      <rPr>
        <rFont val="Arial"/>
        <b/>
        <color rgb="FF1155CC"/>
        <sz val="17.0"/>
        <u/>
      </rPr>
      <t>https://imgur.com/a/p3eK6yV</t>
    </r>
  </si>
  <si>
    <r>
      <rPr>
        <rFont val="Arial"/>
        <b/>
        <sz val="17.0"/>
      </rPr>
      <t>Pokemons da esquerda são os do NPC. 
Os da direita são os recomendados
Precisa ter ganhado a batalha com o Giovanni pra iniciar
Localização:</t>
    </r>
    <r>
      <rPr>
        <rFont val="Arial"/>
        <b/>
        <color rgb="FF1155CC"/>
        <sz val="17.0"/>
        <u/>
      </rPr>
      <t>https://imgur.com/a/Fbmmqeh</t>
    </r>
  </si>
  <si>
    <t>sh Feraligator</t>
  </si>
  <si>
    <t>Grass/Electric</t>
  </si>
  <si>
    <t>sh Sandslash</t>
  </si>
  <si>
    <t>Fire/Fight</t>
  </si>
  <si>
    <t>Fire/Fly/Ice</t>
  </si>
  <si>
    <t>sh Starmie</t>
  </si>
  <si>
    <t>Water/Ground</t>
  </si>
  <si>
    <t>sh Lapras</t>
  </si>
  <si>
    <t>sh Hitmontop</t>
  </si>
  <si>
    <t>sh Gyarados</t>
  </si>
  <si>
    <t>sh Pidgeot</t>
  </si>
  <si>
    <t>sh Jynx</t>
  </si>
  <si>
    <t>Bug/Fire/Fly</t>
  </si>
  <si>
    <t>sh Victreebel</t>
  </si>
  <si>
    <t>sh Jumpluff</t>
  </si>
  <si>
    <t>Ice/Fire/Rock</t>
  </si>
  <si>
    <t>,.</t>
  </si>
  <si>
    <t>INSPECTOR FROST</t>
  </si>
  <si>
    <t>PHOENIX</t>
  </si>
  <si>
    <t>SCYTHE</t>
  </si>
  <si>
    <t>COMMANDER MIND</t>
  </si>
  <si>
    <t>MIRAGE</t>
  </si>
  <si>
    <t>WARDEN SHADE</t>
  </si>
  <si>
    <t>ZEPHYR</t>
  </si>
  <si>
    <t>LIEUTENANT ALLOY</t>
  </si>
  <si>
    <t>sh Piloswine</t>
  </si>
  <si>
    <t>Fight/Water/Grd/Rock</t>
  </si>
  <si>
    <t>sh Scizor</t>
  </si>
  <si>
    <t>sh Cloyster</t>
  </si>
  <si>
    <t>Electric/Fight</t>
  </si>
  <si>
    <t>Bug/Ghost/Dark</t>
  </si>
  <si>
    <t>sh Sneasel</t>
  </si>
  <si>
    <t>Fight</t>
  </si>
  <si>
    <t>Fire/Steel</t>
  </si>
  <si>
    <t>sh Skarmory</t>
  </si>
  <si>
    <t>Fire/Electric</t>
  </si>
  <si>
    <t>sh Houndoom</t>
  </si>
  <si>
    <t>Fire/Fight/Water</t>
  </si>
  <si>
    <t>sh Dewgong</t>
  </si>
  <si>
    <t>Ghost/Steel</t>
  </si>
  <si>
    <t>sh Tyranitar</t>
  </si>
  <si>
    <t>sh Forretress</t>
  </si>
  <si>
    <t>Electric/Ghost</t>
  </si>
  <si>
    <t>sh Umbreon</t>
  </si>
  <si>
    <t>Fight/Bug/Fairy</t>
  </si>
  <si>
    <t>OBSIDIAN</t>
  </si>
  <si>
    <t>VORTEX</t>
  </si>
  <si>
    <t>MARSHAL BOULDER</t>
  </si>
  <si>
    <t>TEMPEST</t>
  </si>
  <si>
    <t>DETECTIVE TERRA</t>
  </si>
  <si>
    <t>CHIEF TOXIN</t>
  </si>
  <si>
    <t>ECLIPSE</t>
  </si>
  <si>
    <t>RANGER STRIKE</t>
  </si>
  <si>
    <t>sh Omastar</t>
  </si>
  <si>
    <t>Water/Grd/Ice</t>
  </si>
  <si>
    <t>sh Weezing</t>
  </si>
  <si>
    <t>Ground/Psychic</t>
  </si>
  <si>
    <t>sh Primeape</t>
  </si>
  <si>
    <t>sh Clefable</t>
  </si>
  <si>
    <t>Fly/Psy</t>
  </si>
  <si>
    <t>Water/Grass</t>
  </si>
  <si>
    <t>sh Machamp</t>
  </si>
  <si>
    <t>Water/Grass/Ice</t>
  </si>
  <si>
    <t>Shiny Mime</t>
  </si>
  <si>
    <t>sh Heracross</t>
  </si>
  <si>
    <t>Fly/Psy/Fire</t>
  </si>
  <si>
    <t>sh Sudowoodo</t>
  </si>
  <si>
    <t>Fight/Water</t>
  </si>
  <si>
    <t>Electric/Psy/Rock/Ice</t>
  </si>
  <si>
    <t>sh Hitmonchan</t>
  </si>
  <si>
    <t>sh Kabutops</t>
  </si>
  <si>
    <t>sh Donphan</t>
  </si>
  <si>
    <t>sh Toxicroak</t>
  </si>
  <si>
    <t>Psychic/Fly/Grd</t>
  </si>
  <si>
    <t>sh Poliwrath</t>
  </si>
  <si>
    <t>Fly/Psy/Electric</t>
  </si>
  <si>
    <t>Grass/Fight/Water</t>
  </si>
  <si>
    <t>Fire/Fight/Psy/Ice</t>
  </si>
  <si>
    <t>sh Hitmonlee</t>
  </si>
  <si>
    <t>GIOVANNI</t>
  </si>
  <si>
    <t>CAPTAIN CHITIN</t>
  </si>
  <si>
    <t>Para batalhar com o Giovanni, é necessário ter ganhado 130 batalhas contra os demais membros da equipe Rocket</t>
  </si>
  <si>
    <t>sh Ariados</t>
  </si>
  <si>
    <t>Fire/Fly/Psy/Rock</t>
  </si>
  <si>
    <t>sh Scyther</t>
  </si>
  <si>
    <t>sh Pinsir</t>
  </si>
  <si>
    <t>Fire/Fly/Rock</t>
  </si>
  <si>
    <t>TIPO</t>
  </si>
  <si>
    <r>
      <rPr>
        <rFont val="Arial"/>
        <b/>
        <color theme="1"/>
        <sz val="17.0"/>
      </rPr>
      <t xml:space="preserve">Como usar
</t>
    </r>
    <r>
      <rPr>
        <rFont val="Arial"/>
        <b/>
        <color theme="1"/>
        <sz val="12.0"/>
      </rPr>
      <t xml:space="preserve">- Pesquise o Tipo na célula A2 (clique no dropdown e digite o nome)
- Os itens aparecerão na coluna C
</t>
    </r>
    <r>
      <rPr>
        <rFont val="Arial"/>
        <b/>
        <color theme="1"/>
        <sz val="17.0"/>
      </rPr>
      <t xml:space="preserve">- </t>
    </r>
    <r>
      <rPr>
        <rFont val="Arial"/>
        <b/>
        <color theme="1"/>
        <sz val="12.0"/>
      </rPr>
      <t xml:space="preserve">Estou populando a tabela aos poucos, talvez esteja faltando alguns itens ainda
</t>
    </r>
    <r>
      <rPr>
        <rFont val="Arial"/>
        <b/>
        <color theme="1"/>
        <sz val="17.0"/>
      </rPr>
      <t xml:space="preserve">- </t>
    </r>
    <r>
      <rPr>
        <rFont val="Arial"/>
        <b/>
        <color theme="1"/>
        <sz val="12.0"/>
      </rPr>
      <t>Não são os itens do dia, e sim os itens que já apareceram pra boostar cada tipo</t>
    </r>
  </si>
  <si>
    <t>Quantidade de fragmentos (É o mesmo pra todos os tipos)</t>
  </si>
  <si>
    <t>Debuff</t>
  </si>
  <si>
    <t>Damage Boost</t>
  </si>
  <si>
    <t xml:space="preserve"> </t>
  </si>
  <si>
    <t>NPC</t>
  </si>
  <si>
    <t>Task</t>
  </si>
  <si>
    <t>Nerida</t>
  </si>
  <si>
    <t>https://imgur.com/a/xg5rMPJ</t>
  </si>
  <si>
    <t>6 Sh Wailord, 6 Sh Whiscash, 6 Sh Crawdaunt, 6 Sh Luvdisk, 6 Sh Clamperl</t>
  </si>
  <si>
    <t>Verdra</t>
  </si>
  <si>
    <t>https://imgur.com/a/zvLFSgR</t>
  </si>
  <si>
    <t>15 Sh Roselia, 15 Sh Cradily</t>
  </si>
  <si>
    <t>Rohgar</t>
  </si>
  <si>
    <t>https://imgur.com/a/SJ6dfJN</t>
  </si>
  <si>
    <t>6 Sh Mightyena, 6 Sh Zangooze, 6 Sh Seviper, 6 Sh Absol, 6 Sh Sharpedo</t>
  </si>
  <si>
    <t>Draven</t>
  </si>
  <si>
    <t>https://imgur.com/a/UvZJqKw</t>
  </si>
  <si>
    <t>15 Sh Flygon, 15 Sh Salamalence</t>
  </si>
  <si>
    <t>Ferris</t>
  </si>
  <si>
    <t>https://imgur.com/a/PKI4Fgs</t>
  </si>
  <si>
    <t>10 Sh Aggron, 10 Sh Mawile, 10 Sh Metagross</t>
  </si>
  <si>
    <t>Talia</t>
  </si>
  <si>
    <t>https://imgur.com/a/G9d2mFX</t>
  </si>
  <si>
    <t>8 Sh Breloom, 8 Sh Shiftry, 7 Sh Cacturne, 7 Sh Tropius</t>
  </si>
  <si>
    <t>Nyxen</t>
  </si>
  <si>
    <t>https://imgur.com/a/xSn4850</t>
  </si>
  <si>
    <t>10 Sh Sableye, 10 Sh Banette, 10 Sh Dusclops</t>
  </si>
  <si>
    <t>Voltrix</t>
  </si>
  <si>
    <t>https://imgur.com/a/UanfcaO</t>
  </si>
  <si>
    <t>30 Sh Manectric</t>
  </si>
  <si>
    <t>Glacis</t>
  </si>
  <si>
    <t>https://imgur.com/a/0e03YqH</t>
  </si>
  <si>
    <t>15 Sh Glalie, 15 Sh Walrein</t>
  </si>
  <si>
    <t>Hadriel</t>
  </si>
  <si>
    <t>https://imgur.com/a/ocIvomr</t>
  </si>
  <si>
    <t>10 Sh Hariyama, 10 Sh Medicham, 10 Sh Slaking</t>
  </si>
  <si>
    <t>Lucine</t>
  </si>
  <si>
    <t>https://imgur.com/a/aLVehVK</t>
  </si>
  <si>
    <t>8 Sh Linoone, 8 Sh Delcatty, 7 Sh Swellow, 7 Sh Kecleon</t>
  </si>
  <si>
    <t>Veska</t>
  </si>
  <si>
    <t>https://imgur.com/a/IEHYSjh</t>
  </si>
  <si>
    <t>5 Sh Beautifly, 5 Sh Dustox, 4 Sh Masquerain, 4 Sh Ninjask, 4 Sh Volbeat, 4 Sh Ilumise, 4 Sh Shedinja</t>
  </si>
  <si>
    <t>Calder</t>
  </si>
  <si>
    <t>https://imgur.com/a/vqSpNqd</t>
  </si>
  <si>
    <t>15 Sh Camerupt, 15 Sh Torkoal</t>
  </si>
  <si>
    <t>Kaela</t>
  </si>
  <si>
    <t>https://imgur.com/a/tJym2M8</t>
  </si>
  <si>
    <t>10 Sh Sceptile, 10 Sh Blaziken, 10 Sh Swampert</t>
  </si>
  <si>
    <t>Orlan</t>
  </si>
  <si>
    <t>https://imgur.com/a/Vb1w5mD</t>
  </si>
  <si>
    <t>15 Sh Pelipper, 15 Sh Altaria</t>
  </si>
  <si>
    <t>Selene</t>
  </si>
  <si>
    <t>https://imgur.com/a/IWLKYmI</t>
  </si>
  <si>
    <t>5 Sh Gardevoir, 5 Sh Grumpig, 5 Sh Chimecho, 5 Sh Claydol, 5 Sh Lunatone, 5 Sh Solrock</t>
  </si>
  <si>
    <t>Maera</t>
  </si>
  <si>
    <t>https://imgur.com/a/wVfbJ3e</t>
  </si>
  <si>
    <t>8 Sh Milotic, 8 Sh Huntail, 7 Sh Gorebyss, 7 Sh Relicanth</t>
  </si>
  <si>
    <t>Dungeon</t>
  </si>
  <si>
    <t># de jogadores</t>
  </si>
  <si>
    <t>XP</t>
  </si>
  <si>
    <r>
      <rPr>
        <rFont val="Arial"/>
        <b/>
        <color theme="1"/>
        <sz val="17.0"/>
      </rPr>
      <t xml:space="preserve">Como usar
</t>
    </r>
    <r>
      <rPr>
        <rFont val="Arial"/>
        <b/>
        <color theme="1"/>
        <sz val="12.0"/>
      </rPr>
      <t>- Pesquise a dungeon na célula A2 (clique no dropdown e digite o nome)
- Os possíveis drops aparecerão na coluna C
- Número de jogadores permitidos na dungeon na coluna D
- XP ao completar a dungeon na coluna E
- Pokemons que aparecem na dungeon na coluna F</t>
    </r>
  </si>
  <si>
    <t>Onde:</t>
  </si>
  <si>
    <t>Último andar do CP de New Bark. Fale com o Dr. Vektor, e depois interaja com o computador ao lado dele. Apenas um jogador pode entrar na dungeon por vez.</t>
  </si>
  <si>
    <t>Parte 1:</t>
  </si>
  <si>
    <t>No dungeon, existem 3 computadores coloridos (Vermelho, Azul e Verde) espalhados aleatoriamente. Pra passar da primeira parte, precisa interagir com os 3 computadores em uma ordem específica. Se interagir fora da ordem, deve ir para o primeiro computador novamente</t>
  </si>
  <si>
    <t>Parte 2:</t>
  </si>
  <si>
    <t>Após interagir com os 3 computadores e liberar o portal na parte norte/direita do dungeon, interaja com o botão no meio da sala para iniciar a luta contra o Porygon Boss.</t>
  </si>
  <si>
    <t>Porygon Boss:</t>
  </si>
  <si>
    <t>- É altamente recomendado usar um pokemon lutador (Shiny Machamp ou Shiny Hitmontop).
- Não é possível usar revive nem puxar o pokemon de volta durante a batalha.
- Healing spots aparecem pela sala no decorrer da batalha. Sempre vá atrás deles para recuperar hp.
- No decorrer da batalha 3 minion porygons vão spawnar na sala. Eles healam o boss quando estão perto dele.
- SEMPRE deixe um spell AOE forte preparado para matar os minions o mais rápido possível.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</si>
</sst>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sz val="16.0"/>
      <color rgb="FF0000FF"/>
    </font>
    <font>
      <b/>
      <sz val="15.0"/>
      <color theme="1"/>
      <name val="Arial"/>
      <scheme val="minor"/>
    </font>
    <font>
      <b/>
      <sz val="20.0"/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  <name val="Arial"/>
    </font>
    <font>
      <b/>
      <sz val="17.0"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b/>
      <sz val="13.0"/>
      <color theme="1"/>
      <name val="Arial"/>
    </font>
    <font>
      <b/>
      <u/>
      <sz val="17.0"/>
      <color theme="1"/>
      <name val="Arial"/>
    </font>
    <font>
      <sz val="17.0"/>
      <color theme="1"/>
      <name val="Arial"/>
    </font>
    <font>
      <sz val="13.0"/>
      <color theme="1"/>
      <name val="Arial"/>
    </font>
    <font>
      <u/>
      <color rgb="FF0000FF"/>
    </font>
    <font>
      <u/>
      <color rgb="FF0000FF"/>
    </font>
    <font>
      <b/>
      <sz val="11.0"/>
      <color theme="1"/>
      <name val="Arial"/>
    </font>
    <font>
      <color theme="1"/>
      <name val="Calibri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sz val="16.0"/>
      <color theme="1"/>
      <name val="Calibri"/>
    </font>
    <font>
      <sz val="15.0"/>
      <color theme="1"/>
      <name val="Arial"/>
    </font>
    <font>
      <sz val="16.0"/>
      <color theme="1"/>
      <name val="Arial"/>
    </font>
    <font>
      <sz val="14.0"/>
      <color theme="1"/>
      <name val="Arial"/>
    </font>
    <font>
      <b/>
      <sz val="14.0"/>
      <color theme="1"/>
      <name val="Arial"/>
    </font>
    <font>
      <sz val="15.0"/>
      <color theme="1"/>
      <name val="Arial"/>
      <scheme val="minor"/>
    </font>
    <font>
      <sz val="14.0"/>
      <color theme="1"/>
      <name val="Arial"/>
      <scheme val="minor"/>
    </font>
    <font>
      <sz val="13.0"/>
      <color theme="1"/>
      <name val="Arial"/>
      <scheme val="minor"/>
    </font>
    <font>
      <u/>
      <color rgb="FF0000FF"/>
    </font>
    <font>
      <b/>
      <sz val="12.0"/>
      <color theme="1"/>
      <name val="Arial"/>
      <scheme val="minor"/>
    </font>
    <font>
      <b/>
      <u/>
      <sz val="12.0"/>
      <color rgb="FF0000FF"/>
    </font>
    <font>
      <sz val="12.0"/>
      <color theme="1"/>
      <name val="Arial"/>
      <scheme val="minor"/>
    </font>
    <font>
      <u/>
      <sz val="12.0"/>
      <color rgb="FF0000FF"/>
    </font>
    <font>
      <u/>
      <sz val="12.0"/>
      <color rgb="FF0000FF"/>
    </font>
    <font>
      <u/>
      <color rgb="FF0000FF"/>
    </font>
    <font>
      <b/>
      <color theme="1"/>
      <name val="Calibri"/>
    </font>
    <font>
      <b/>
      <color theme="1"/>
      <name val="Arial"/>
    </font>
    <font>
      <b/>
      <u/>
      <sz val="17.0"/>
      <color rgb="FF0000FF"/>
      <name val="Arial"/>
    </font>
    <font>
      <b/>
      <u/>
      <sz val="17.0"/>
      <color rgb="FF0000FF"/>
      <name val="Arial"/>
    </font>
    <font>
      <b/>
      <sz val="17.0"/>
      <color theme="1"/>
      <name val="Arial"/>
    </font>
    <font>
      <b/>
      <sz val="15.0"/>
      <color theme="1"/>
      <name val="Arial"/>
    </font>
    <font>
      <b/>
      <sz val="13.0"/>
      <color theme="1"/>
      <name val="Calibri"/>
    </font>
    <font>
      <sz val="18.0"/>
      <color theme="1"/>
      <name val="Calibri"/>
    </font>
    <font>
      <sz val="12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283B2C"/>
        <bgColor rgb="FF283B2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50E6AA"/>
        <bgColor rgb="FF50E6AA"/>
      </patternFill>
    </fill>
    <fill>
      <patternFill patternType="solid">
        <fgColor rgb="FF4EBF92"/>
        <bgColor rgb="FF4EBF92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3B9096"/>
        <bgColor rgb="FF3B9096"/>
      </patternFill>
    </fill>
    <fill>
      <patternFill patternType="solid">
        <fgColor theme="9"/>
        <bgColor theme="9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2" fontId="1" numFmtId="0" xfId="0" applyAlignment="1" applyFill="1" applyFont="1">
      <alignment horizontal="center" vertical="center"/>
    </xf>
    <xf borderId="0" fillId="2" fontId="1" numFmtId="0" xfId="0" applyFill="1" applyFont="1"/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2" fontId="4" numFmtId="0" xfId="0" applyAlignment="1" applyFill="1" applyFont="1">
      <alignment horizontal="center" vertical="center"/>
    </xf>
    <xf borderId="6" fillId="0" fontId="2" numFmtId="0" xfId="0" applyAlignment="1" applyBorder="1" applyFont="1">
      <alignment horizontal="center"/>
    </xf>
    <xf borderId="0" fillId="2" fontId="5" numFmtId="0" xfId="0" applyAlignment="1" applyFill="1" applyFont="1">
      <alignment horizontal="center" vertical="center"/>
    </xf>
    <xf borderId="0" fillId="0" fontId="6" numFmtId="0" xfId="0" applyAlignment="1" applyFont="1">
      <alignment horizontal="center"/>
    </xf>
    <xf borderId="0" fillId="2" fontId="7" numFmtId="0" xfId="0" applyFill="1" applyFont="1"/>
    <xf borderId="0" fillId="0" fontId="8" numFmtId="0" xfId="0" applyAlignment="1" applyFont="1">
      <alignment horizontal="center" readingOrder="0" shrinkToFit="0" vertical="top" wrapText="1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3" fontId="1" numFmtId="0" xfId="0" applyAlignment="1" applyFill="1" applyFont="1">
      <alignment horizontal="center"/>
    </xf>
    <xf borderId="0" fillId="4" fontId="12" numFmtId="0" xfId="0" applyAlignment="1" applyFill="1" applyFont="1">
      <alignment horizontal="center"/>
    </xf>
    <xf borderId="0" fillId="0" fontId="13" numFmtId="0" xfId="0" applyAlignment="1" applyFont="1">
      <alignment readingOrder="0" vertical="bottom"/>
    </xf>
    <xf borderId="0" fillId="5" fontId="14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4" fontId="11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9" numFmtId="0" xfId="0" applyAlignment="1" applyFont="1">
      <alignment vertical="bottom"/>
    </xf>
    <xf borderId="0" fillId="4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0" fillId="6" fontId="20" numFmtId="0" xfId="0" applyAlignment="1" applyFill="1" applyFont="1">
      <alignment horizontal="center" vertical="bottom"/>
    </xf>
    <xf borderId="5" fillId="7" fontId="11" numFmtId="0" xfId="0" applyAlignment="1" applyBorder="1" applyFill="1" applyFont="1">
      <alignment vertical="bottom"/>
    </xf>
    <xf borderId="0" fillId="5" fontId="21" numFmtId="0" xfId="0" applyAlignment="1" applyFill="1" applyFont="1">
      <alignment readingOrder="0" shrinkToFit="0" vertical="bottom" wrapText="1"/>
    </xf>
    <xf borderId="0" fillId="5" fontId="22" numFmtId="0" xfId="0" applyAlignment="1" applyFill="1" applyFont="1">
      <alignment horizontal="center" readingOrder="0" vertical="center"/>
    </xf>
    <xf borderId="6" fillId="0" fontId="3" numFmtId="0" xfId="0" applyBorder="1" applyFont="1"/>
    <xf borderId="0" fillId="8" fontId="23" numFmtId="0" xfId="0" applyAlignment="1" applyFill="1" applyFont="1">
      <alignment horizontal="center" vertical="bottom"/>
    </xf>
    <xf borderId="0" fillId="9" fontId="23" numFmtId="0" xfId="0" applyAlignment="1" applyFill="1" applyFont="1">
      <alignment horizontal="center" vertical="bottom"/>
    </xf>
    <xf borderId="0" fillId="7" fontId="11" numFmtId="0" xfId="0" applyAlignment="1" applyFill="1" applyFont="1">
      <alignment vertical="bottom"/>
    </xf>
    <xf borderId="0" fillId="7" fontId="11" numFmtId="0" xfId="0" applyAlignment="1" applyFill="1" applyFont="1">
      <alignment vertical="bottom"/>
    </xf>
    <xf borderId="0" fillId="4" fontId="23" numFmtId="0" xfId="0" applyAlignment="1" applyFill="1" applyFont="1">
      <alignment horizontal="center" vertical="bottom"/>
    </xf>
    <xf borderId="0" fillId="3" fontId="24" numFmtId="0" xfId="0" applyAlignment="1" applyFill="1" applyFont="1">
      <alignment horizontal="center"/>
    </xf>
    <xf borderId="7" fillId="0" fontId="3" numFmtId="0" xfId="0" applyBorder="1" applyFont="1"/>
    <xf borderId="0" fillId="0" fontId="25" numFmtId="0" xfId="0" applyAlignment="1" applyFont="1">
      <alignment horizontal="center" readingOrder="0"/>
    </xf>
    <xf borderId="0" fillId="0" fontId="26" numFmtId="0" xfId="0" applyAlignment="1" applyFont="1">
      <alignment horizontal="center" readingOrder="0" vertical="bottom"/>
    </xf>
    <xf borderId="0" fillId="0" fontId="27" numFmtId="0" xfId="0" applyAlignment="1" applyFont="1">
      <alignment vertical="bottom"/>
    </xf>
    <xf borderId="0" fillId="0" fontId="28" numFmtId="0" xfId="0" applyAlignment="1" applyFont="1">
      <alignment horizontal="center" vertical="bottom"/>
    </xf>
    <xf borderId="0" fillId="0" fontId="26" numFmtId="0" xfId="0" applyAlignment="1" applyFont="1">
      <alignment horizontal="center" readingOrder="0" vertical="bottom"/>
    </xf>
    <xf borderId="0" fillId="0" fontId="29" numFmtId="0" xfId="0" applyAlignment="1" applyFont="1">
      <alignment horizontal="center" vertical="bottom"/>
    </xf>
    <xf borderId="0" fillId="0" fontId="30" numFmtId="0" xfId="0" applyAlignment="1" applyFont="1">
      <alignment horizontal="center" vertical="bottom"/>
    </xf>
    <xf borderId="0" fillId="0" fontId="29" numFmtId="0" xfId="0" applyAlignment="1" applyFont="1">
      <alignment horizontal="center" readingOrder="0" vertical="bottom"/>
    </xf>
    <xf borderId="0" fillId="0" fontId="29" numFmtId="0" xfId="0" applyAlignment="1" applyFont="1">
      <alignment horizontal="center" readingOrder="0" vertical="bottom"/>
    </xf>
    <xf borderId="0" fillId="0" fontId="29" numFmtId="0" xfId="0" applyAlignment="1" applyFont="1">
      <alignment horizontal="center" vertical="bottom"/>
    </xf>
    <xf borderId="0" fillId="0" fontId="30" numFmtId="0" xfId="0" applyAlignment="1" applyFont="1">
      <alignment horizontal="center" vertical="bottom"/>
    </xf>
    <xf borderId="0" fillId="0" fontId="27" numFmtId="0" xfId="0" applyAlignment="1" applyFont="1">
      <alignment vertical="bottom"/>
    </xf>
    <xf borderId="0" fillId="0" fontId="1" numFmtId="0" xfId="0" applyFont="1"/>
    <xf borderId="0" fillId="0" fontId="1" numFmtId="1" xfId="0" applyAlignment="1" applyFont="1" applyNumberFormat="1">
      <alignment horizontal="center"/>
    </xf>
    <xf borderId="7" fillId="0" fontId="2" numFmtId="0" xfId="0" applyAlignment="1" applyBorder="1" applyFont="1">
      <alignment horizontal="center"/>
    </xf>
    <xf borderId="0" fillId="0" fontId="31" numFmtId="0" xfId="0" applyAlignment="1" applyFont="1">
      <alignment horizontal="center" vertical="bottom"/>
    </xf>
    <xf borderId="0" fillId="0" fontId="32" numFmtId="0" xfId="0" applyAlignment="1" applyFont="1">
      <alignment horizontal="center" readingOrder="0"/>
    </xf>
    <xf borderId="0" fillId="0" fontId="31" numFmtId="0" xfId="0" applyAlignment="1" applyFont="1">
      <alignment vertical="bottom"/>
    </xf>
    <xf borderId="0" fillId="0" fontId="31" numFmtId="0" xfId="0" applyAlignment="1" applyFont="1">
      <alignment horizontal="center" readingOrder="0" vertical="bottom"/>
    </xf>
    <xf borderId="0" fillId="0" fontId="33" numFmtId="0" xfId="0" applyAlignment="1" applyFont="1">
      <alignment horizontal="center" readingOrder="0"/>
    </xf>
    <xf borderId="0" fillId="0" fontId="31" numFmtId="0" xfId="0" applyAlignment="1" applyFont="1">
      <alignment horizontal="left" readingOrder="0" vertical="top"/>
    </xf>
    <xf borderId="1" fillId="0" fontId="34" numFmtId="0" xfId="0" applyAlignment="1" applyBorder="1" applyFont="1">
      <alignment vertical="bottom"/>
    </xf>
    <xf borderId="1" fillId="0" fontId="35" numFmtId="0" xfId="0" applyAlignment="1" applyBorder="1" applyFont="1">
      <alignment horizontal="center" vertical="bottom"/>
    </xf>
    <xf borderId="0" fillId="0" fontId="34" numFmtId="0" xfId="0" applyAlignment="1" applyFont="1">
      <alignment horizontal="center" vertical="bottom"/>
    </xf>
    <xf borderId="0" fillId="0" fontId="34" numFmtId="0" xfId="0" applyAlignment="1" applyFont="1">
      <alignment horizontal="left" readingOrder="0" vertical="center"/>
    </xf>
    <xf borderId="1" fillId="0" fontId="34" numFmtId="0" xfId="0" applyAlignment="1" applyBorder="1" applyFont="1">
      <alignment horizontal="center" vertical="bottom"/>
    </xf>
    <xf borderId="1" fillId="0" fontId="34" numFmtId="0" xfId="0" applyAlignment="1" applyBorder="1" applyFont="1">
      <alignment horizontal="center" readingOrder="0" vertical="bottom"/>
    </xf>
    <xf borderId="1" fillId="0" fontId="35" numFmtId="0" xfId="0" applyAlignment="1" applyBorder="1" applyFont="1">
      <alignment horizontal="center" readingOrder="0" vertical="bottom"/>
    </xf>
    <xf borderId="0" fillId="10" fontId="2" numFmtId="0" xfId="0" applyAlignment="1" applyFill="1" applyFont="1">
      <alignment horizontal="center" readingOrder="0"/>
    </xf>
    <xf borderId="2" fillId="0" fontId="1" numFmtId="9" xfId="0" applyAlignment="1" applyBorder="1" applyFont="1" applyNumberFormat="1">
      <alignment horizontal="center"/>
    </xf>
    <xf borderId="0" fillId="10" fontId="1" numFmtId="0" xfId="0" applyAlignment="1" applyFill="1" applyFont="1">
      <alignment horizontal="center" readingOrder="0"/>
    </xf>
    <xf borderId="0" fillId="11" fontId="20" numFmtId="0" xfId="0" applyAlignment="1" applyFill="1" applyFont="1">
      <alignment horizontal="center" vertical="bottom"/>
    </xf>
    <xf borderId="0" fillId="6" fontId="36" numFmtId="0" xfId="0" applyAlignment="1" applyFill="1" applyFont="1">
      <alignment horizontal="center"/>
    </xf>
    <xf borderId="1" fillId="0" fontId="2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2" xfId="0" applyAlignment="1" applyBorder="1" applyFont="1" applyNumberFormat="1">
      <alignment horizontal="center"/>
    </xf>
    <xf borderId="0" fillId="5" fontId="1" numFmtId="0" xfId="0" applyAlignment="1" applyFill="1" applyFont="1">
      <alignment horizontal="center"/>
    </xf>
    <xf borderId="0" fillId="5" fontId="1" numFmtId="0" xfId="0" applyAlignment="1" applyFill="1" applyFont="1">
      <alignment horizontal="center" readingOrder="0"/>
    </xf>
    <xf borderId="0" fillId="5" fontId="37" numFmtId="0" xfId="0" applyAlignment="1" applyFill="1" applyFont="1">
      <alignment horizontal="center" readingOrder="0"/>
    </xf>
    <xf borderId="0" fillId="8" fontId="38" numFmtId="0" xfId="0" applyAlignment="1" applyFill="1" applyFont="1">
      <alignment horizontal="center" readingOrder="0"/>
    </xf>
    <xf borderId="0" fillId="11" fontId="20" numFmtId="0" xfId="0" applyAlignment="1" applyFill="1" applyFont="1">
      <alignment horizontal="center" readingOrder="0" vertical="bottom"/>
    </xf>
    <xf borderId="0" fillId="9" fontId="38" numFmtId="0" xfId="0" applyAlignment="1" applyFill="1" applyFont="1">
      <alignment horizontal="center"/>
    </xf>
    <xf borderId="0" fillId="4" fontId="38" numFmtId="0" xfId="0" applyAlignment="1" applyFill="1" applyFont="1">
      <alignment horizontal="center"/>
    </xf>
    <xf borderId="10" fillId="0" fontId="1" numFmtId="0" xfId="0" applyAlignment="1" applyBorder="1" applyFont="1">
      <alignment horizontal="center"/>
    </xf>
    <xf borderId="0" fillId="7" fontId="1" numFmtId="0" xfId="0" applyAlignment="1" applyFill="1" applyFont="1">
      <alignment horizontal="center"/>
    </xf>
    <xf borderId="11" fillId="0" fontId="1" numFmtId="2" xfId="0" applyAlignment="1" applyBorder="1" applyFont="1" applyNumberFormat="1">
      <alignment horizontal="center"/>
    </xf>
    <xf borderId="0" fillId="0" fontId="1" numFmtId="0" xfId="0" applyAlignment="1" applyFont="1">
      <alignment horizontal="left" readingOrder="0"/>
    </xf>
    <xf borderId="0" fillId="0" fontId="39" numFmtId="0" xfId="0" applyAlignment="1" applyFont="1">
      <alignment horizontal="left" readingOrder="0"/>
    </xf>
    <xf borderId="12" fillId="0" fontId="40" numFmtId="0" xfId="0" applyAlignment="1" applyBorder="1" applyFont="1">
      <alignment horizontal="center"/>
    </xf>
    <xf borderId="13" fillId="0" fontId="40" numFmtId="0" xfId="0" applyAlignment="1" applyBorder="1" applyFont="1">
      <alignment horizontal="center"/>
    </xf>
    <xf borderId="14" fillId="0" fontId="40" numFmtId="0" xfId="0" applyAlignment="1" applyBorder="1" applyFont="1">
      <alignment horizontal="center"/>
    </xf>
    <xf borderId="0" fillId="0" fontId="41" numFmtId="0" xfId="0" applyAlignment="1" applyFont="1">
      <alignment horizontal="left" readingOrder="0" vertical="top"/>
    </xf>
    <xf borderId="8" fillId="0" fontId="40" numFmtId="0" xfId="0" applyAlignment="1" applyBorder="1" applyFont="1">
      <alignment horizontal="center"/>
    </xf>
    <xf borderId="0" fillId="0" fontId="42" numFmtId="0" xfId="0" applyAlignment="1" applyFont="1">
      <alignment horizontal="left"/>
    </xf>
    <xf borderId="9" fillId="0" fontId="43" numFmtId="0" xfId="0" applyAlignment="1" applyBorder="1" applyFont="1">
      <alignment horizontal="center"/>
    </xf>
    <xf borderId="10" fillId="0" fontId="40" numFmtId="0" xfId="0" applyAlignment="1" applyBorder="1" applyFont="1">
      <alignment horizontal="center"/>
    </xf>
    <xf borderId="15" fillId="0" fontId="42" numFmtId="0" xfId="0" applyAlignment="1" applyBorder="1" applyFont="1">
      <alignment horizontal="left"/>
    </xf>
    <xf borderId="11" fillId="0" fontId="44" numFmtId="0" xfId="0" applyAlignment="1" applyBorder="1" applyFont="1">
      <alignment horizontal="center"/>
    </xf>
    <xf borderId="0" fillId="0" fontId="40" numFmtId="0" xfId="0" applyAlignment="1" applyFont="1">
      <alignment horizontal="center"/>
    </xf>
    <xf borderId="2" fillId="0" fontId="40" numFmtId="0" xfId="0" applyAlignment="1" applyBorder="1" applyFont="1">
      <alignment horizontal="center" readingOrder="0"/>
    </xf>
    <xf borderId="0" fillId="0" fontId="40" numFmtId="0" xfId="0" applyAlignment="1" applyFont="1">
      <alignment horizontal="center" readingOrder="0"/>
    </xf>
    <xf borderId="12" fillId="0" fontId="40" numFmtId="0" xfId="0" applyAlignment="1" applyBorder="1" applyFont="1">
      <alignment horizontal="center" vertical="bottom"/>
    </xf>
    <xf borderId="13" fillId="0" fontId="40" numFmtId="0" xfId="0" applyAlignment="1" applyBorder="1" applyFont="1">
      <alignment horizontal="center" vertical="bottom"/>
    </xf>
    <xf borderId="13" fillId="0" fontId="40" numFmtId="0" xfId="0" applyAlignment="1" applyBorder="1" applyFont="1">
      <alignment horizontal="center" vertical="bottom"/>
    </xf>
    <xf borderId="8" fillId="0" fontId="42" numFmtId="0" xfId="0" applyAlignment="1" applyBorder="1" applyFont="1">
      <alignment horizontal="center" vertical="bottom"/>
    </xf>
    <xf borderId="0" fillId="0" fontId="42" numFmtId="0" xfId="0" applyAlignment="1" applyFont="1">
      <alignment horizontal="center" readingOrder="0" vertical="bottom"/>
    </xf>
    <xf borderId="0" fillId="0" fontId="42" numFmtId="0" xfId="0" applyAlignment="1" applyFont="1">
      <alignment horizontal="center" vertical="bottom"/>
    </xf>
    <xf borderId="0" fillId="0" fontId="42" numFmtId="0" xfId="0" applyAlignment="1" applyFont="1">
      <alignment horizontal="center" vertical="bottom"/>
    </xf>
    <xf borderId="9" fillId="0" fontId="42" numFmtId="0" xfId="0" applyAlignment="1" applyBorder="1" applyFont="1">
      <alignment horizontal="center" vertical="bottom"/>
    </xf>
    <xf borderId="9" fillId="0" fontId="42" numFmtId="0" xfId="0" applyAlignment="1" applyBorder="1" applyFont="1">
      <alignment horizontal="center" readingOrder="0" vertical="bottom"/>
    </xf>
    <xf borderId="8" fillId="0" fontId="42" numFmtId="0" xfId="0" applyAlignment="1" applyBorder="1" applyFont="1">
      <alignment horizontal="center" readingOrder="0" vertical="bottom"/>
    </xf>
    <xf borderId="10" fillId="0" fontId="42" numFmtId="0" xfId="0" applyAlignment="1" applyBorder="1" applyFont="1">
      <alignment horizontal="center" readingOrder="0" vertical="bottom"/>
    </xf>
    <xf borderId="15" fillId="0" fontId="42" numFmtId="0" xfId="0" applyAlignment="1" applyBorder="1" applyFont="1">
      <alignment horizontal="center" readingOrder="0" vertical="bottom"/>
    </xf>
    <xf borderId="15" fillId="0" fontId="42" numFmtId="0" xfId="0" applyAlignment="1" applyBorder="1" applyFont="1">
      <alignment horizontal="center" vertical="bottom"/>
    </xf>
    <xf borderId="15" fillId="0" fontId="42" numFmtId="0" xfId="0" applyAlignment="1" applyBorder="1" applyFont="1">
      <alignment horizontal="center" vertical="bottom"/>
    </xf>
    <xf borderId="11" fillId="0" fontId="42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9" fillId="0" fontId="45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6" fillId="12" fontId="30" numFmtId="0" xfId="0" applyAlignment="1" applyBorder="1" applyFill="1" applyFont="1">
      <alignment horizontal="center" vertical="bottom"/>
    </xf>
    <xf borderId="5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4" fillId="0" fontId="3" numFmtId="0" xfId="0" applyBorder="1" applyFont="1"/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Border="1" applyFont="1"/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/>
    </xf>
    <xf borderId="11" fillId="0" fontId="1" numFmtId="0" xfId="0" applyBorder="1" applyFont="1"/>
    <xf borderId="13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9" fillId="0" fontId="1" numFmtId="3" xfId="0" applyAlignment="1" applyBorder="1" applyFont="1" applyNumberFormat="1">
      <alignment horizontal="center" readingOrder="0"/>
    </xf>
    <xf borderId="15" fillId="0" fontId="1" numFmtId="3" xfId="0" applyAlignment="1" applyBorder="1" applyFont="1" applyNumberFormat="1">
      <alignment horizontal="center" readingOrder="0"/>
    </xf>
    <xf borderId="11" fillId="0" fontId="1" numFmtId="3" xfId="0" applyAlignment="1" applyBorder="1" applyFont="1" applyNumberFormat="1">
      <alignment horizontal="center" readingOrder="0"/>
    </xf>
    <xf borderId="15" fillId="0" fontId="46" numFmtId="0" xfId="0" applyAlignment="1" applyBorder="1" applyFont="1">
      <alignment horizontal="center" vertical="bottom"/>
    </xf>
    <xf borderId="15" fillId="0" fontId="3" numFmtId="0" xfId="0" applyBorder="1" applyFont="1"/>
    <xf borderId="8" fillId="0" fontId="27" numFmtId="0" xfId="0" applyAlignment="1" applyBorder="1" applyFont="1">
      <alignment horizontal="center" vertical="bottom"/>
    </xf>
    <xf borderId="9" fillId="0" fontId="27" numFmtId="0" xfId="0" applyAlignment="1" applyBorder="1" applyFont="1">
      <alignment horizontal="center" vertical="bottom"/>
    </xf>
    <xf borderId="0" fillId="0" fontId="46" numFmtId="0" xfId="0" applyAlignment="1" applyFont="1">
      <alignment horizontal="center" vertical="bottom"/>
    </xf>
    <xf borderId="10" fillId="0" fontId="27" numFmtId="0" xfId="0" applyAlignment="1" applyBorder="1" applyFont="1">
      <alignment horizontal="center" vertical="bottom"/>
    </xf>
    <xf borderId="11" fillId="0" fontId="27" numFmtId="0" xfId="0" applyAlignment="1" applyBorder="1" applyFont="1">
      <alignment horizontal="center" vertical="bottom"/>
    </xf>
    <xf borderId="0" fillId="0" fontId="22" numFmtId="0" xfId="0" applyAlignment="1" applyFont="1">
      <alignment horizontal="left" readingOrder="0" shrinkToFit="0" vertical="top" wrapText="1"/>
    </xf>
    <xf borderId="12" fillId="0" fontId="47" numFmtId="0" xfId="0" applyAlignment="1" applyBorder="1" applyFont="1">
      <alignment horizontal="center" vertical="bottom"/>
    </xf>
    <xf borderId="12" fillId="0" fontId="47" numFmtId="0" xfId="0" applyAlignment="1" applyBorder="1" applyFont="1">
      <alignment horizontal="center" readingOrder="0" vertical="bottom"/>
    </xf>
    <xf borderId="0" fillId="0" fontId="48" numFmtId="0" xfId="0" applyAlignment="1" applyFont="1">
      <alignment horizontal="center" readingOrder="0" shrinkToFit="0" vertical="top" wrapText="1"/>
    </xf>
    <xf borderId="0" fillId="0" fontId="49" numFmtId="0" xfId="0" applyAlignment="1" applyFont="1">
      <alignment horizontal="center" readingOrder="0" vertical="top"/>
    </xf>
    <xf borderId="8" fillId="0" fontId="11" numFmtId="0" xfId="0" applyAlignment="1" applyBorder="1" applyFont="1">
      <alignment horizontal="center" readingOrder="0" vertical="bottom"/>
    </xf>
    <xf borderId="8" fillId="0" fontId="11" numFmtId="0" xfId="0" applyAlignment="1" applyBorder="1" applyFont="1">
      <alignment horizontal="center" vertical="bottom"/>
    </xf>
    <xf borderId="9" fillId="0" fontId="11" numFmtId="0" xfId="0" applyAlignment="1" applyBorder="1" applyFont="1">
      <alignment horizontal="center" readingOrder="0" vertical="bottom"/>
    </xf>
    <xf borderId="9" fillId="0" fontId="11" numFmtId="0" xfId="0" applyAlignment="1" applyBorder="1" applyFont="1">
      <alignment horizontal="center" vertical="bottom"/>
    </xf>
    <xf borderId="10" fillId="0" fontId="11" numFmtId="0" xfId="0" applyAlignment="1" applyBorder="1" applyFont="1">
      <alignment horizontal="center" vertical="bottom"/>
    </xf>
    <xf borderId="10" fillId="0" fontId="11" numFmtId="0" xfId="0" applyAlignment="1" applyBorder="1" applyFont="1">
      <alignment horizontal="center" readingOrder="0" vertical="bottom"/>
    </xf>
    <xf borderId="11" fillId="0" fontId="11" numFmtId="0" xfId="0" applyAlignment="1" applyBorder="1" applyFont="1">
      <alignment horizontal="center" vertical="bottom"/>
    </xf>
    <xf borderId="11" fillId="0" fontId="11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3" fontId="11" numFmtId="0" xfId="0" applyAlignment="1" applyFill="1" applyFont="1">
      <alignment vertical="bottom"/>
    </xf>
    <xf borderId="0" fillId="0" fontId="50" numFmtId="0" xfId="0" applyAlignment="1" applyFont="1">
      <alignment readingOrder="0" shrinkToFit="0" vertical="center" wrapText="1"/>
    </xf>
    <xf borderId="0" fillId="6" fontId="20" numFmtId="0" xfId="0" applyAlignment="1" applyFill="1" applyFont="1">
      <alignment horizontal="center" readingOrder="0" vertical="bottom"/>
    </xf>
    <xf borderId="5" fillId="7" fontId="27" numFmtId="0" xfId="0" applyAlignment="1" applyBorder="1" applyFill="1" applyFont="1">
      <alignment vertical="bottom"/>
    </xf>
    <xf borderId="0" fillId="5" fontId="50" numFmtId="0" xfId="0" applyAlignment="1" applyFill="1" applyFont="1">
      <alignment readingOrder="0" shrinkToFit="0" vertical="bottom" wrapText="1"/>
    </xf>
    <xf borderId="0" fillId="13" fontId="51" numFmtId="0" xfId="0" applyAlignment="1" applyFill="1" applyFont="1">
      <alignment horizontal="center" readingOrder="0" shrinkToFit="0" vertical="bottom" wrapText="1"/>
    </xf>
    <xf borderId="0" fillId="0" fontId="52" numFmtId="0" xfId="0" applyAlignment="1" applyFont="1">
      <alignment horizontal="center" readingOrder="0" vertical="bottom"/>
    </xf>
    <xf borderId="0" fillId="5" fontId="53" numFmtId="0" xfId="0" applyAlignment="1" applyFill="1" applyFont="1">
      <alignment horizontal="center" readingOrder="0" vertical="center"/>
    </xf>
    <xf borderId="0" fillId="5" fontId="34" numFmtId="0" xfId="0" applyAlignment="1" applyFill="1" applyFont="1">
      <alignment horizontal="center" readingOrder="0" vertical="center"/>
    </xf>
    <xf borderId="2" fillId="14" fontId="51" numFmtId="0" xfId="0" applyAlignment="1" applyBorder="1" applyFill="1" applyFont="1">
      <alignment horizontal="center" readingOrder="0" shrinkToFit="0" vertical="bottom" wrapText="1"/>
    </xf>
    <xf borderId="0" fillId="7" fontId="27" numFmtId="0" xfId="0" applyAlignment="1" applyFill="1" applyFont="1">
      <alignment vertical="bottom"/>
    </xf>
    <xf borderId="0" fillId="4" fontId="51" numFmtId="0" xfId="0" applyAlignment="1" applyFill="1" applyFont="1">
      <alignment horizontal="center" readingOrder="0" shrinkToFit="0" vertical="bottom" wrapText="1"/>
    </xf>
    <xf borderId="8" fillId="14" fontId="51" numFmtId="0" xfId="0" applyAlignment="1" applyBorder="1" applyFill="1" applyFont="1">
      <alignment horizontal="center" readingOrder="0" shrinkToFit="0" vertical="bottom" wrapText="1"/>
    </xf>
    <xf borderId="0" fillId="14" fontId="51" numFmtId="164" xfId="0" applyAlignment="1" applyFill="1" applyFont="1" applyNumberFormat="1">
      <alignment horizontal="center" readingOrder="0" shrinkToFit="0" vertical="bottom" wrapText="1"/>
    </xf>
    <xf borderId="0" fillId="14" fontId="51" numFmtId="0" xfId="0" applyAlignment="1" applyFill="1" applyFont="1">
      <alignment horizontal="center" readingOrder="0" shrinkToFit="0" vertical="bottom" wrapText="1"/>
    </xf>
    <xf borderId="0" fillId="4" fontId="27" numFmtId="0" xfId="0" applyAlignment="1" applyFill="1" applyFont="1">
      <alignment vertical="bottom"/>
    </xf>
    <xf borderId="9" fillId="14" fontId="51" numFmtId="0" xfId="0" applyAlignment="1" applyBorder="1" applyFill="1" applyFont="1">
      <alignment horizontal="center" readingOrder="0" shrinkToFit="0" vertical="bottom" wrapText="1"/>
    </xf>
    <xf borderId="10" fillId="14" fontId="51" numFmtId="0" xfId="0" applyAlignment="1" applyBorder="1" applyFill="1" applyFont="1">
      <alignment horizontal="center" readingOrder="0" shrinkToFit="0" vertical="bottom" wrapText="1"/>
    </xf>
    <xf borderId="15" fillId="14" fontId="51" numFmtId="0" xfId="0" applyAlignment="1" applyBorder="1" applyFill="1" applyFont="1">
      <alignment horizontal="center" readingOrder="0" shrinkToFit="0" vertical="bottom" wrapText="1"/>
    </xf>
    <xf borderId="11" fillId="14" fontId="51" numFmtId="0" xfId="0" applyAlignment="1" applyBorder="1" applyFill="1" applyFont="1">
      <alignment horizontal="center" readingOrder="0" shrinkToFit="0" vertical="bottom" wrapText="1"/>
    </xf>
    <xf borderId="0" fillId="4" fontId="50" numFmtId="0" xfId="0" applyAlignment="1" applyFill="1" applyFont="1">
      <alignment horizontal="center" readingOrder="0" shrinkToFit="0" vertical="bottom" wrapText="1"/>
    </xf>
    <xf borderId="0" fillId="5" fontId="54" numFmtId="0" xfId="0" applyAlignment="1" applyFill="1" applyFont="1">
      <alignment horizontal="center" readingOrder="0" vertical="center"/>
    </xf>
    <xf borderId="0" fillId="8" fontId="23" numFmtId="3" xfId="0" applyAlignment="1" applyFill="1" applyFont="1" applyNumberFormat="1">
      <alignment horizontal="center" vertical="bottom"/>
    </xf>
    <xf borderId="0" fillId="0" fontId="40" numFmtId="0" xfId="0" applyAlignment="1" applyFont="1">
      <alignment horizontal="center" readingOrder="0" vertical="center"/>
    </xf>
    <xf borderId="0" fillId="0" fontId="42" numFmtId="0" xfId="0" applyAlignment="1" applyFont="1">
      <alignment readingOrder="0"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1" numFmtId="20" xfId="0" applyFont="1" applyNumberFormat="1"/>
    <xf borderId="0" fillId="0" fontId="1" numFmtId="3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  <tableStyles count="1">
    <tableStyle count="3" pivot="0" name="PokeTale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4" Type="http://schemas.openxmlformats.org/officeDocument/2006/relationships/worksheet" Target="worksheets/sheet30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676275</xdr:colOff>
      <xdr:row>0</xdr:row>
      <xdr:rowOff>104775</xdr:rowOff>
    </xdr:from>
    <xdr:ext cx="1495425" cy="1238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4914900</xdr:colOff>
      <xdr:row>0</xdr:row>
      <xdr:rowOff>0</xdr:rowOff>
    </xdr:from>
    <xdr:ext cx="4962525" cy="3657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3:I196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PokeTalen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tinyurl.com/planilha-pka-hunts" TargetMode="External"/><Relationship Id="rId22" Type="http://schemas.openxmlformats.org/officeDocument/2006/relationships/hyperlink" Target="https://imgur.com/a/fmnPze7" TargetMode="External"/><Relationship Id="rId21" Type="http://schemas.openxmlformats.org/officeDocument/2006/relationships/hyperlink" Target="https://imgur.com/a/wFcUcVR" TargetMode="External"/><Relationship Id="rId24" Type="http://schemas.openxmlformats.org/officeDocument/2006/relationships/hyperlink" Target="https://wiki.pokealliance.com/" TargetMode="External"/><Relationship Id="rId23" Type="http://schemas.openxmlformats.org/officeDocument/2006/relationships/hyperlink" Target="https://wiki.pokealliance.com/quests/quests-principais" TargetMode="External"/><Relationship Id="rId1" Type="http://schemas.openxmlformats.org/officeDocument/2006/relationships/hyperlink" Target="http://wiki.pokealliance.com/guias/boost_stone" TargetMode="External"/><Relationship Id="rId2" Type="http://schemas.openxmlformats.org/officeDocument/2006/relationships/hyperlink" Target="https://imgur.com/6xFdECI" TargetMode="External"/><Relationship Id="rId3" Type="http://schemas.openxmlformats.org/officeDocument/2006/relationships/hyperlink" Target="http://wiki.pokealliance.com/sistemas/helds" TargetMode="External"/><Relationship Id="rId4" Type="http://schemas.openxmlformats.org/officeDocument/2006/relationships/hyperlink" Target="https://www.youtube.com/watch?v=hPkmXE61Y18" TargetMode="External"/><Relationship Id="rId9" Type="http://schemas.openxmlformats.org/officeDocument/2006/relationships/hyperlink" Target="https://discord.com/channels/1159230367803392022/1308285144943034398/1460739112435712022" TargetMode="External"/><Relationship Id="rId26" Type="http://schemas.openxmlformats.org/officeDocument/2006/relationships/hyperlink" Target="https://discord.com/channels/1159230367803392022/1159230368940032092/1235097347394895872" TargetMode="External"/><Relationship Id="rId25" Type="http://schemas.openxmlformats.org/officeDocument/2006/relationships/hyperlink" Target="https://curse.com.br/pokealliance" TargetMode="External"/><Relationship Id="rId28" Type="http://schemas.openxmlformats.org/officeDocument/2006/relationships/hyperlink" Target="https://pokealliance.com/tickets" TargetMode="External"/><Relationship Id="rId27" Type="http://schemas.openxmlformats.org/officeDocument/2006/relationships/hyperlink" Target="https://wiki.pokealliance.com/guias/comandos-disponiveis" TargetMode="External"/><Relationship Id="rId5" Type="http://schemas.openxmlformats.org/officeDocument/2006/relationships/hyperlink" Target="https://discord.com/channels/1159230367803392022/1235107027026448385/1492317824306384998" TargetMode="External"/><Relationship Id="rId6" Type="http://schemas.openxmlformats.org/officeDocument/2006/relationships/hyperlink" Target="https://discord.com/channels/1159230367803392022/1308285144943034398/1460010127838150699" TargetMode="External"/><Relationship Id="rId29" Type="http://schemas.openxmlformats.org/officeDocument/2006/relationships/hyperlink" Target="https://wiki.pokealliance.com/sistemas/houses-e-bids" TargetMode="External"/><Relationship Id="rId7" Type="http://schemas.openxmlformats.org/officeDocument/2006/relationships/hyperlink" Target="https://discord.gg/pokealliance" TargetMode="External"/><Relationship Id="rId8" Type="http://schemas.openxmlformats.org/officeDocument/2006/relationships/hyperlink" Target="https://wiki.pokealliance.com/pokemon" TargetMode="External"/><Relationship Id="rId31" Type="http://schemas.openxmlformats.org/officeDocument/2006/relationships/hyperlink" Target="https://imgur.com/a/QzUk2PV" TargetMode="External"/><Relationship Id="rId30" Type="http://schemas.openxmlformats.org/officeDocument/2006/relationships/hyperlink" Target="https://imgur.com/a/K9OUnE6" TargetMode="External"/><Relationship Id="rId11" Type="http://schemas.openxmlformats.org/officeDocument/2006/relationships/hyperlink" Target="http://wiki.pokealliance.com/sistemas/twitch-shop" TargetMode="External"/><Relationship Id="rId33" Type="http://schemas.openxmlformats.org/officeDocument/2006/relationships/hyperlink" Target="https://pokealliance.com/terms" TargetMode="External"/><Relationship Id="rId10" Type="http://schemas.openxmlformats.org/officeDocument/2006/relationships/hyperlink" Target="https://imgur.com/a/ZRjJxLj" TargetMode="External"/><Relationship Id="rId32" Type="http://schemas.openxmlformats.org/officeDocument/2006/relationships/hyperlink" Target="https://wiki.pokealliance.com/sistemas/talentos" TargetMode="External"/><Relationship Id="rId13" Type="http://schemas.openxmlformats.org/officeDocument/2006/relationships/hyperlink" Target="https://www.youtube.com/shorts/IssTYDDWpBo" TargetMode="External"/><Relationship Id="rId12" Type="http://schemas.openxmlformats.org/officeDocument/2006/relationships/hyperlink" Target="https://discord.com/channels/1159230367803392022/1367202787208859759/1367206876458254407" TargetMode="External"/><Relationship Id="rId34" Type="http://schemas.openxmlformats.org/officeDocument/2006/relationships/drawing" Target="../drawings/drawing3.xml"/><Relationship Id="rId15" Type="http://schemas.openxmlformats.org/officeDocument/2006/relationships/hyperlink" Target="https://wiki.pokealliance.com/sistemas/houses-e-bids" TargetMode="External"/><Relationship Id="rId14" Type="http://schemas.openxmlformats.org/officeDocument/2006/relationships/hyperlink" Target="https://discord.com/channels/1159230367803392022/1159230368940032093/1503091998884626725" TargetMode="External"/><Relationship Id="rId17" Type="http://schemas.openxmlformats.org/officeDocument/2006/relationships/hyperlink" Target="https://discord.com/channels/1159230367803392022/1235107027026448385/1525600910506725576" TargetMode="External"/><Relationship Id="rId16" Type="http://schemas.openxmlformats.org/officeDocument/2006/relationships/hyperlink" Target="https://imgur.com/a/wsBc9WF" TargetMode="External"/><Relationship Id="rId19" Type="http://schemas.openxmlformats.org/officeDocument/2006/relationships/hyperlink" Target="http://pokealliance.com/" TargetMode="External"/><Relationship Id="rId18" Type="http://schemas.openxmlformats.org/officeDocument/2006/relationships/hyperlink" Target="https://imgur.com/a/NVhr3YD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iscord.com/channels/1159230367803392022/1159230368940032093/1495879078094311494" TargetMode="External"/><Relationship Id="rId3" Type="http://schemas.openxmlformats.org/officeDocument/2006/relationships/hyperlink" Target="https://imgur.com/a/Ts9I3R9" TargetMode="External"/><Relationship Id="rId4" Type="http://schemas.openxmlformats.org/officeDocument/2006/relationships/hyperlink" Target="https://imgur.com/a/Ts9I3R9" TargetMode="External"/><Relationship Id="rId5" Type="http://schemas.openxmlformats.org/officeDocument/2006/relationships/hyperlink" Target="https://imgur.com/a/Ts9I3R9" TargetMode="External"/><Relationship Id="rId6" Type="http://schemas.openxmlformats.org/officeDocument/2006/relationships/drawing" Target="../drawings/drawing4.xml"/><Relationship Id="rId7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imgur.com/a/iHrZsw8" TargetMode="External"/><Relationship Id="rId194" Type="http://schemas.openxmlformats.org/officeDocument/2006/relationships/hyperlink" Target="https://imgur.com/a/yhVaW4Z" TargetMode="External"/><Relationship Id="rId193" Type="http://schemas.openxmlformats.org/officeDocument/2006/relationships/hyperlink" Target="https://imgur.com/a/nmnNuO5" TargetMode="External"/><Relationship Id="rId192" Type="http://schemas.openxmlformats.org/officeDocument/2006/relationships/hyperlink" Target="https://imgur.com/a/PjJgh5m" TargetMode="External"/><Relationship Id="rId191" Type="http://schemas.openxmlformats.org/officeDocument/2006/relationships/hyperlink" Target="https://imgur.com/a/PjJgh5m" TargetMode="External"/><Relationship Id="rId187" Type="http://schemas.openxmlformats.org/officeDocument/2006/relationships/hyperlink" Target="https://imgur.com/a/INejCDG" TargetMode="External"/><Relationship Id="rId186" Type="http://schemas.openxmlformats.org/officeDocument/2006/relationships/hyperlink" Target="https://imgur.com/a/wFcUcVR" TargetMode="External"/><Relationship Id="rId185" Type="http://schemas.openxmlformats.org/officeDocument/2006/relationships/hyperlink" Target="https://imgur.com/a/U3QIuQB" TargetMode="External"/><Relationship Id="rId184" Type="http://schemas.openxmlformats.org/officeDocument/2006/relationships/hyperlink" Target="https://imgur.com/a/eJHK8SE" TargetMode="External"/><Relationship Id="rId189" Type="http://schemas.openxmlformats.org/officeDocument/2006/relationships/hyperlink" Target="https://imgur.com/uw0XICj" TargetMode="External"/><Relationship Id="rId188" Type="http://schemas.openxmlformats.org/officeDocument/2006/relationships/hyperlink" Target="https://imgur.com/a/FQ8roQ4" TargetMode="External"/><Relationship Id="rId183" Type="http://schemas.openxmlformats.org/officeDocument/2006/relationships/hyperlink" Target="https://imgur.com/a/wFcUcVR" TargetMode="External"/><Relationship Id="rId182" Type="http://schemas.openxmlformats.org/officeDocument/2006/relationships/hyperlink" Target="https://imgur.com/a/P4wh1Pv" TargetMode="External"/><Relationship Id="rId181" Type="http://schemas.openxmlformats.org/officeDocument/2006/relationships/hyperlink" Target="https://imgur.com/a/wFcUcVR" TargetMode="External"/><Relationship Id="rId180" Type="http://schemas.openxmlformats.org/officeDocument/2006/relationships/hyperlink" Target="https://imgur.com/a/gFsPWgx" TargetMode="External"/><Relationship Id="rId176" Type="http://schemas.openxmlformats.org/officeDocument/2006/relationships/hyperlink" Target="https://imgur.com/a/hGRDfmM" TargetMode="External"/><Relationship Id="rId297" Type="http://schemas.openxmlformats.org/officeDocument/2006/relationships/hyperlink" Target="https://imgur.com/a/ZZR9q3t" TargetMode="External"/><Relationship Id="rId175" Type="http://schemas.openxmlformats.org/officeDocument/2006/relationships/hyperlink" Target="https://imgur.com/a/lrEa6jJ" TargetMode="External"/><Relationship Id="rId296" Type="http://schemas.openxmlformats.org/officeDocument/2006/relationships/hyperlink" Target="https://imgur.com/a/7Nmijrk" TargetMode="External"/><Relationship Id="rId174" Type="http://schemas.openxmlformats.org/officeDocument/2006/relationships/hyperlink" Target="https://imgur.com/a/lrEa6jJ" TargetMode="External"/><Relationship Id="rId295" Type="http://schemas.openxmlformats.org/officeDocument/2006/relationships/hyperlink" Target="https://imgur.com/a/sZjLUro" TargetMode="External"/><Relationship Id="rId173" Type="http://schemas.openxmlformats.org/officeDocument/2006/relationships/hyperlink" Target="https://imgur.com/a/lrEa6jJ" TargetMode="External"/><Relationship Id="rId294" Type="http://schemas.openxmlformats.org/officeDocument/2006/relationships/hyperlink" Target="https://imgur.com/a/Z1blUfu" TargetMode="External"/><Relationship Id="rId179" Type="http://schemas.openxmlformats.org/officeDocument/2006/relationships/hyperlink" Target="https://imgur.com/a/j21SPSA" TargetMode="External"/><Relationship Id="rId178" Type="http://schemas.openxmlformats.org/officeDocument/2006/relationships/hyperlink" Target="https://imgur.com/a/hGRDfmM" TargetMode="External"/><Relationship Id="rId299" Type="http://schemas.openxmlformats.org/officeDocument/2006/relationships/hyperlink" Target="https://imgur.com/a/TtFAFi8" TargetMode="External"/><Relationship Id="rId177" Type="http://schemas.openxmlformats.org/officeDocument/2006/relationships/hyperlink" Target="https://imgur.com/a/hGRDfmM" TargetMode="External"/><Relationship Id="rId298" Type="http://schemas.openxmlformats.org/officeDocument/2006/relationships/hyperlink" Target="https://imgur.com/a/AV1brbq" TargetMode="External"/><Relationship Id="rId198" Type="http://schemas.openxmlformats.org/officeDocument/2006/relationships/hyperlink" Target="https://imgur.com/a/wpVvk3n" TargetMode="External"/><Relationship Id="rId197" Type="http://schemas.openxmlformats.org/officeDocument/2006/relationships/hyperlink" Target="https://imgur.com/a/H98mIzg" TargetMode="External"/><Relationship Id="rId196" Type="http://schemas.openxmlformats.org/officeDocument/2006/relationships/hyperlink" Target="https://imgur.com/a/Pc6sqFF" TargetMode="External"/><Relationship Id="rId195" Type="http://schemas.openxmlformats.org/officeDocument/2006/relationships/hyperlink" Target="https://imgur.com/a/Oaet1M6" TargetMode="External"/><Relationship Id="rId199" Type="http://schemas.openxmlformats.org/officeDocument/2006/relationships/hyperlink" Target="https://imgur.com/a/ScBW2W0" TargetMode="External"/><Relationship Id="rId150" Type="http://schemas.openxmlformats.org/officeDocument/2006/relationships/hyperlink" Target="https://imgur.com/a/3LppiO7" TargetMode="External"/><Relationship Id="rId271" Type="http://schemas.openxmlformats.org/officeDocument/2006/relationships/hyperlink" Target="https://imgur.com/a/otQbKEE" TargetMode="External"/><Relationship Id="rId392" Type="http://schemas.openxmlformats.org/officeDocument/2006/relationships/hyperlink" Target="https://imgur.com/a/625I8kI" TargetMode="External"/><Relationship Id="rId270" Type="http://schemas.openxmlformats.org/officeDocument/2006/relationships/hyperlink" Target="https://imgur.com/a/SBsknJ7" TargetMode="External"/><Relationship Id="rId391" Type="http://schemas.openxmlformats.org/officeDocument/2006/relationships/hyperlink" Target="https://imgur.com/a/S4yJs5f" TargetMode="External"/><Relationship Id="rId390" Type="http://schemas.openxmlformats.org/officeDocument/2006/relationships/hyperlink" Target="https://imgur.com/a/JL6EoDR" TargetMode="External"/><Relationship Id="rId1" Type="http://schemas.openxmlformats.org/officeDocument/2006/relationships/hyperlink" Target="https://imgur.com/a/jcpzOgr" TargetMode="External"/><Relationship Id="rId2" Type="http://schemas.openxmlformats.org/officeDocument/2006/relationships/hyperlink" Target="https://imgur.com/a/FV42d75" TargetMode="External"/><Relationship Id="rId3" Type="http://schemas.openxmlformats.org/officeDocument/2006/relationships/hyperlink" Target="https://imgur.com/a/XEfXuD8" TargetMode="External"/><Relationship Id="rId149" Type="http://schemas.openxmlformats.org/officeDocument/2006/relationships/hyperlink" Target="https://imgur.com/a/j21SPSA" TargetMode="External"/><Relationship Id="rId4" Type="http://schemas.openxmlformats.org/officeDocument/2006/relationships/hyperlink" Target="https://imgur.com/a/QZY9tMI" TargetMode="External"/><Relationship Id="rId148" Type="http://schemas.openxmlformats.org/officeDocument/2006/relationships/hyperlink" Target="https://imgur.com/a/df36NrE" TargetMode="External"/><Relationship Id="rId269" Type="http://schemas.openxmlformats.org/officeDocument/2006/relationships/hyperlink" Target="https://imgur.com/a/H98mIzg" TargetMode="External"/><Relationship Id="rId9" Type="http://schemas.openxmlformats.org/officeDocument/2006/relationships/hyperlink" Target="https://imgur.com/a/ksXMwHN" TargetMode="External"/><Relationship Id="rId143" Type="http://schemas.openxmlformats.org/officeDocument/2006/relationships/hyperlink" Target="https://imgur.com/a/mNdE7Lo" TargetMode="External"/><Relationship Id="rId264" Type="http://schemas.openxmlformats.org/officeDocument/2006/relationships/hyperlink" Target="https://imgur.com/a/VfulNAF" TargetMode="External"/><Relationship Id="rId385" Type="http://schemas.openxmlformats.org/officeDocument/2006/relationships/hyperlink" Target="https://imgur.com/a/4Ovdko8" TargetMode="External"/><Relationship Id="rId142" Type="http://schemas.openxmlformats.org/officeDocument/2006/relationships/hyperlink" Target="https://imgur.com/a/kd1pFE9" TargetMode="External"/><Relationship Id="rId263" Type="http://schemas.openxmlformats.org/officeDocument/2006/relationships/hyperlink" Target="https://imgur.com/a/f5KRTsE" TargetMode="External"/><Relationship Id="rId384" Type="http://schemas.openxmlformats.org/officeDocument/2006/relationships/hyperlink" Target="https://imgur.com/a/xG6MiHI" TargetMode="External"/><Relationship Id="rId141" Type="http://schemas.openxmlformats.org/officeDocument/2006/relationships/hyperlink" Target="https://imgur.com/a/0ZHbtgY" TargetMode="External"/><Relationship Id="rId262" Type="http://schemas.openxmlformats.org/officeDocument/2006/relationships/hyperlink" Target="https://imgur.com/a/FSCg92Z" TargetMode="External"/><Relationship Id="rId383" Type="http://schemas.openxmlformats.org/officeDocument/2006/relationships/hyperlink" Target="https://imgur.com/a/xG6MiHI" TargetMode="External"/><Relationship Id="rId140" Type="http://schemas.openxmlformats.org/officeDocument/2006/relationships/hyperlink" Target="https://imgur.com/a/SBsknJ7" TargetMode="External"/><Relationship Id="rId261" Type="http://schemas.openxmlformats.org/officeDocument/2006/relationships/hyperlink" Target="https://imgur.com/a/PjJgh5m" TargetMode="External"/><Relationship Id="rId382" Type="http://schemas.openxmlformats.org/officeDocument/2006/relationships/hyperlink" Target="https://imgur.com/a/zziX3N4" TargetMode="External"/><Relationship Id="rId5" Type="http://schemas.openxmlformats.org/officeDocument/2006/relationships/hyperlink" Target="https://imgur.com/a/zRcrSLP" TargetMode="External"/><Relationship Id="rId147" Type="http://schemas.openxmlformats.org/officeDocument/2006/relationships/hyperlink" Target="https://imgur.com/a/yn32FNm" TargetMode="External"/><Relationship Id="rId268" Type="http://schemas.openxmlformats.org/officeDocument/2006/relationships/hyperlink" Target="https://imgur.com/a/EDtI5vP" TargetMode="External"/><Relationship Id="rId389" Type="http://schemas.openxmlformats.org/officeDocument/2006/relationships/hyperlink" Target="https://imgur.com/a/OahinY3" TargetMode="External"/><Relationship Id="rId6" Type="http://schemas.openxmlformats.org/officeDocument/2006/relationships/hyperlink" Target="https://imgur.com/a/8vGvdYp" TargetMode="External"/><Relationship Id="rId146" Type="http://schemas.openxmlformats.org/officeDocument/2006/relationships/hyperlink" Target="https://imgur.com/a/bIuz6Tm" TargetMode="External"/><Relationship Id="rId267" Type="http://schemas.openxmlformats.org/officeDocument/2006/relationships/hyperlink" Target="https://imgur.com/a/SBsknJ7" TargetMode="External"/><Relationship Id="rId388" Type="http://schemas.openxmlformats.org/officeDocument/2006/relationships/hyperlink" Target="https://imgur.com/a/8sxx7sN" TargetMode="External"/><Relationship Id="rId7" Type="http://schemas.openxmlformats.org/officeDocument/2006/relationships/hyperlink" Target="https://imgur.com/a/5ZdzM08" TargetMode="External"/><Relationship Id="rId145" Type="http://schemas.openxmlformats.org/officeDocument/2006/relationships/hyperlink" Target="https://imgur.com/a/YOVObyR" TargetMode="External"/><Relationship Id="rId266" Type="http://schemas.openxmlformats.org/officeDocument/2006/relationships/hyperlink" Target="https://imgur.com/a/SBsknJ7" TargetMode="External"/><Relationship Id="rId387" Type="http://schemas.openxmlformats.org/officeDocument/2006/relationships/hyperlink" Target="https://imgur.com/a/Ts9I3R9" TargetMode="External"/><Relationship Id="rId8" Type="http://schemas.openxmlformats.org/officeDocument/2006/relationships/hyperlink" Target="https://imgur.com/a/thSWZiw" TargetMode="External"/><Relationship Id="rId144" Type="http://schemas.openxmlformats.org/officeDocument/2006/relationships/hyperlink" Target="https://imgur.com/a/ZaL8AAc" TargetMode="External"/><Relationship Id="rId265" Type="http://schemas.openxmlformats.org/officeDocument/2006/relationships/hyperlink" Target="https://imgur.com/a/SBsknJ7" TargetMode="External"/><Relationship Id="rId386" Type="http://schemas.openxmlformats.org/officeDocument/2006/relationships/hyperlink" Target="https://imgur.com/a/4Ovdko8" TargetMode="External"/><Relationship Id="rId260" Type="http://schemas.openxmlformats.org/officeDocument/2006/relationships/hyperlink" Target="https://imgur.com/a/PjJgh5m" TargetMode="External"/><Relationship Id="rId381" Type="http://schemas.openxmlformats.org/officeDocument/2006/relationships/hyperlink" Target="https://imgur.com/a/FaZB45d" TargetMode="External"/><Relationship Id="rId380" Type="http://schemas.openxmlformats.org/officeDocument/2006/relationships/hyperlink" Target="https://imgur.com/a/8EPyq93" TargetMode="External"/><Relationship Id="rId139" Type="http://schemas.openxmlformats.org/officeDocument/2006/relationships/hyperlink" Target="https://imgur.com/a/vl4bFGw" TargetMode="External"/><Relationship Id="rId138" Type="http://schemas.openxmlformats.org/officeDocument/2006/relationships/hyperlink" Target="https://imgur.com/a/j21SPSA" TargetMode="External"/><Relationship Id="rId259" Type="http://schemas.openxmlformats.org/officeDocument/2006/relationships/hyperlink" Target="https://imgur.com/a/K1wNTv6" TargetMode="External"/><Relationship Id="rId137" Type="http://schemas.openxmlformats.org/officeDocument/2006/relationships/hyperlink" Target="https://imgur.com/a/IZyOqys" TargetMode="External"/><Relationship Id="rId258" Type="http://schemas.openxmlformats.org/officeDocument/2006/relationships/hyperlink" Target="https://imgur.com/a/nBXkwSw" TargetMode="External"/><Relationship Id="rId379" Type="http://schemas.openxmlformats.org/officeDocument/2006/relationships/hyperlink" Target="https://imgur.com/a/5Ljg7sC" TargetMode="External"/><Relationship Id="rId132" Type="http://schemas.openxmlformats.org/officeDocument/2006/relationships/hyperlink" Target="https://imgur.com/a/cPbYaoO" TargetMode="External"/><Relationship Id="rId253" Type="http://schemas.openxmlformats.org/officeDocument/2006/relationships/hyperlink" Target="https://imgur.com/a/wFcUcVR" TargetMode="External"/><Relationship Id="rId374" Type="http://schemas.openxmlformats.org/officeDocument/2006/relationships/hyperlink" Target="https://imgur.com/a/NUmiPTH" TargetMode="External"/><Relationship Id="rId131" Type="http://schemas.openxmlformats.org/officeDocument/2006/relationships/hyperlink" Target="https://imgur.com/a/vgGrrfT" TargetMode="External"/><Relationship Id="rId252" Type="http://schemas.openxmlformats.org/officeDocument/2006/relationships/hyperlink" Target="https://imgur.com/a/TXJL5sM" TargetMode="External"/><Relationship Id="rId373" Type="http://schemas.openxmlformats.org/officeDocument/2006/relationships/hyperlink" Target="https://imgur.com/a/l3lliRe" TargetMode="External"/><Relationship Id="rId130" Type="http://schemas.openxmlformats.org/officeDocument/2006/relationships/hyperlink" Target="https://imgur.com/a/vgGrrfT" TargetMode="External"/><Relationship Id="rId251" Type="http://schemas.openxmlformats.org/officeDocument/2006/relationships/hyperlink" Target="https://imgur.com/a/fmnPze7" TargetMode="External"/><Relationship Id="rId372" Type="http://schemas.openxmlformats.org/officeDocument/2006/relationships/hyperlink" Target="https://imgur.com/a/NfMKEg7" TargetMode="External"/><Relationship Id="rId250" Type="http://schemas.openxmlformats.org/officeDocument/2006/relationships/hyperlink" Target="https://imgur.com/a/TqFuygf" TargetMode="External"/><Relationship Id="rId371" Type="http://schemas.openxmlformats.org/officeDocument/2006/relationships/hyperlink" Target="https://imgur.com/a/4BU3DIw" TargetMode="External"/><Relationship Id="rId136" Type="http://schemas.openxmlformats.org/officeDocument/2006/relationships/hyperlink" Target="https://imgur.com/a/dtwFHj6" TargetMode="External"/><Relationship Id="rId257" Type="http://schemas.openxmlformats.org/officeDocument/2006/relationships/hyperlink" Target="https://imgur.com/a/K1wNTv6" TargetMode="External"/><Relationship Id="rId378" Type="http://schemas.openxmlformats.org/officeDocument/2006/relationships/hyperlink" Target="https://imgur.com/a/5Ljg7sC" TargetMode="External"/><Relationship Id="rId135" Type="http://schemas.openxmlformats.org/officeDocument/2006/relationships/hyperlink" Target="https://imgur.com/a/njzmTdU" TargetMode="External"/><Relationship Id="rId256" Type="http://schemas.openxmlformats.org/officeDocument/2006/relationships/hyperlink" Target="https://imgur.com/a/zRWr3Ry" TargetMode="External"/><Relationship Id="rId377" Type="http://schemas.openxmlformats.org/officeDocument/2006/relationships/hyperlink" Target="https://imgur.com/a/AfWRHhd" TargetMode="External"/><Relationship Id="rId134" Type="http://schemas.openxmlformats.org/officeDocument/2006/relationships/hyperlink" Target="https://imgur.com/a/sROG59a" TargetMode="External"/><Relationship Id="rId255" Type="http://schemas.openxmlformats.org/officeDocument/2006/relationships/hyperlink" Target="https://imgur.com/a/Cpi5yCV" TargetMode="External"/><Relationship Id="rId376" Type="http://schemas.openxmlformats.org/officeDocument/2006/relationships/hyperlink" Target="https://imgur.com/a/pCVvQWa" TargetMode="External"/><Relationship Id="rId133" Type="http://schemas.openxmlformats.org/officeDocument/2006/relationships/hyperlink" Target="https://imgur.com/a/P6cK6PD" TargetMode="External"/><Relationship Id="rId254" Type="http://schemas.openxmlformats.org/officeDocument/2006/relationships/hyperlink" Target="https://imgur.com/a/jom11IM" TargetMode="External"/><Relationship Id="rId375" Type="http://schemas.openxmlformats.org/officeDocument/2006/relationships/hyperlink" Target="https://imgur.com/a/eWSLlta" TargetMode="External"/><Relationship Id="rId172" Type="http://schemas.openxmlformats.org/officeDocument/2006/relationships/hyperlink" Target="https://imgur.com/a/ifO0TRh" TargetMode="External"/><Relationship Id="rId293" Type="http://schemas.openxmlformats.org/officeDocument/2006/relationships/hyperlink" Target="https://imgur.com/a/WaCvBxT" TargetMode="External"/><Relationship Id="rId171" Type="http://schemas.openxmlformats.org/officeDocument/2006/relationships/hyperlink" Target="https://imgur.com/a/0QTUhoj" TargetMode="External"/><Relationship Id="rId292" Type="http://schemas.openxmlformats.org/officeDocument/2006/relationships/hyperlink" Target="https://imgur.com/a/H8eBhUD" TargetMode="External"/><Relationship Id="rId170" Type="http://schemas.openxmlformats.org/officeDocument/2006/relationships/hyperlink" Target="https://imgur.com/a/tVt9b2v" TargetMode="External"/><Relationship Id="rId291" Type="http://schemas.openxmlformats.org/officeDocument/2006/relationships/hyperlink" Target="https://imgur.com/a/0NfZ1UB" TargetMode="External"/><Relationship Id="rId290" Type="http://schemas.openxmlformats.org/officeDocument/2006/relationships/hyperlink" Target="https://imgur.com/a/plu4yw9" TargetMode="External"/><Relationship Id="rId165" Type="http://schemas.openxmlformats.org/officeDocument/2006/relationships/hyperlink" Target="https://imgur.com/a/gB97GTZ" TargetMode="External"/><Relationship Id="rId286" Type="http://schemas.openxmlformats.org/officeDocument/2006/relationships/hyperlink" Target="https://imgur.com/a/SJntAUa" TargetMode="External"/><Relationship Id="rId164" Type="http://schemas.openxmlformats.org/officeDocument/2006/relationships/hyperlink" Target="https://imgur.com/a/ca4NlMA" TargetMode="External"/><Relationship Id="rId285" Type="http://schemas.openxmlformats.org/officeDocument/2006/relationships/hyperlink" Target="https://imgur.com/a/SJntAUa" TargetMode="External"/><Relationship Id="rId163" Type="http://schemas.openxmlformats.org/officeDocument/2006/relationships/hyperlink" Target="https://imgur.com/a/wFcUcVR" TargetMode="External"/><Relationship Id="rId284" Type="http://schemas.openxmlformats.org/officeDocument/2006/relationships/hyperlink" Target="https://imgur.com/a/SJntAUa" TargetMode="External"/><Relationship Id="rId162" Type="http://schemas.openxmlformats.org/officeDocument/2006/relationships/hyperlink" Target="https://imgur.com/a/dvZETth" TargetMode="External"/><Relationship Id="rId283" Type="http://schemas.openxmlformats.org/officeDocument/2006/relationships/hyperlink" Target="https://imgur.com/a/xxiIVMq" TargetMode="External"/><Relationship Id="rId169" Type="http://schemas.openxmlformats.org/officeDocument/2006/relationships/hyperlink" Target="https://imgur.com/a/clP3jSD" TargetMode="External"/><Relationship Id="rId168" Type="http://schemas.openxmlformats.org/officeDocument/2006/relationships/hyperlink" Target="https://imgur.com/a/rzkzhzF" TargetMode="External"/><Relationship Id="rId289" Type="http://schemas.openxmlformats.org/officeDocument/2006/relationships/hyperlink" Target="https://imgur.com/a/QwRNjsJ" TargetMode="External"/><Relationship Id="rId167" Type="http://schemas.openxmlformats.org/officeDocument/2006/relationships/hyperlink" Target="https://imgur.com/a/RI7U1mv" TargetMode="External"/><Relationship Id="rId288" Type="http://schemas.openxmlformats.org/officeDocument/2006/relationships/hyperlink" Target="https://imgur.com/a/wFcUcVR" TargetMode="External"/><Relationship Id="rId166" Type="http://schemas.openxmlformats.org/officeDocument/2006/relationships/hyperlink" Target="https://imgur.com/a/dJnqJtS" TargetMode="External"/><Relationship Id="rId287" Type="http://schemas.openxmlformats.org/officeDocument/2006/relationships/hyperlink" Target="https://imgur.com/a/oEyaCY3" TargetMode="External"/><Relationship Id="rId161" Type="http://schemas.openxmlformats.org/officeDocument/2006/relationships/hyperlink" Target="https://imgur.com/a/mfds9di" TargetMode="External"/><Relationship Id="rId282" Type="http://schemas.openxmlformats.org/officeDocument/2006/relationships/hyperlink" Target="https://imgur.com/a/doQnA6i" TargetMode="External"/><Relationship Id="rId160" Type="http://schemas.openxmlformats.org/officeDocument/2006/relationships/hyperlink" Target="https://imgur.com/a/kMnqXdd" TargetMode="External"/><Relationship Id="rId281" Type="http://schemas.openxmlformats.org/officeDocument/2006/relationships/hyperlink" Target="https://imgur.com/a/kShgmOK" TargetMode="External"/><Relationship Id="rId280" Type="http://schemas.openxmlformats.org/officeDocument/2006/relationships/hyperlink" Target="https://imgur.com/a/30cn4iq" TargetMode="External"/><Relationship Id="rId159" Type="http://schemas.openxmlformats.org/officeDocument/2006/relationships/hyperlink" Target="https://imgur.com/a/j21SPSA" TargetMode="External"/><Relationship Id="rId154" Type="http://schemas.openxmlformats.org/officeDocument/2006/relationships/hyperlink" Target="https://imgur.com/a/wFcUcVR" TargetMode="External"/><Relationship Id="rId275" Type="http://schemas.openxmlformats.org/officeDocument/2006/relationships/hyperlink" Target="https://imgur.com/a/MjvZQ35" TargetMode="External"/><Relationship Id="rId396" Type="http://schemas.openxmlformats.org/officeDocument/2006/relationships/hyperlink" Target="https://imgur.com/a/P3Yij7o" TargetMode="External"/><Relationship Id="rId153" Type="http://schemas.openxmlformats.org/officeDocument/2006/relationships/hyperlink" Target="https://imgur.com/a/lx2xnEu" TargetMode="External"/><Relationship Id="rId274" Type="http://schemas.openxmlformats.org/officeDocument/2006/relationships/hyperlink" Target="https://imgur.com/a/kUQvKbL" TargetMode="External"/><Relationship Id="rId395" Type="http://schemas.openxmlformats.org/officeDocument/2006/relationships/hyperlink" Target="https://imgur.com/a/bKY4IH1" TargetMode="External"/><Relationship Id="rId152" Type="http://schemas.openxmlformats.org/officeDocument/2006/relationships/hyperlink" Target="https://imgur.com/a/clP3jSD" TargetMode="External"/><Relationship Id="rId273" Type="http://schemas.openxmlformats.org/officeDocument/2006/relationships/hyperlink" Target="https://imgur.com/a/PjJgh5m" TargetMode="External"/><Relationship Id="rId394" Type="http://schemas.openxmlformats.org/officeDocument/2006/relationships/hyperlink" Target="https://imgur.com/a/SGKMzoy" TargetMode="External"/><Relationship Id="rId151" Type="http://schemas.openxmlformats.org/officeDocument/2006/relationships/hyperlink" Target="https://imgur.com/a/4fLbygt" TargetMode="External"/><Relationship Id="rId272" Type="http://schemas.openxmlformats.org/officeDocument/2006/relationships/hyperlink" Target="https://imgur.com/a/EBb46PO" TargetMode="External"/><Relationship Id="rId393" Type="http://schemas.openxmlformats.org/officeDocument/2006/relationships/hyperlink" Target="https://imgur.com/a/9vbSqES" TargetMode="External"/><Relationship Id="rId158" Type="http://schemas.openxmlformats.org/officeDocument/2006/relationships/hyperlink" Target="https://imgur.com/a/Q0Pn5Tv" TargetMode="External"/><Relationship Id="rId279" Type="http://schemas.openxmlformats.org/officeDocument/2006/relationships/hyperlink" Target="https://imgur.com/a/vlWgMyH" TargetMode="External"/><Relationship Id="rId157" Type="http://schemas.openxmlformats.org/officeDocument/2006/relationships/hyperlink" Target="https://imgur.com/a/T3rOBjE" TargetMode="External"/><Relationship Id="rId278" Type="http://schemas.openxmlformats.org/officeDocument/2006/relationships/hyperlink" Target="https://imgur.com/a/DKLY2JN" TargetMode="External"/><Relationship Id="rId399" Type="http://schemas.openxmlformats.org/officeDocument/2006/relationships/hyperlink" Target="https://imgur.com/a/MtwwL6b" TargetMode="External"/><Relationship Id="rId156" Type="http://schemas.openxmlformats.org/officeDocument/2006/relationships/hyperlink" Target="https://imgur.com/a/wFcUcVR" TargetMode="External"/><Relationship Id="rId277" Type="http://schemas.openxmlformats.org/officeDocument/2006/relationships/hyperlink" Target="https://imgur.com/a/70P2Qxv" TargetMode="External"/><Relationship Id="rId398" Type="http://schemas.openxmlformats.org/officeDocument/2006/relationships/hyperlink" Target="https://imgur.com/a/zeIeMhU" TargetMode="External"/><Relationship Id="rId155" Type="http://schemas.openxmlformats.org/officeDocument/2006/relationships/hyperlink" Target="https://imgur.com/a/TykewxH" TargetMode="External"/><Relationship Id="rId276" Type="http://schemas.openxmlformats.org/officeDocument/2006/relationships/hyperlink" Target="https://imgur.com/a/W6HZl3X" TargetMode="External"/><Relationship Id="rId397" Type="http://schemas.openxmlformats.org/officeDocument/2006/relationships/hyperlink" Target="https://imgur.com/a/zoIbYgW" TargetMode="External"/><Relationship Id="rId40" Type="http://schemas.openxmlformats.org/officeDocument/2006/relationships/hyperlink" Target="https://imgur.com/a/fZJqgPy" TargetMode="External"/><Relationship Id="rId42" Type="http://schemas.openxmlformats.org/officeDocument/2006/relationships/hyperlink" Target="https://imgur.com/a/HWxtEs3" TargetMode="External"/><Relationship Id="rId41" Type="http://schemas.openxmlformats.org/officeDocument/2006/relationships/hyperlink" Target="https://imgur.com/a/x0itz9y" TargetMode="External"/><Relationship Id="rId44" Type="http://schemas.openxmlformats.org/officeDocument/2006/relationships/hyperlink" Target="https://imgur.com/a/HipDvE8" TargetMode="External"/><Relationship Id="rId43" Type="http://schemas.openxmlformats.org/officeDocument/2006/relationships/hyperlink" Target="https://imgur.com/a/6fIH7lZ" TargetMode="External"/><Relationship Id="rId46" Type="http://schemas.openxmlformats.org/officeDocument/2006/relationships/hyperlink" Target="https://imgur.com/a/G4NlFHG" TargetMode="External"/><Relationship Id="rId45" Type="http://schemas.openxmlformats.org/officeDocument/2006/relationships/hyperlink" Target="https://imgur.com/a/sXQlso1" TargetMode="External"/><Relationship Id="rId48" Type="http://schemas.openxmlformats.org/officeDocument/2006/relationships/hyperlink" Target="https://imgur.com/a/Rh21XkV" TargetMode="External"/><Relationship Id="rId47" Type="http://schemas.openxmlformats.org/officeDocument/2006/relationships/hyperlink" Target="https://imgur.com/a/2uMZqFZ" TargetMode="External"/><Relationship Id="rId49" Type="http://schemas.openxmlformats.org/officeDocument/2006/relationships/hyperlink" Target="https://imgur.com/a/HipDvE8" TargetMode="External"/><Relationship Id="rId31" Type="http://schemas.openxmlformats.org/officeDocument/2006/relationships/hyperlink" Target="https://imgur.com/a/clP3jSD" TargetMode="External"/><Relationship Id="rId30" Type="http://schemas.openxmlformats.org/officeDocument/2006/relationships/hyperlink" Target="https://imgur.com/a/eMjPulX" TargetMode="External"/><Relationship Id="rId33" Type="http://schemas.openxmlformats.org/officeDocument/2006/relationships/hyperlink" Target="https://imgur.com/a/hqHxs3c" TargetMode="External"/><Relationship Id="rId32" Type="http://schemas.openxmlformats.org/officeDocument/2006/relationships/hyperlink" Target="https://imgur.com/a/tVt9b2v" TargetMode="External"/><Relationship Id="rId35" Type="http://schemas.openxmlformats.org/officeDocument/2006/relationships/hyperlink" Target="https://imgur.com/a/jyNtIqk" TargetMode="External"/><Relationship Id="rId34" Type="http://schemas.openxmlformats.org/officeDocument/2006/relationships/hyperlink" Target="https://imgur.com/a/d4z4t8M" TargetMode="External"/><Relationship Id="rId37" Type="http://schemas.openxmlformats.org/officeDocument/2006/relationships/hyperlink" Target="https://imgur.com/a/x0itz9y" TargetMode="External"/><Relationship Id="rId36" Type="http://schemas.openxmlformats.org/officeDocument/2006/relationships/hyperlink" Target="https://imgur.com/a/fZJqgPy" TargetMode="External"/><Relationship Id="rId39" Type="http://schemas.openxmlformats.org/officeDocument/2006/relationships/hyperlink" Target="https://imgur.com/a/UiIeSQX" TargetMode="External"/><Relationship Id="rId38" Type="http://schemas.openxmlformats.org/officeDocument/2006/relationships/hyperlink" Target="https://imgur.com/a/lnONjUq" TargetMode="External"/><Relationship Id="rId20" Type="http://schemas.openxmlformats.org/officeDocument/2006/relationships/hyperlink" Target="https://imgur.com/a/ANHSsgY" TargetMode="External"/><Relationship Id="rId22" Type="http://schemas.openxmlformats.org/officeDocument/2006/relationships/hyperlink" Target="https://imgur.com/a/mZdWvFw" TargetMode="External"/><Relationship Id="rId21" Type="http://schemas.openxmlformats.org/officeDocument/2006/relationships/hyperlink" Target="https://imgur.com/a/yq5WqUg" TargetMode="External"/><Relationship Id="rId24" Type="http://schemas.openxmlformats.org/officeDocument/2006/relationships/hyperlink" Target="https://imgur.com/a/ZyszZOZ" TargetMode="External"/><Relationship Id="rId23" Type="http://schemas.openxmlformats.org/officeDocument/2006/relationships/hyperlink" Target="https://imgur.com/a/SmDawr1" TargetMode="External"/><Relationship Id="rId409" Type="http://schemas.openxmlformats.org/officeDocument/2006/relationships/hyperlink" Target="https://imgur.com/a/rQJH8mB" TargetMode="External"/><Relationship Id="rId404" Type="http://schemas.openxmlformats.org/officeDocument/2006/relationships/hyperlink" Target="https://imgur.com/a/HpHEs6t" TargetMode="External"/><Relationship Id="rId403" Type="http://schemas.openxmlformats.org/officeDocument/2006/relationships/hyperlink" Target="https://imgur.com/a/RVcmBFH" TargetMode="External"/><Relationship Id="rId402" Type="http://schemas.openxmlformats.org/officeDocument/2006/relationships/hyperlink" Target="https://imgur.com/a/dtnPZxU" TargetMode="External"/><Relationship Id="rId401" Type="http://schemas.openxmlformats.org/officeDocument/2006/relationships/hyperlink" Target="https://imgur.com/a/xi7IxsL" TargetMode="External"/><Relationship Id="rId408" Type="http://schemas.openxmlformats.org/officeDocument/2006/relationships/hyperlink" Target="https://imgur.com/a/rQJH8mB" TargetMode="External"/><Relationship Id="rId407" Type="http://schemas.openxmlformats.org/officeDocument/2006/relationships/hyperlink" Target="https://imgur.com/a/c60bAOF" TargetMode="External"/><Relationship Id="rId406" Type="http://schemas.openxmlformats.org/officeDocument/2006/relationships/hyperlink" Target="https://imgur.com/a/x6vRELh" TargetMode="External"/><Relationship Id="rId405" Type="http://schemas.openxmlformats.org/officeDocument/2006/relationships/hyperlink" Target="https://imgur.com/a/JWeTEEf" TargetMode="External"/><Relationship Id="rId26" Type="http://schemas.openxmlformats.org/officeDocument/2006/relationships/hyperlink" Target="https://imgur.com/a/ANHSsgY" TargetMode="External"/><Relationship Id="rId25" Type="http://schemas.openxmlformats.org/officeDocument/2006/relationships/hyperlink" Target="https://imgur.com/a/ZyszZOZ" TargetMode="External"/><Relationship Id="rId28" Type="http://schemas.openxmlformats.org/officeDocument/2006/relationships/hyperlink" Target="https://imgur.com/a/X7pm0Qb" TargetMode="External"/><Relationship Id="rId27" Type="http://schemas.openxmlformats.org/officeDocument/2006/relationships/hyperlink" Target="https://imgur.com/a/NVXqWOp" TargetMode="External"/><Relationship Id="rId400" Type="http://schemas.openxmlformats.org/officeDocument/2006/relationships/hyperlink" Target="https://imgur.com/a/3by4nDT" TargetMode="External"/><Relationship Id="rId29" Type="http://schemas.openxmlformats.org/officeDocument/2006/relationships/hyperlink" Target="https://imgur.com/a/urtC1Gz" TargetMode="External"/><Relationship Id="rId11" Type="http://schemas.openxmlformats.org/officeDocument/2006/relationships/hyperlink" Target="https://imgur.com/a/wXrfm6F" TargetMode="External"/><Relationship Id="rId10" Type="http://schemas.openxmlformats.org/officeDocument/2006/relationships/hyperlink" Target="https://imgur.com/a/8ZPHQzh" TargetMode="External"/><Relationship Id="rId13" Type="http://schemas.openxmlformats.org/officeDocument/2006/relationships/hyperlink" Target="https://imgur.com/a/o6O5mnt" TargetMode="External"/><Relationship Id="rId12" Type="http://schemas.openxmlformats.org/officeDocument/2006/relationships/hyperlink" Target="https://imgur.com/a/H98mIzg" TargetMode="External"/><Relationship Id="rId15" Type="http://schemas.openxmlformats.org/officeDocument/2006/relationships/hyperlink" Target="https://imgur.com/a/Md3zxUt" TargetMode="External"/><Relationship Id="rId14" Type="http://schemas.openxmlformats.org/officeDocument/2006/relationships/hyperlink" Target="https://imgur.com/a/FRZPc0L" TargetMode="External"/><Relationship Id="rId17" Type="http://schemas.openxmlformats.org/officeDocument/2006/relationships/hyperlink" Target="https://imgur.com/a/3UGhQN6" TargetMode="External"/><Relationship Id="rId16" Type="http://schemas.openxmlformats.org/officeDocument/2006/relationships/hyperlink" Target="https://imgur.com/a/IAhK3th" TargetMode="External"/><Relationship Id="rId19" Type="http://schemas.openxmlformats.org/officeDocument/2006/relationships/hyperlink" Target="https://imgur.com/a/1F8OZPT" TargetMode="External"/><Relationship Id="rId18" Type="http://schemas.openxmlformats.org/officeDocument/2006/relationships/hyperlink" Target="https://imgur.com/a/u3FmFya" TargetMode="External"/><Relationship Id="rId84" Type="http://schemas.openxmlformats.org/officeDocument/2006/relationships/hyperlink" Target="https://imgur.com/a/yB63tms" TargetMode="External"/><Relationship Id="rId83" Type="http://schemas.openxmlformats.org/officeDocument/2006/relationships/hyperlink" Target="https://imgur.com/a/C6BDrQk" TargetMode="External"/><Relationship Id="rId86" Type="http://schemas.openxmlformats.org/officeDocument/2006/relationships/hyperlink" Target="https://imgur.com/a/Xw7aLDs" TargetMode="External"/><Relationship Id="rId85" Type="http://schemas.openxmlformats.org/officeDocument/2006/relationships/hyperlink" Target="https://imgur.com/a/MnFL6no" TargetMode="External"/><Relationship Id="rId88" Type="http://schemas.openxmlformats.org/officeDocument/2006/relationships/hyperlink" Target="https://imgur.com/a/UadRpGw" TargetMode="External"/><Relationship Id="rId87" Type="http://schemas.openxmlformats.org/officeDocument/2006/relationships/hyperlink" Target="https://imgur.com/a/oL0tt9a" TargetMode="External"/><Relationship Id="rId89" Type="http://schemas.openxmlformats.org/officeDocument/2006/relationships/hyperlink" Target="https://imgur.com/a/1MIh0TT" TargetMode="External"/><Relationship Id="rId80" Type="http://schemas.openxmlformats.org/officeDocument/2006/relationships/hyperlink" Target="https://imgur.com/a/n2TjM6f" TargetMode="External"/><Relationship Id="rId82" Type="http://schemas.openxmlformats.org/officeDocument/2006/relationships/hyperlink" Target="https://imgur.com/a/C6BDrQk" TargetMode="External"/><Relationship Id="rId81" Type="http://schemas.openxmlformats.org/officeDocument/2006/relationships/hyperlink" Target="https://imgur.com/a/wFcUcVR" TargetMode="External"/><Relationship Id="rId73" Type="http://schemas.openxmlformats.org/officeDocument/2006/relationships/hyperlink" Target="https://imgur.com/a/LmUUKug" TargetMode="External"/><Relationship Id="rId72" Type="http://schemas.openxmlformats.org/officeDocument/2006/relationships/hyperlink" Target="https://imgur.com/a/InCkrp9" TargetMode="External"/><Relationship Id="rId75" Type="http://schemas.openxmlformats.org/officeDocument/2006/relationships/hyperlink" Target="https://imgur.com/a/c9ewG6a" TargetMode="External"/><Relationship Id="rId74" Type="http://schemas.openxmlformats.org/officeDocument/2006/relationships/hyperlink" Target="https://imgur.com/a/4pP85lz" TargetMode="External"/><Relationship Id="rId77" Type="http://schemas.openxmlformats.org/officeDocument/2006/relationships/hyperlink" Target="https://imgur.com/a/ekO6c8T" TargetMode="External"/><Relationship Id="rId76" Type="http://schemas.openxmlformats.org/officeDocument/2006/relationships/hyperlink" Target="https://imgur.com/a/IyWzoPx" TargetMode="External"/><Relationship Id="rId79" Type="http://schemas.openxmlformats.org/officeDocument/2006/relationships/hyperlink" Target="https://imgur.com/a/OEmy8zV" TargetMode="External"/><Relationship Id="rId78" Type="http://schemas.openxmlformats.org/officeDocument/2006/relationships/hyperlink" Target="https://imgur.com/a/G7qjSsO" TargetMode="External"/><Relationship Id="rId71" Type="http://schemas.openxmlformats.org/officeDocument/2006/relationships/hyperlink" Target="https://imgur.com/a/NnkwV5t" TargetMode="External"/><Relationship Id="rId70" Type="http://schemas.openxmlformats.org/officeDocument/2006/relationships/hyperlink" Target="https://imgur.com/a/yAYRe4r" TargetMode="External"/><Relationship Id="rId62" Type="http://schemas.openxmlformats.org/officeDocument/2006/relationships/hyperlink" Target="https://imgur.com/a/qAQiMyS" TargetMode="External"/><Relationship Id="rId61" Type="http://schemas.openxmlformats.org/officeDocument/2006/relationships/hyperlink" Target="https://imgur.com/a/oqtqJb4" TargetMode="External"/><Relationship Id="rId64" Type="http://schemas.openxmlformats.org/officeDocument/2006/relationships/hyperlink" Target="https://imgur.com/a/B7jUmCO" TargetMode="External"/><Relationship Id="rId63" Type="http://schemas.openxmlformats.org/officeDocument/2006/relationships/hyperlink" Target="https://imgur.com/a/ZaKbHhf" TargetMode="External"/><Relationship Id="rId66" Type="http://schemas.openxmlformats.org/officeDocument/2006/relationships/hyperlink" Target="https://imgur.com/a/ndO8iRQ" TargetMode="External"/><Relationship Id="rId65" Type="http://schemas.openxmlformats.org/officeDocument/2006/relationships/hyperlink" Target="https://imgur.com/a/pCa1RXB" TargetMode="External"/><Relationship Id="rId68" Type="http://schemas.openxmlformats.org/officeDocument/2006/relationships/hyperlink" Target="https://imgur.com/a/4E7gOtq" TargetMode="External"/><Relationship Id="rId67" Type="http://schemas.openxmlformats.org/officeDocument/2006/relationships/hyperlink" Target="https://youtu.be/jTEe_aB8h-A" TargetMode="External"/><Relationship Id="rId60" Type="http://schemas.openxmlformats.org/officeDocument/2006/relationships/hyperlink" Target="https://imgur.com/a/09DbkdU" TargetMode="External"/><Relationship Id="rId69" Type="http://schemas.openxmlformats.org/officeDocument/2006/relationships/hyperlink" Target="https://imgur.com/a/4E7gOtq" TargetMode="External"/><Relationship Id="rId51" Type="http://schemas.openxmlformats.org/officeDocument/2006/relationships/hyperlink" Target="https://imgur.com/a/RlR6LYU" TargetMode="External"/><Relationship Id="rId50" Type="http://schemas.openxmlformats.org/officeDocument/2006/relationships/hyperlink" Target="https://imgur.com/a/FuZNCOC" TargetMode="External"/><Relationship Id="rId53" Type="http://schemas.openxmlformats.org/officeDocument/2006/relationships/hyperlink" Target="https://imgur.com/a/2SuUURl" TargetMode="External"/><Relationship Id="rId52" Type="http://schemas.openxmlformats.org/officeDocument/2006/relationships/hyperlink" Target="https://imgur.com/a/uvfPxaO" TargetMode="External"/><Relationship Id="rId55" Type="http://schemas.openxmlformats.org/officeDocument/2006/relationships/hyperlink" Target="https://imgur.com/a/iOsQeVF" TargetMode="External"/><Relationship Id="rId54" Type="http://schemas.openxmlformats.org/officeDocument/2006/relationships/hyperlink" Target="https://imgur.com/a/TaH2l6m" TargetMode="External"/><Relationship Id="rId57" Type="http://schemas.openxmlformats.org/officeDocument/2006/relationships/hyperlink" Target="https://imgur.com/a/tv3nErv" TargetMode="External"/><Relationship Id="rId56" Type="http://schemas.openxmlformats.org/officeDocument/2006/relationships/hyperlink" Target="https://imgur.com/a/tv3nErv" TargetMode="External"/><Relationship Id="rId59" Type="http://schemas.openxmlformats.org/officeDocument/2006/relationships/hyperlink" Target="https://imgur.com/a/pfHx2qk" TargetMode="External"/><Relationship Id="rId58" Type="http://schemas.openxmlformats.org/officeDocument/2006/relationships/hyperlink" Target="https://imgur.com/a/X5fPhhu" TargetMode="External"/><Relationship Id="rId107" Type="http://schemas.openxmlformats.org/officeDocument/2006/relationships/hyperlink" Target="https://imgur.com/a/vgGrrfT" TargetMode="External"/><Relationship Id="rId228" Type="http://schemas.openxmlformats.org/officeDocument/2006/relationships/hyperlink" Target="https://imgur.com/a/zU19ndv" TargetMode="External"/><Relationship Id="rId349" Type="http://schemas.openxmlformats.org/officeDocument/2006/relationships/hyperlink" Target="https://imgur.com/a/6gftpgd" TargetMode="External"/><Relationship Id="rId106" Type="http://schemas.openxmlformats.org/officeDocument/2006/relationships/hyperlink" Target="https://imgur.com/a/6S3V66E" TargetMode="External"/><Relationship Id="rId227" Type="http://schemas.openxmlformats.org/officeDocument/2006/relationships/hyperlink" Target="https://imgur.com/a/0GZB0Pc" TargetMode="External"/><Relationship Id="rId348" Type="http://schemas.openxmlformats.org/officeDocument/2006/relationships/hyperlink" Target="https://imgur.com/a/6gftpgd" TargetMode="External"/><Relationship Id="rId105" Type="http://schemas.openxmlformats.org/officeDocument/2006/relationships/hyperlink" Target="https://imgur.com/a/AWD6nTs" TargetMode="External"/><Relationship Id="rId226" Type="http://schemas.openxmlformats.org/officeDocument/2006/relationships/hyperlink" Target="https://imgur.com/a/EpRy5tT" TargetMode="External"/><Relationship Id="rId347" Type="http://schemas.openxmlformats.org/officeDocument/2006/relationships/hyperlink" Target="https://imgur.com/a/OoNfzDJ" TargetMode="External"/><Relationship Id="rId104" Type="http://schemas.openxmlformats.org/officeDocument/2006/relationships/hyperlink" Target="https://imgur.com/a/0FU7pxA" TargetMode="External"/><Relationship Id="rId225" Type="http://schemas.openxmlformats.org/officeDocument/2006/relationships/hyperlink" Target="https://imgur.com/a/zyv2Y81" TargetMode="External"/><Relationship Id="rId346" Type="http://schemas.openxmlformats.org/officeDocument/2006/relationships/hyperlink" Target="https://imgur.com/a/WJui6MS" TargetMode="External"/><Relationship Id="rId109" Type="http://schemas.openxmlformats.org/officeDocument/2006/relationships/hyperlink" Target="https://imgur.com/a/vgGrrfT" TargetMode="External"/><Relationship Id="rId108" Type="http://schemas.openxmlformats.org/officeDocument/2006/relationships/hyperlink" Target="https://imgur.com/a/vgGrrfT" TargetMode="External"/><Relationship Id="rId229" Type="http://schemas.openxmlformats.org/officeDocument/2006/relationships/hyperlink" Target="https://imgur.com/a/mXj9hj8" TargetMode="External"/><Relationship Id="rId220" Type="http://schemas.openxmlformats.org/officeDocument/2006/relationships/hyperlink" Target="https://imgur.com/a/3YGU4BO" TargetMode="External"/><Relationship Id="rId341" Type="http://schemas.openxmlformats.org/officeDocument/2006/relationships/hyperlink" Target="https://imgur.com/a/dsmbUWE" TargetMode="External"/><Relationship Id="rId340" Type="http://schemas.openxmlformats.org/officeDocument/2006/relationships/hyperlink" Target="https://imgur.com/a/odInvRR" TargetMode="External"/><Relationship Id="rId103" Type="http://schemas.openxmlformats.org/officeDocument/2006/relationships/hyperlink" Target="https://imgur.com/a/8rw5VI3" TargetMode="External"/><Relationship Id="rId224" Type="http://schemas.openxmlformats.org/officeDocument/2006/relationships/hyperlink" Target="https://imgur.com/a/ourpstD" TargetMode="External"/><Relationship Id="rId345" Type="http://schemas.openxmlformats.org/officeDocument/2006/relationships/hyperlink" Target="https://imgur.com/a/0irrv1r" TargetMode="External"/><Relationship Id="rId102" Type="http://schemas.openxmlformats.org/officeDocument/2006/relationships/hyperlink" Target="https://imgur.com/a/mZdWvFw" TargetMode="External"/><Relationship Id="rId223" Type="http://schemas.openxmlformats.org/officeDocument/2006/relationships/hyperlink" Target="https://imgur.com/a/xTyMEaj" TargetMode="External"/><Relationship Id="rId344" Type="http://schemas.openxmlformats.org/officeDocument/2006/relationships/hyperlink" Target="https://imgur.com/a/0irrv1r" TargetMode="External"/><Relationship Id="rId101" Type="http://schemas.openxmlformats.org/officeDocument/2006/relationships/hyperlink" Target="https://imgur.com/a/mZdWvFw" TargetMode="External"/><Relationship Id="rId222" Type="http://schemas.openxmlformats.org/officeDocument/2006/relationships/hyperlink" Target="https://imgur.com/a/zMl0ekj" TargetMode="External"/><Relationship Id="rId343" Type="http://schemas.openxmlformats.org/officeDocument/2006/relationships/hyperlink" Target="https://imgur.com/a/cJndpSb" TargetMode="External"/><Relationship Id="rId100" Type="http://schemas.openxmlformats.org/officeDocument/2006/relationships/hyperlink" Target="https://imgur.com/a/ZNQjOvj" TargetMode="External"/><Relationship Id="rId221" Type="http://schemas.openxmlformats.org/officeDocument/2006/relationships/hyperlink" Target="https://imgur.com/a/zMl0ekj" TargetMode="External"/><Relationship Id="rId342" Type="http://schemas.openxmlformats.org/officeDocument/2006/relationships/hyperlink" Target="https://imgur.com/a/6drUaI7" TargetMode="External"/><Relationship Id="rId217" Type="http://schemas.openxmlformats.org/officeDocument/2006/relationships/hyperlink" Target="https://imgur.com/a/O7GKc00" TargetMode="External"/><Relationship Id="rId338" Type="http://schemas.openxmlformats.org/officeDocument/2006/relationships/hyperlink" Target="https://imgur.com/a/PC3fNSZ" TargetMode="External"/><Relationship Id="rId216" Type="http://schemas.openxmlformats.org/officeDocument/2006/relationships/hyperlink" Target="https://imgur.com/a/yVLhMR7" TargetMode="External"/><Relationship Id="rId337" Type="http://schemas.openxmlformats.org/officeDocument/2006/relationships/hyperlink" Target="https://imgur.com/a/HXpaVFd" TargetMode="External"/><Relationship Id="rId215" Type="http://schemas.openxmlformats.org/officeDocument/2006/relationships/hyperlink" Target="https://imgur.com/a/46mYVO7" TargetMode="External"/><Relationship Id="rId336" Type="http://schemas.openxmlformats.org/officeDocument/2006/relationships/hyperlink" Target="https://imgur.com/a/idVWM4R" TargetMode="External"/><Relationship Id="rId214" Type="http://schemas.openxmlformats.org/officeDocument/2006/relationships/hyperlink" Target="https://imgur.com/a/4Gfcwjm" TargetMode="External"/><Relationship Id="rId335" Type="http://schemas.openxmlformats.org/officeDocument/2006/relationships/hyperlink" Target="https://imgur.com/a/GKSI8P8" TargetMode="External"/><Relationship Id="rId219" Type="http://schemas.openxmlformats.org/officeDocument/2006/relationships/hyperlink" Target="https://imgur.com/a/3YGU4BO" TargetMode="External"/><Relationship Id="rId218" Type="http://schemas.openxmlformats.org/officeDocument/2006/relationships/hyperlink" Target="https://imgur.com/a/y1nJZLe" TargetMode="External"/><Relationship Id="rId339" Type="http://schemas.openxmlformats.org/officeDocument/2006/relationships/hyperlink" Target="https://imgur.com/a/cI3PbPr" TargetMode="External"/><Relationship Id="rId330" Type="http://schemas.openxmlformats.org/officeDocument/2006/relationships/hyperlink" Target="https://imgur.com/a/UOLx5iS" TargetMode="External"/><Relationship Id="rId213" Type="http://schemas.openxmlformats.org/officeDocument/2006/relationships/hyperlink" Target="https://imgur.com/a/4Gfcwjm" TargetMode="External"/><Relationship Id="rId334" Type="http://schemas.openxmlformats.org/officeDocument/2006/relationships/hyperlink" Target="https://imgur.com/a/ywTJuVx" TargetMode="External"/><Relationship Id="rId212" Type="http://schemas.openxmlformats.org/officeDocument/2006/relationships/hyperlink" Target="https://imgur.com/a/wFWndAk" TargetMode="External"/><Relationship Id="rId333" Type="http://schemas.openxmlformats.org/officeDocument/2006/relationships/hyperlink" Target="https://imgur.com/a/aTDa0zK" TargetMode="External"/><Relationship Id="rId211" Type="http://schemas.openxmlformats.org/officeDocument/2006/relationships/hyperlink" Target="https://imgur.com/a/owJDq0n" TargetMode="External"/><Relationship Id="rId332" Type="http://schemas.openxmlformats.org/officeDocument/2006/relationships/hyperlink" Target="https://imgur.com/a/WTFRBwz" TargetMode="External"/><Relationship Id="rId210" Type="http://schemas.openxmlformats.org/officeDocument/2006/relationships/hyperlink" Target="https://imgur.com/a/h2WnRle" TargetMode="External"/><Relationship Id="rId331" Type="http://schemas.openxmlformats.org/officeDocument/2006/relationships/hyperlink" Target="https://imgur.com/a/9hx1oWG" TargetMode="External"/><Relationship Id="rId370" Type="http://schemas.openxmlformats.org/officeDocument/2006/relationships/hyperlink" Target="https://imgur.com/a/4BU3DIw" TargetMode="External"/><Relationship Id="rId129" Type="http://schemas.openxmlformats.org/officeDocument/2006/relationships/hyperlink" Target="https://imgur.com/a/pjIUv00" TargetMode="External"/><Relationship Id="rId128" Type="http://schemas.openxmlformats.org/officeDocument/2006/relationships/hyperlink" Target="https://imgur.com/a/pjIUv00" TargetMode="External"/><Relationship Id="rId249" Type="http://schemas.openxmlformats.org/officeDocument/2006/relationships/hyperlink" Target="https://imgur.com/a/6k6J7No" TargetMode="External"/><Relationship Id="rId127" Type="http://schemas.openxmlformats.org/officeDocument/2006/relationships/hyperlink" Target="https://imgur.com/a/VrqZwDG" TargetMode="External"/><Relationship Id="rId248" Type="http://schemas.openxmlformats.org/officeDocument/2006/relationships/hyperlink" Target="https://imgur.com/a/ubd3F1A" TargetMode="External"/><Relationship Id="rId369" Type="http://schemas.openxmlformats.org/officeDocument/2006/relationships/hyperlink" Target="https://imgur.com/a/DRfmDZB" TargetMode="External"/><Relationship Id="rId126" Type="http://schemas.openxmlformats.org/officeDocument/2006/relationships/hyperlink" Target="https://imgur.com/a/AYaHOY2" TargetMode="External"/><Relationship Id="rId247" Type="http://schemas.openxmlformats.org/officeDocument/2006/relationships/hyperlink" Target="https://imgur.com/a/i2zVgop" TargetMode="External"/><Relationship Id="rId368" Type="http://schemas.openxmlformats.org/officeDocument/2006/relationships/hyperlink" Target="https://imgur.com/a/hoA3sFt" TargetMode="External"/><Relationship Id="rId121" Type="http://schemas.openxmlformats.org/officeDocument/2006/relationships/hyperlink" Target="https://imgur.com/a/ZNQjOvj" TargetMode="External"/><Relationship Id="rId242" Type="http://schemas.openxmlformats.org/officeDocument/2006/relationships/hyperlink" Target="https://imgur.com/a/AgaCXsX" TargetMode="External"/><Relationship Id="rId363" Type="http://schemas.openxmlformats.org/officeDocument/2006/relationships/hyperlink" Target="https://imgur.com/a/sL7iPRj" TargetMode="External"/><Relationship Id="rId120" Type="http://schemas.openxmlformats.org/officeDocument/2006/relationships/hyperlink" Target="https://imgur.com/a/RJTlGC2" TargetMode="External"/><Relationship Id="rId241" Type="http://schemas.openxmlformats.org/officeDocument/2006/relationships/hyperlink" Target="https://imgur.com/a/ZlGOsvk" TargetMode="External"/><Relationship Id="rId362" Type="http://schemas.openxmlformats.org/officeDocument/2006/relationships/hyperlink" Target="https://imgur.com/a/TGgvFue" TargetMode="External"/><Relationship Id="rId240" Type="http://schemas.openxmlformats.org/officeDocument/2006/relationships/hyperlink" Target="https://imgur.com/a/6m4rkdL" TargetMode="External"/><Relationship Id="rId361" Type="http://schemas.openxmlformats.org/officeDocument/2006/relationships/hyperlink" Target="https://imgur.com/a/KBxrXSg" TargetMode="External"/><Relationship Id="rId360" Type="http://schemas.openxmlformats.org/officeDocument/2006/relationships/hyperlink" Target="https://imgur.com/a/a8pfzjH" TargetMode="External"/><Relationship Id="rId125" Type="http://schemas.openxmlformats.org/officeDocument/2006/relationships/hyperlink" Target="https://imgur.com/a/Q6i4UqM" TargetMode="External"/><Relationship Id="rId246" Type="http://schemas.openxmlformats.org/officeDocument/2006/relationships/hyperlink" Target="https://imgur.com/a/HDUZnBJ" TargetMode="External"/><Relationship Id="rId367" Type="http://schemas.openxmlformats.org/officeDocument/2006/relationships/hyperlink" Target="https://imgur.com/a/frxHhRk" TargetMode="External"/><Relationship Id="rId124" Type="http://schemas.openxmlformats.org/officeDocument/2006/relationships/hyperlink" Target="https://imgur.com/a/oelxrIL" TargetMode="External"/><Relationship Id="rId245" Type="http://schemas.openxmlformats.org/officeDocument/2006/relationships/hyperlink" Target="https://imgur.com/a/GWp5vC7" TargetMode="External"/><Relationship Id="rId366" Type="http://schemas.openxmlformats.org/officeDocument/2006/relationships/hyperlink" Target="https://imgur.com/a/OAkNAlc" TargetMode="External"/><Relationship Id="rId123" Type="http://schemas.openxmlformats.org/officeDocument/2006/relationships/hyperlink" Target="https://imgur.com/a/Jh715JE" TargetMode="External"/><Relationship Id="rId244" Type="http://schemas.openxmlformats.org/officeDocument/2006/relationships/hyperlink" Target="https://imgur.com/a/wljXV9h" TargetMode="External"/><Relationship Id="rId365" Type="http://schemas.openxmlformats.org/officeDocument/2006/relationships/hyperlink" Target="https://imgur.com/a/jDK1dA0" TargetMode="External"/><Relationship Id="rId122" Type="http://schemas.openxmlformats.org/officeDocument/2006/relationships/hyperlink" Target="https://imgur.com/a/ZNQjOvj" TargetMode="External"/><Relationship Id="rId243" Type="http://schemas.openxmlformats.org/officeDocument/2006/relationships/hyperlink" Target="https://imgur.com/a/X4CH3uc" TargetMode="External"/><Relationship Id="rId364" Type="http://schemas.openxmlformats.org/officeDocument/2006/relationships/hyperlink" Target="https://imgur.com/a/seJsd66" TargetMode="External"/><Relationship Id="rId95" Type="http://schemas.openxmlformats.org/officeDocument/2006/relationships/hyperlink" Target="https://imgur.com/a/Wj6MnzA" TargetMode="External"/><Relationship Id="rId94" Type="http://schemas.openxmlformats.org/officeDocument/2006/relationships/hyperlink" Target="https://imgur.com/a/1JOCaQq" TargetMode="External"/><Relationship Id="rId97" Type="http://schemas.openxmlformats.org/officeDocument/2006/relationships/hyperlink" Target="https://imgur.com/a/wtXPt06" TargetMode="External"/><Relationship Id="rId96" Type="http://schemas.openxmlformats.org/officeDocument/2006/relationships/hyperlink" Target="https://imgur.com/a/lwqRvJB" TargetMode="External"/><Relationship Id="rId99" Type="http://schemas.openxmlformats.org/officeDocument/2006/relationships/hyperlink" Target="https://imgur.com/a/fbJrvin" TargetMode="External"/><Relationship Id="rId98" Type="http://schemas.openxmlformats.org/officeDocument/2006/relationships/hyperlink" Target="https://imgur.com/a/ZNQjOvj" TargetMode="External"/><Relationship Id="rId91" Type="http://schemas.openxmlformats.org/officeDocument/2006/relationships/hyperlink" Target="https://imgur.com/a/IhJ17iJ" TargetMode="External"/><Relationship Id="rId90" Type="http://schemas.openxmlformats.org/officeDocument/2006/relationships/hyperlink" Target="https://imgur.com/a/1MIh0TT" TargetMode="External"/><Relationship Id="rId93" Type="http://schemas.openxmlformats.org/officeDocument/2006/relationships/hyperlink" Target="https://imgur.com/a/rg5qYI4" TargetMode="External"/><Relationship Id="rId92" Type="http://schemas.openxmlformats.org/officeDocument/2006/relationships/hyperlink" Target="https://imgur.com/a/SHzJxH4" TargetMode="External"/><Relationship Id="rId118" Type="http://schemas.openxmlformats.org/officeDocument/2006/relationships/hyperlink" Target="https://imgur.com/a/c500gBU" TargetMode="External"/><Relationship Id="rId239" Type="http://schemas.openxmlformats.org/officeDocument/2006/relationships/hyperlink" Target="https://imgur.com/a/l7MbVV5" TargetMode="External"/><Relationship Id="rId117" Type="http://schemas.openxmlformats.org/officeDocument/2006/relationships/hyperlink" Target="https://imgur.com/a/H8LgV6N" TargetMode="External"/><Relationship Id="rId238" Type="http://schemas.openxmlformats.org/officeDocument/2006/relationships/hyperlink" Target="https://imgur.com/a/ZlGOsvk" TargetMode="External"/><Relationship Id="rId359" Type="http://schemas.openxmlformats.org/officeDocument/2006/relationships/hyperlink" Target="https://imgur.com/a/oweq0Ji" TargetMode="External"/><Relationship Id="rId116" Type="http://schemas.openxmlformats.org/officeDocument/2006/relationships/hyperlink" Target="https://imgur.com/a/XRtE7Ns" TargetMode="External"/><Relationship Id="rId237" Type="http://schemas.openxmlformats.org/officeDocument/2006/relationships/hyperlink" Target="https://youtu.be/zipnyzf5caE" TargetMode="External"/><Relationship Id="rId358" Type="http://schemas.openxmlformats.org/officeDocument/2006/relationships/hyperlink" Target="https://imgur.com/a/2m6nCb5" TargetMode="External"/><Relationship Id="rId115" Type="http://schemas.openxmlformats.org/officeDocument/2006/relationships/hyperlink" Target="https://imgur.com/a/wFcUcVR" TargetMode="External"/><Relationship Id="rId236" Type="http://schemas.openxmlformats.org/officeDocument/2006/relationships/hyperlink" Target="https://imgur.com/a/xfYPzTw" TargetMode="External"/><Relationship Id="rId357" Type="http://schemas.openxmlformats.org/officeDocument/2006/relationships/hyperlink" Target="https://imgur.com/a/2m6nCb5" TargetMode="External"/><Relationship Id="rId119" Type="http://schemas.openxmlformats.org/officeDocument/2006/relationships/hyperlink" Target="https://imgur.com/a/9CsLe4f" TargetMode="External"/><Relationship Id="rId110" Type="http://schemas.openxmlformats.org/officeDocument/2006/relationships/hyperlink" Target="https://imgur.com/a/mHLB6sh" TargetMode="External"/><Relationship Id="rId231" Type="http://schemas.openxmlformats.org/officeDocument/2006/relationships/hyperlink" Target="https://imgur.com/a/CkBSqXN" TargetMode="External"/><Relationship Id="rId352" Type="http://schemas.openxmlformats.org/officeDocument/2006/relationships/hyperlink" Target="https://imgur.com/a/Dv4T5af" TargetMode="External"/><Relationship Id="rId230" Type="http://schemas.openxmlformats.org/officeDocument/2006/relationships/hyperlink" Target="https://imgur.com/a/RYNQ8l0" TargetMode="External"/><Relationship Id="rId351" Type="http://schemas.openxmlformats.org/officeDocument/2006/relationships/hyperlink" Target="https://imgur.com/a/WCp8TTD" TargetMode="External"/><Relationship Id="rId350" Type="http://schemas.openxmlformats.org/officeDocument/2006/relationships/hyperlink" Target="https://imgur.com/a/WCp8TTD" TargetMode="External"/><Relationship Id="rId114" Type="http://schemas.openxmlformats.org/officeDocument/2006/relationships/hyperlink" Target="https://imgur.com/a/8auiFkj" TargetMode="External"/><Relationship Id="rId235" Type="http://schemas.openxmlformats.org/officeDocument/2006/relationships/hyperlink" Target="https://imgur.com/a/XUZFbv9" TargetMode="External"/><Relationship Id="rId356" Type="http://schemas.openxmlformats.org/officeDocument/2006/relationships/hyperlink" Target="https://imgur.com/a/xEQLyNo" TargetMode="External"/><Relationship Id="rId113" Type="http://schemas.openxmlformats.org/officeDocument/2006/relationships/hyperlink" Target="https://imgur.com/a/WeJwwK9" TargetMode="External"/><Relationship Id="rId234" Type="http://schemas.openxmlformats.org/officeDocument/2006/relationships/hyperlink" Target="https://imgur.com/a/XUZFbv9" TargetMode="External"/><Relationship Id="rId355" Type="http://schemas.openxmlformats.org/officeDocument/2006/relationships/hyperlink" Target="https://imgur.com/a/waSih15" TargetMode="External"/><Relationship Id="rId112" Type="http://schemas.openxmlformats.org/officeDocument/2006/relationships/hyperlink" Target="https://imgur.com/a/9zmYETV" TargetMode="External"/><Relationship Id="rId233" Type="http://schemas.openxmlformats.org/officeDocument/2006/relationships/hyperlink" Target="https://imgur.com/a/jYvUp9l" TargetMode="External"/><Relationship Id="rId354" Type="http://schemas.openxmlformats.org/officeDocument/2006/relationships/hyperlink" Target="https://imgur.com/a/CVYjLFv" TargetMode="External"/><Relationship Id="rId111" Type="http://schemas.openxmlformats.org/officeDocument/2006/relationships/hyperlink" Target="https://imgur.com/a/JxKX8lv" TargetMode="External"/><Relationship Id="rId232" Type="http://schemas.openxmlformats.org/officeDocument/2006/relationships/hyperlink" Target="https://imgur.com/a/CkBSqXN" TargetMode="External"/><Relationship Id="rId353" Type="http://schemas.openxmlformats.org/officeDocument/2006/relationships/hyperlink" Target="https://imgur.com/a/OZOu6rY" TargetMode="External"/><Relationship Id="rId305" Type="http://schemas.openxmlformats.org/officeDocument/2006/relationships/hyperlink" Target="https://imgur.com/a/EPQWSoP" TargetMode="External"/><Relationship Id="rId426" Type="http://schemas.openxmlformats.org/officeDocument/2006/relationships/hyperlink" Target="https://imgur.com/a/wFcUcVR" TargetMode="External"/><Relationship Id="rId304" Type="http://schemas.openxmlformats.org/officeDocument/2006/relationships/hyperlink" Target="https://imgur.com/a/vePSZZs" TargetMode="External"/><Relationship Id="rId425" Type="http://schemas.openxmlformats.org/officeDocument/2006/relationships/hyperlink" Target="https://imgur.com/a/3Axl08R" TargetMode="External"/><Relationship Id="rId303" Type="http://schemas.openxmlformats.org/officeDocument/2006/relationships/hyperlink" Target="https://imgur.com/a/EPQWSoP" TargetMode="External"/><Relationship Id="rId424" Type="http://schemas.openxmlformats.org/officeDocument/2006/relationships/hyperlink" Target="https://imgur.com/a/voSoRee" TargetMode="External"/><Relationship Id="rId302" Type="http://schemas.openxmlformats.org/officeDocument/2006/relationships/hyperlink" Target="https://imgur.com/a/EPQWSoP" TargetMode="External"/><Relationship Id="rId423" Type="http://schemas.openxmlformats.org/officeDocument/2006/relationships/hyperlink" Target="https://imgur.com/a/wFcUcVR" TargetMode="External"/><Relationship Id="rId309" Type="http://schemas.openxmlformats.org/officeDocument/2006/relationships/hyperlink" Target="https://imgur.com/a/uSuyBkT" TargetMode="External"/><Relationship Id="rId308" Type="http://schemas.openxmlformats.org/officeDocument/2006/relationships/hyperlink" Target="https://imgur.com/a/UH76hUF" TargetMode="External"/><Relationship Id="rId429" Type="http://schemas.openxmlformats.org/officeDocument/2006/relationships/hyperlink" Target="https://imgur.com/a/wFcUcVR" TargetMode="External"/><Relationship Id="rId307" Type="http://schemas.openxmlformats.org/officeDocument/2006/relationships/hyperlink" Target="https://imgur.com/a/H3DeAbj" TargetMode="External"/><Relationship Id="rId428" Type="http://schemas.openxmlformats.org/officeDocument/2006/relationships/hyperlink" Target="https://imgur.com/a/wFcUcVR" TargetMode="External"/><Relationship Id="rId306" Type="http://schemas.openxmlformats.org/officeDocument/2006/relationships/hyperlink" Target="https://imgur.com/a/aa8JVeg" TargetMode="External"/><Relationship Id="rId427" Type="http://schemas.openxmlformats.org/officeDocument/2006/relationships/hyperlink" Target="https://imgur.com/a/6PD5gEv" TargetMode="External"/><Relationship Id="rId301" Type="http://schemas.openxmlformats.org/officeDocument/2006/relationships/hyperlink" Target="https://imgur.com/a/OZ3NIfX" TargetMode="External"/><Relationship Id="rId422" Type="http://schemas.openxmlformats.org/officeDocument/2006/relationships/hyperlink" Target="https://imgur.com/a/m5Tr8hw" TargetMode="External"/><Relationship Id="rId300" Type="http://schemas.openxmlformats.org/officeDocument/2006/relationships/hyperlink" Target="https://imgur.com/a/WBUCnKo" TargetMode="External"/><Relationship Id="rId421" Type="http://schemas.openxmlformats.org/officeDocument/2006/relationships/hyperlink" Target="https://imgur.com/a/RzUEzwM" TargetMode="External"/><Relationship Id="rId420" Type="http://schemas.openxmlformats.org/officeDocument/2006/relationships/hyperlink" Target="https://imgur.com/a/leqBEBS" TargetMode="External"/><Relationship Id="rId415" Type="http://schemas.openxmlformats.org/officeDocument/2006/relationships/hyperlink" Target="https://imgur.com/a/trDdCP1" TargetMode="External"/><Relationship Id="rId414" Type="http://schemas.openxmlformats.org/officeDocument/2006/relationships/hyperlink" Target="https://imgur.com/a/FaS0Gng" TargetMode="External"/><Relationship Id="rId413" Type="http://schemas.openxmlformats.org/officeDocument/2006/relationships/hyperlink" Target="https://imgur.com/a/OSpmhX3" TargetMode="External"/><Relationship Id="rId412" Type="http://schemas.openxmlformats.org/officeDocument/2006/relationships/hyperlink" Target="https://imgur.com/a/FnOsG7p" TargetMode="External"/><Relationship Id="rId419" Type="http://schemas.openxmlformats.org/officeDocument/2006/relationships/hyperlink" Target="https://imgur.com/a/L0bj8Vd" TargetMode="External"/><Relationship Id="rId418" Type="http://schemas.openxmlformats.org/officeDocument/2006/relationships/hyperlink" Target="https://imgur.com/a/UahO6zW" TargetMode="External"/><Relationship Id="rId417" Type="http://schemas.openxmlformats.org/officeDocument/2006/relationships/hyperlink" Target="https://imgur.com/a/f1Qf5nZ" TargetMode="External"/><Relationship Id="rId416" Type="http://schemas.openxmlformats.org/officeDocument/2006/relationships/hyperlink" Target="https://imgur.com/a/wmqPdfw" TargetMode="External"/><Relationship Id="rId411" Type="http://schemas.openxmlformats.org/officeDocument/2006/relationships/hyperlink" Target="https://imgur.com/a/MqC3Zcx" TargetMode="External"/><Relationship Id="rId410" Type="http://schemas.openxmlformats.org/officeDocument/2006/relationships/hyperlink" Target="https://imgur.com/a/rQJH8mB" TargetMode="External"/><Relationship Id="rId206" Type="http://schemas.openxmlformats.org/officeDocument/2006/relationships/hyperlink" Target="https://imgur.com/a/3AhXzRO" TargetMode="External"/><Relationship Id="rId327" Type="http://schemas.openxmlformats.org/officeDocument/2006/relationships/hyperlink" Target="https://imgur.com/a/lbHpkKV" TargetMode="External"/><Relationship Id="rId205" Type="http://schemas.openxmlformats.org/officeDocument/2006/relationships/hyperlink" Target="https://imgur.com/a/3AhXzRO" TargetMode="External"/><Relationship Id="rId326" Type="http://schemas.openxmlformats.org/officeDocument/2006/relationships/hyperlink" Target="https://imgur.com/a/JFAXd2m" TargetMode="External"/><Relationship Id="rId204" Type="http://schemas.openxmlformats.org/officeDocument/2006/relationships/hyperlink" Target="https://imgur.com/a/h0IZeRQ" TargetMode="External"/><Relationship Id="rId325" Type="http://schemas.openxmlformats.org/officeDocument/2006/relationships/hyperlink" Target="https://imgur.com/a/zBv5poV" TargetMode="External"/><Relationship Id="rId203" Type="http://schemas.openxmlformats.org/officeDocument/2006/relationships/hyperlink" Target="https://imgur.com/a/k0zFzjl" TargetMode="External"/><Relationship Id="rId324" Type="http://schemas.openxmlformats.org/officeDocument/2006/relationships/hyperlink" Target="https://imgur.com/a/ISjWYSS" TargetMode="External"/><Relationship Id="rId209" Type="http://schemas.openxmlformats.org/officeDocument/2006/relationships/hyperlink" Target="https://imgur.com/a/h2WnRle" TargetMode="External"/><Relationship Id="rId208" Type="http://schemas.openxmlformats.org/officeDocument/2006/relationships/hyperlink" Target="https://imgur.com/a/kAVI10S" TargetMode="External"/><Relationship Id="rId329" Type="http://schemas.openxmlformats.org/officeDocument/2006/relationships/hyperlink" Target="https://imgur.com/a/LUgy00h" TargetMode="External"/><Relationship Id="rId207" Type="http://schemas.openxmlformats.org/officeDocument/2006/relationships/hyperlink" Target="https://imgur.com/a/DgtNeZR" TargetMode="External"/><Relationship Id="rId328" Type="http://schemas.openxmlformats.org/officeDocument/2006/relationships/hyperlink" Target="https://imgur.com/a/J42Cek5" TargetMode="External"/><Relationship Id="rId440" Type="http://schemas.openxmlformats.org/officeDocument/2006/relationships/hyperlink" Target="https://imgur.com/a/3Axl08R" TargetMode="External"/><Relationship Id="rId202" Type="http://schemas.openxmlformats.org/officeDocument/2006/relationships/hyperlink" Target="https://imgur.com/a/6DevZes" TargetMode="External"/><Relationship Id="rId323" Type="http://schemas.openxmlformats.org/officeDocument/2006/relationships/hyperlink" Target="https://imgur.com/a/xkbItkt" TargetMode="External"/><Relationship Id="rId444" Type="http://schemas.openxmlformats.org/officeDocument/2006/relationships/drawing" Target="../drawings/drawing5.xml"/><Relationship Id="rId201" Type="http://schemas.openxmlformats.org/officeDocument/2006/relationships/hyperlink" Target="https://imgur.com/a/xxiIVMq" TargetMode="External"/><Relationship Id="rId322" Type="http://schemas.openxmlformats.org/officeDocument/2006/relationships/hyperlink" Target="https://imgur.com/a/ASbhmgA" TargetMode="External"/><Relationship Id="rId443" Type="http://schemas.openxmlformats.org/officeDocument/2006/relationships/hyperlink" Target="https://imgur.com/a/tBNDQGq" TargetMode="External"/><Relationship Id="rId200" Type="http://schemas.openxmlformats.org/officeDocument/2006/relationships/hyperlink" Target="https://imgur.com/a/9Tbj4NB" TargetMode="External"/><Relationship Id="rId321" Type="http://schemas.openxmlformats.org/officeDocument/2006/relationships/hyperlink" Target="https://imgur.com/a/A6mD163" TargetMode="External"/><Relationship Id="rId442" Type="http://schemas.openxmlformats.org/officeDocument/2006/relationships/hyperlink" Target="https://imgur.com/a/wFcUcVR" TargetMode="External"/><Relationship Id="rId320" Type="http://schemas.openxmlformats.org/officeDocument/2006/relationships/hyperlink" Target="https://imgur.com/a/hupWoKE" TargetMode="External"/><Relationship Id="rId441" Type="http://schemas.openxmlformats.org/officeDocument/2006/relationships/hyperlink" Target="https://imgur.com/a/LR5ibxC" TargetMode="External"/><Relationship Id="rId316" Type="http://schemas.openxmlformats.org/officeDocument/2006/relationships/hyperlink" Target="https://imgur.com/a/9ny4RTg" TargetMode="External"/><Relationship Id="rId437" Type="http://schemas.openxmlformats.org/officeDocument/2006/relationships/hyperlink" Target="https://imgur.com/a/dHnsWqn" TargetMode="External"/><Relationship Id="rId315" Type="http://schemas.openxmlformats.org/officeDocument/2006/relationships/hyperlink" Target="https://imgur.com/a/mQzmvVE" TargetMode="External"/><Relationship Id="rId436" Type="http://schemas.openxmlformats.org/officeDocument/2006/relationships/hyperlink" Target="https://imgur.com/a/tkRwGdL" TargetMode="External"/><Relationship Id="rId314" Type="http://schemas.openxmlformats.org/officeDocument/2006/relationships/hyperlink" Target="https://imgur.com/a/zWjp1is" TargetMode="External"/><Relationship Id="rId435" Type="http://schemas.openxmlformats.org/officeDocument/2006/relationships/hyperlink" Target="https://imgur.com/a/wFcUcVR" TargetMode="External"/><Relationship Id="rId313" Type="http://schemas.openxmlformats.org/officeDocument/2006/relationships/hyperlink" Target="https://imgur.com/a/PywbkCI" TargetMode="External"/><Relationship Id="rId434" Type="http://schemas.openxmlformats.org/officeDocument/2006/relationships/hyperlink" Target="https://imgur.com/a/TvxHyi5" TargetMode="External"/><Relationship Id="rId319" Type="http://schemas.openxmlformats.org/officeDocument/2006/relationships/hyperlink" Target="https://imgur.com/a/Duh5van" TargetMode="External"/><Relationship Id="rId318" Type="http://schemas.openxmlformats.org/officeDocument/2006/relationships/hyperlink" Target="https://imgur.com/a/Duh5van" TargetMode="External"/><Relationship Id="rId439" Type="http://schemas.openxmlformats.org/officeDocument/2006/relationships/hyperlink" Target="https://imgur.com/a/yMA3Qn2" TargetMode="External"/><Relationship Id="rId317" Type="http://schemas.openxmlformats.org/officeDocument/2006/relationships/hyperlink" Target="https://imgur.com/a/HeG92xQ" TargetMode="External"/><Relationship Id="rId438" Type="http://schemas.openxmlformats.org/officeDocument/2006/relationships/hyperlink" Target="https://imgur.com/a/F5s8G9v" TargetMode="External"/><Relationship Id="rId312" Type="http://schemas.openxmlformats.org/officeDocument/2006/relationships/hyperlink" Target="https://imgur.com/a/d9DZYAm" TargetMode="External"/><Relationship Id="rId433" Type="http://schemas.openxmlformats.org/officeDocument/2006/relationships/hyperlink" Target="https://imgur.com/a/3Axl08R" TargetMode="External"/><Relationship Id="rId311" Type="http://schemas.openxmlformats.org/officeDocument/2006/relationships/hyperlink" Target="https://imgur.com/a/BlSbyDr" TargetMode="External"/><Relationship Id="rId432" Type="http://schemas.openxmlformats.org/officeDocument/2006/relationships/hyperlink" Target="https://imgur.com/a/3Axl08R" TargetMode="External"/><Relationship Id="rId310" Type="http://schemas.openxmlformats.org/officeDocument/2006/relationships/hyperlink" Target="https://imgur.com/a/ddPPOJp" TargetMode="External"/><Relationship Id="rId431" Type="http://schemas.openxmlformats.org/officeDocument/2006/relationships/hyperlink" Target="https://imgur.com/a/DMCBxm0" TargetMode="External"/><Relationship Id="rId430" Type="http://schemas.openxmlformats.org/officeDocument/2006/relationships/hyperlink" Target="https://imgur.com/a/7Oi6jPs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tt5HLo7oHDopKvM4HnZf4V73CSnSn-wGZQPfh4eStk/edit?gid=111215584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fDhUaqGeUK-6uLphsluOpr_FMMDLni0Q3uPvx69x19tYVfvg/viewfor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khbKeyFrczI" TargetMode="External"/><Relationship Id="rId2" Type="http://schemas.openxmlformats.org/officeDocument/2006/relationships/hyperlink" Target="https://imgur.com/a/CNjdEEP" TargetMode="External"/><Relationship Id="rId3" Type="http://schemas.openxmlformats.org/officeDocument/2006/relationships/hyperlink" Target="https://imgur.com/a/TdDDQvL" TargetMode="External"/><Relationship Id="rId4" Type="http://schemas.openxmlformats.org/officeDocument/2006/relationships/hyperlink" Target="https://imgur.com/a/9zLq4Sq" TargetMode="External"/><Relationship Id="rId9" Type="http://schemas.openxmlformats.org/officeDocument/2006/relationships/hyperlink" Target="https://imgur.com/a/hLzaofv" TargetMode="External"/><Relationship Id="rId5" Type="http://schemas.openxmlformats.org/officeDocument/2006/relationships/hyperlink" Target="https://imgur.com/a/X1JlKl5" TargetMode="External"/><Relationship Id="rId6" Type="http://schemas.openxmlformats.org/officeDocument/2006/relationships/hyperlink" Target="https://imgur.com/a/M7Jk4Ip" TargetMode="External"/><Relationship Id="rId7" Type="http://schemas.openxmlformats.org/officeDocument/2006/relationships/hyperlink" Target="https://imgur.com/a/has6KOr" TargetMode="External"/><Relationship Id="rId8" Type="http://schemas.openxmlformats.org/officeDocument/2006/relationships/hyperlink" Target="https://imgur.com/a/ZJrqy4w" TargetMode="External"/><Relationship Id="rId10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85" Type="http://schemas.openxmlformats.org/officeDocument/2006/relationships/drawing" Target="../drawings/drawing14.xml"/><Relationship Id="rId184" Type="http://schemas.openxmlformats.org/officeDocument/2006/relationships/hyperlink" Target="https://imgur.com/a/UvNX1DL" TargetMode="External"/><Relationship Id="rId183" Type="http://schemas.openxmlformats.org/officeDocument/2006/relationships/hyperlink" Target="https://imgur.com/a/AHqoyTH" TargetMode="External"/><Relationship Id="rId182" Type="http://schemas.openxmlformats.org/officeDocument/2006/relationships/hyperlink" Target="https://imgur.com/a/63Z6NBG" TargetMode="External"/><Relationship Id="rId181" Type="http://schemas.openxmlformats.org/officeDocument/2006/relationships/hyperlink" Target="https://imgur.com/a/63Z6NBG" TargetMode="External"/><Relationship Id="rId180" Type="http://schemas.openxmlformats.org/officeDocument/2006/relationships/hyperlink" Target="https://imgur.com/a/63Z6NBG" TargetMode="External"/><Relationship Id="rId176" Type="http://schemas.openxmlformats.org/officeDocument/2006/relationships/hyperlink" Target="https://imgur.com/a/TD4brVl" TargetMode="External"/><Relationship Id="rId175" Type="http://schemas.openxmlformats.org/officeDocument/2006/relationships/hyperlink" Target="https://imgur.com/a/FWC14O8" TargetMode="External"/><Relationship Id="rId174" Type="http://schemas.openxmlformats.org/officeDocument/2006/relationships/hyperlink" Target="https://imgur.com/a/6rbv74w" TargetMode="External"/><Relationship Id="rId173" Type="http://schemas.openxmlformats.org/officeDocument/2006/relationships/hyperlink" Target="https://imgur.com/a/rPNCYPx" TargetMode="External"/><Relationship Id="rId179" Type="http://schemas.openxmlformats.org/officeDocument/2006/relationships/hyperlink" Target="https://imgur.com/a/aH6C5Aa" TargetMode="External"/><Relationship Id="rId178" Type="http://schemas.openxmlformats.org/officeDocument/2006/relationships/hyperlink" Target="https://imgur.com/a/aH6C5Aa" TargetMode="External"/><Relationship Id="rId177" Type="http://schemas.openxmlformats.org/officeDocument/2006/relationships/hyperlink" Target="https://imgur.com/a/aH6C5Aa" TargetMode="External"/><Relationship Id="rId150" Type="http://schemas.openxmlformats.org/officeDocument/2006/relationships/hyperlink" Target="https://imgur.com/a/tHVsIsX" TargetMode="External"/><Relationship Id="rId1" Type="http://schemas.openxmlformats.org/officeDocument/2006/relationships/hyperlink" Target="https://imgur.com/a/bZOLHYr" TargetMode="External"/><Relationship Id="rId2" Type="http://schemas.openxmlformats.org/officeDocument/2006/relationships/hyperlink" Target="https://imgur.com/a/bZOLHYr" TargetMode="External"/><Relationship Id="rId3" Type="http://schemas.openxmlformats.org/officeDocument/2006/relationships/hyperlink" Target="https://imgur.com/a/uUDQMYp" TargetMode="External"/><Relationship Id="rId149" Type="http://schemas.openxmlformats.org/officeDocument/2006/relationships/hyperlink" Target="https://imgur.com/a/W937hgf" TargetMode="External"/><Relationship Id="rId4" Type="http://schemas.openxmlformats.org/officeDocument/2006/relationships/hyperlink" Target="https://imgur.com/a/zWioDB8" TargetMode="External"/><Relationship Id="rId148" Type="http://schemas.openxmlformats.org/officeDocument/2006/relationships/hyperlink" Target="https://imgur.com/a/tHVsIsX" TargetMode="External"/><Relationship Id="rId9" Type="http://schemas.openxmlformats.org/officeDocument/2006/relationships/hyperlink" Target="https://imgur.com/a/zWioDB8" TargetMode="External"/><Relationship Id="rId143" Type="http://schemas.openxmlformats.org/officeDocument/2006/relationships/hyperlink" Target="https://imgur.com/a/4BU3DIw" TargetMode="External"/><Relationship Id="rId142" Type="http://schemas.openxmlformats.org/officeDocument/2006/relationships/hyperlink" Target="https://imgur.com/a/4BU3DIw" TargetMode="External"/><Relationship Id="rId141" Type="http://schemas.openxmlformats.org/officeDocument/2006/relationships/hyperlink" Target="https://imgur.com/a/CHRjs14" TargetMode="External"/><Relationship Id="rId140" Type="http://schemas.openxmlformats.org/officeDocument/2006/relationships/hyperlink" Target="https://imgur.com/a/CHRjs14" TargetMode="External"/><Relationship Id="rId5" Type="http://schemas.openxmlformats.org/officeDocument/2006/relationships/hyperlink" Target="https://imgur.com/a/2a1rF5l" TargetMode="External"/><Relationship Id="rId147" Type="http://schemas.openxmlformats.org/officeDocument/2006/relationships/hyperlink" Target="https://imgur.com/a/ZNfrPlF" TargetMode="External"/><Relationship Id="rId6" Type="http://schemas.openxmlformats.org/officeDocument/2006/relationships/hyperlink" Target="https://imgur.com/a/hWfJGuR" TargetMode="External"/><Relationship Id="rId146" Type="http://schemas.openxmlformats.org/officeDocument/2006/relationships/hyperlink" Target="https://imgur.com/a/xp2NokO" TargetMode="External"/><Relationship Id="rId7" Type="http://schemas.openxmlformats.org/officeDocument/2006/relationships/hyperlink" Target="https://imgur.com/a/hWfJGuR" TargetMode="External"/><Relationship Id="rId145" Type="http://schemas.openxmlformats.org/officeDocument/2006/relationships/hyperlink" Target="https://imgur.com/a/8blMAEF" TargetMode="External"/><Relationship Id="rId8" Type="http://schemas.openxmlformats.org/officeDocument/2006/relationships/hyperlink" Target="https://imgur.com/a/crIpAZr" TargetMode="External"/><Relationship Id="rId144" Type="http://schemas.openxmlformats.org/officeDocument/2006/relationships/hyperlink" Target="https://imgur.com/a/UZYLkq1" TargetMode="External"/><Relationship Id="rId139" Type="http://schemas.openxmlformats.org/officeDocument/2006/relationships/hyperlink" Target="https://imgur.com/a/J2yH0M6" TargetMode="External"/><Relationship Id="rId138" Type="http://schemas.openxmlformats.org/officeDocument/2006/relationships/hyperlink" Target="https://imgur.com/a/J2yH0M6" TargetMode="External"/><Relationship Id="rId137" Type="http://schemas.openxmlformats.org/officeDocument/2006/relationships/hyperlink" Target="https://imgur.com/a/J2yH0M6" TargetMode="External"/><Relationship Id="rId132" Type="http://schemas.openxmlformats.org/officeDocument/2006/relationships/hyperlink" Target="https://imgur.com/a/LltpRYe" TargetMode="External"/><Relationship Id="rId131" Type="http://schemas.openxmlformats.org/officeDocument/2006/relationships/hyperlink" Target="https://imgur.com/a/f1vbCNC" TargetMode="External"/><Relationship Id="rId130" Type="http://schemas.openxmlformats.org/officeDocument/2006/relationships/hyperlink" Target="https://imgur.com/a/f1vbCNC" TargetMode="External"/><Relationship Id="rId136" Type="http://schemas.openxmlformats.org/officeDocument/2006/relationships/hyperlink" Target="https://imgur.com/a/iViOJtA" TargetMode="External"/><Relationship Id="rId135" Type="http://schemas.openxmlformats.org/officeDocument/2006/relationships/hyperlink" Target="https://imgur.com/a/iViOJtA" TargetMode="External"/><Relationship Id="rId134" Type="http://schemas.openxmlformats.org/officeDocument/2006/relationships/hyperlink" Target="https://imgur.com/a/e9oSags" TargetMode="External"/><Relationship Id="rId133" Type="http://schemas.openxmlformats.org/officeDocument/2006/relationships/hyperlink" Target="https://imgur.com/a/LltpRYe" TargetMode="External"/><Relationship Id="rId172" Type="http://schemas.openxmlformats.org/officeDocument/2006/relationships/hyperlink" Target="https://imgur.com/a/yf8McW8" TargetMode="External"/><Relationship Id="rId171" Type="http://schemas.openxmlformats.org/officeDocument/2006/relationships/hyperlink" Target="https://imgur.com/a/GvUNfvI" TargetMode="External"/><Relationship Id="rId170" Type="http://schemas.openxmlformats.org/officeDocument/2006/relationships/hyperlink" Target="https://imgur.com/a/7plXUBy" TargetMode="External"/><Relationship Id="rId165" Type="http://schemas.openxmlformats.org/officeDocument/2006/relationships/hyperlink" Target="https://imgur.com/a/JvDgg2S" TargetMode="External"/><Relationship Id="rId164" Type="http://schemas.openxmlformats.org/officeDocument/2006/relationships/hyperlink" Target="https://imgur.com/a/makffiD" TargetMode="External"/><Relationship Id="rId163" Type="http://schemas.openxmlformats.org/officeDocument/2006/relationships/hyperlink" Target="https://imgur.com/a/4tWBIfg" TargetMode="External"/><Relationship Id="rId162" Type="http://schemas.openxmlformats.org/officeDocument/2006/relationships/hyperlink" Target="https://imgur.com/a/tIZh4hQ" TargetMode="External"/><Relationship Id="rId169" Type="http://schemas.openxmlformats.org/officeDocument/2006/relationships/hyperlink" Target="https://imgur.com/a/1SDaMvq" TargetMode="External"/><Relationship Id="rId168" Type="http://schemas.openxmlformats.org/officeDocument/2006/relationships/hyperlink" Target="https://imgur.com/a/1SDaMvq" TargetMode="External"/><Relationship Id="rId167" Type="http://schemas.openxmlformats.org/officeDocument/2006/relationships/hyperlink" Target="https://imgur.com/a/1SDaMvq" TargetMode="External"/><Relationship Id="rId166" Type="http://schemas.openxmlformats.org/officeDocument/2006/relationships/hyperlink" Target="https://imgur.com/a/3CUDkD2" TargetMode="External"/><Relationship Id="rId161" Type="http://schemas.openxmlformats.org/officeDocument/2006/relationships/hyperlink" Target="https://imgur.com/a/KXcgrGa" TargetMode="External"/><Relationship Id="rId160" Type="http://schemas.openxmlformats.org/officeDocument/2006/relationships/hyperlink" Target="https://imgur.com/a/KXcgrGa" TargetMode="External"/><Relationship Id="rId159" Type="http://schemas.openxmlformats.org/officeDocument/2006/relationships/hyperlink" Target="https://imgur.com/a/3TH2eLX" TargetMode="External"/><Relationship Id="rId154" Type="http://schemas.openxmlformats.org/officeDocument/2006/relationships/hyperlink" Target="https://imgur.com/a/8N0wTGr" TargetMode="External"/><Relationship Id="rId153" Type="http://schemas.openxmlformats.org/officeDocument/2006/relationships/hyperlink" Target="https://imgur.com/a/8N0wTGr" TargetMode="External"/><Relationship Id="rId152" Type="http://schemas.openxmlformats.org/officeDocument/2006/relationships/hyperlink" Target="https://imgur.com/a/3VwW2qZ" TargetMode="External"/><Relationship Id="rId151" Type="http://schemas.openxmlformats.org/officeDocument/2006/relationships/hyperlink" Target="https://imgur.com/a/3VwW2qZ" TargetMode="External"/><Relationship Id="rId158" Type="http://schemas.openxmlformats.org/officeDocument/2006/relationships/hyperlink" Target="https://imgur.com/a/3TH2eLX" TargetMode="External"/><Relationship Id="rId157" Type="http://schemas.openxmlformats.org/officeDocument/2006/relationships/hyperlink" Target="https://imgur.com/a/dhBNsP3" TargetMode="External"/><Relationship Id="rId156" Type="http://schemas.openxmlformats.org/officeDocument/2006/relationships/hyperlink" Target="https://imgur.com/a/91iZYub" TargetMode="External"/><Relationship Id="rId155" Type="http://schemas.openxmlformats.org/officeDocument/2006/relationships/hyperlink" Target="https://imgur.com/a/91iZYub" TargetMode="External"/><Relationship Id="rId40" Type="http://schemas.openxmlformats.org/officeDocument/2006/relationships/hyperlink" Target="https://imgur.com/a/c8zaZAh" TargetMode="External"/><Relationship Id="rId42" Type="http://schemas.openxmlformats.org/officeDocument/2006/relationships/hyperlink" Target="https://imgur.com/a/7owKwog" TargetMode="External"/><Relationship Id="rId41" Type="http://schemas.openxmlformats.org/officeDocument/2006/relationships/hyperlink" Target="https://imgur.com/a/7owKwog" TargetMode="External"/><Relationship Id="rId44" Type="http://schemas.openxmlformats.org/officeDocument/2006/relationships/hyperlink" Target="https://imgur.com/a/pFkpjev" TargetMode="External"/><Relationship Id="rId43" Type="http://schemas.openxmlformats.org/officeDocument/2006/relationships/hyperlink" Target="https://imgur.com/a/fDtaziH" TargetMode="External"/><Relationship Id="rId46" Type="http://schemas.openxmlformats.org/officeDocument/2006/relationships/hyperlink" Target="https://imgur.com/a/GEmLpCs" TargetMode="External"/><Relationship Id="rId45" Type="http://schemas.openxmlformats.org/officeDocument/2006/relationships/hyperlink" Target="https://imgur.com/a/GEmLpCs" TargetMode="External"/><Relationship Id="rId48" Type="http://schemas.openxmlformats.org/officeDocument/2006/relationships/hyperlink" Target="https://imgur.com/a/DqsE5Ex" TargetMode="External"/><Relationship Id="rId47" Type="http://schemas.openxmlformats.org/officeDocument/2006/relationships/hyperlink" Target="https://imgur.com/a/nlNYZER" TargetMode="External"/><Relationship Id="rId49" Type="http://schemas.openxmlformats.org/officeDocument/2006/relationships/hyperlink" Target="https://imgur.com/a/GxzDzlT" TargetMode="External"/><Relationship Id="rId31" Type="http://schemas.openxmlformats.org/officeDocument/2006/relationships/hyperlink" Target="https://imgur.com/a/oN5SIKI" TargetMode="External"/><Relationship Id="rId30" Type="http://schemas.openxmlformats.org/officeDocument/2006/relationships/hyperlink" Target="https://imgur.com/a/oN5SIKI" TargetMode="External"/><Relationship Id="rId33" Type="http://schemas.openxmlformats.org/officeDocument/2006/relationships/hyperlink" Target="https://imgur.com/a/1yRsaFj" TargetMode="External"/><Relationship Id="rId32" Type="http://schemas.openxmlformats.org/officeDocument/2006/relationships/hyperlink" Target="https://imgur.com/a/21pTgjt" TargetMode="External"/><Relationship Id="rId35" Type="http://schemas.openxmlformats.org/officeDocument/2006/relationships/hyperlink" Target="https://imgur.com/a/lafCMUj" TargetMode="External"/><Relationship Id="rId34" Type="http://schemas.openxmlformats.org/officeDocument/2006/relationships/hyperlink" Target="https://imgur.com/a/1yRsaFj" TargetMode="External"/><Relationship Id="rId37" Type="http://schemas.openxmlformats.org/officeDocument/2006/relationships/hyperlink" Target="https://imgur.com/a/qQvozOt" TargetMode="External"/><Relationship Id="rId36" Type="http://schemas.openxmlformats.org/officeDocument/2006/relationships/hyperlink" Target="https://imgur.com/a/pFkpjev" TargetMode="External"/><Relationship Id="rId39" Type="http://schemas.openxmlformats.org/officeDocument/2006/relationships/hyperlink" Target="https://imgur.com/a/rNnKjpv" TargetMode="External"/><Relationship Id="rId38" Type="http://schemas.openxmlformats.org/officeDocument/2006/relationships/hyperlink" Target="https://imgur.com/a/YO8943i" TargetMode="External"/><Relationship Id="rId20" Type="http://schemas.openxmlformats.org/officeDocument/2006/relationships/hyperlink" Target="https://imgur.com/a/1hoNp8D" TargetMode="External"/><Relationship Id="rId22" Type="http://schemas.openxmlformats.org/officeDocument/2006/relationships/hyperlink" Target="https://imgur.com/a/Hpe1Tgw" TargetMode="External"/><Relationship Id="rId21" Type="http://schemas.openxmlformats.org/officeDocument/2006/relationships/hyperlink" Target="https://imgur.com/a/OAk89kY" TargetMode="External"/><Relationship Id="rId24" Type="http://schemas.openxmlformats.org/officeDocument/2006/relationships/hyperlink" Target="https://imgur.com/a/oN5SIKI" TargetMode="External"/><Relationship Id="rId23" Type="http://schemas.openxmlformats.org/officeDocument/2006/relationships/hyperlink" Target="https://imgur.com/a/L9Nfkce" TargetMode="External"/><Relationship Id="rId26" Type="http://schemas.openxmlformats.org/officeDocument/2006/relationships/hyperlink" Target="https://imgur.com/a/h9HfdlB" TargetMode="External"/><Relationship Id="rId25" Type="http://schemas.openxmlformats.org/officeDocument/2006/relationships/hyperlink" Target="https://imgur.com/a/oN5SIKI" TargetMode="External"/><Relationship Id="rId28" Type="http://schemas.openxmlformats.org/officeDocument/2006/relationships/hyperlink" Target="https://imgur.com/a/ZGcetex" TargetMode="External"/><Relationship Id="rId27" Type="http://schemas.openxmlformats.org/officeDocument/2006/relationships/hyperlink" Target="https://imgur.com/a/x0CsPv0" TargetMode="External"/><Relationship Id="rId29" Type="http://schemas.openxmlformats.org/officeDocument/2006/relationships/hyperlink" Target="https://imgur.com/a/Z6GyJou" TargetMode="External"/><Relationship Id="rId11" Type="http://schemas.openxmlformats.org/officeDocument/2006/relationships/hyperlink" Target="https://imgur.com/a/zWioDB8" TargetMode="External"/><Relationship Id="rId10" Type="http://schemas.openxmlformats.org/officeDocument/2006/relationships/hyperlink" Target="https://imgur.com/a/EUrKfTz" TargetMode="External"/><Relationship Id="rId13" Type="http://schemas.openxmlformats.org/officeDocument/2006/relationships/hyperlink" Target="https://imgur.com/a/lFsNSc4" TargetMode="External"/><Relationship Id="rId12" Type="http://schemas.openxmlformats.org/officeDocument/2006/relationships/hyperlink" Target="https://imgur.com/a/Q8Xv483" TargetMode="External"/><Relationship Id="rId15" Type="http://schemas.openxmlformats.org/officeDocument/2006/relationships/hyperlink" Target="https://imgur.com/a/lFsNSc4" TargetMode="External"/><Relationship Id="rId14" Type="http://schemas.openxmlformats.org/officeDocument/2006/relationships/hyperlink" Target="https://imgur.com/a/Q8Xv483" TargetMode="External"/><Relationship Id="rId17" Type="http://schemas.openxmlformats.org/officeDocument/2006/relationships/hyperlink" Target="https://imgur.com/a/pcKcLKB" TargetMode="External"/><Relationship Id="rId16" Type="http://schemas.openxmlformats.org/officeDocument/2006/relationships/hyperlink" Target="https://imgur.com/a/Hpe1Tgw" TargetMode="External"/><Relationship Id="rId19" Type="http://schemas.openxmlformats.org/officeDocument/2006/relationships/hyperlink" Target="https://imgur.com/a/pcKcLKB" TargetMode="External"/><Relationship Id="rId18" Type="http://schemas.openxmlformats.org/officeDocument/2006/relationships/hyperlink" Target="https://imgur.com/a/pcKcLKB" TargetMode="External"/><Relationship Id="rId84" Type="http://schemas.openxmlformats.org/officeDocument/2006/relationships/hyperlink" Target="https://imgur.com/a/srQujl5" TargetMode="External"/><Relationship Id="rId83" Type="http://schemas.openxmlformats.org/officeDocument/2006/relationships/hyperlink" Target="https://imgur.com/a/srQujl5" TargetMode="External"/><Relationship Id="rId86" Type="http://schemas.openxmlformats.org/officeDocument/2006/relationships/hyperlink" Target="https://imgur.com/a/DzCTHuU" TargetMode="External"/><Relationship Id="rId85" Type="http://schemas.openxmlformats.org/officeDocument/2006/relationships/hyperlink" Target="https://imgur.com/a/DzCTHuU" TargetMode="External"/><Relationship Id="rId88" Type="http://schemas.openxmlformats.org/officeDocument/2006/relationships/hyperlink" Target="https://imgur.com/a/qWFHjSa" TargetMode="External"/><Relationship Id="rId87" Type="http://schemas.openxmlformats.org/officeDocument/2006/relationships/hyperlink" Target="https://imgur.com/a/qWFHjSa" TargetMode="External"/><Relationship Id="rId89" Type="http://schemas.openxmlformats.org/officeDocument/2006/relationships/hyperlink" Target="https://imgur.com/a/bVXSMgI" TargetMode="External"/><Relationship Id="rId80" Type="http://schemas.openxmlformats.org/officeDocument/2006/relationships/hyperlink" Target="https://imgur.com/a/7Tok0hP" TargetMode="External"/><Relationship Id="rId82" Type="http://schemas.openxmlformats.org/officeDocument/2006/relationships/hyperlink" Target="https://imgur.com/a/quY35DH" TargetMode="External"/><Relationship Id="rId81" Type="http://schemas.openxmlformats.org/officeDocument/2006/relationships/hyperlink" Target="https://imgur.com/a/quY35DH" TargetMode="External"/><Relationship Id="rId73" Type="http://schemas.openxmlformats.org/officeDocument/2006/relationships/hyperlink" Target="https://imgur.com/a/13SqnNQ" TargetMode="External"/><Relationship Id="rId72" Type="http://schemas.openxmlformats.org/officeDocument/2006/relationships/hyperlink" Target="https://imgur.com/a/7Tok0hP" TargetMode="External"/><Relationship Id="rId75" Type="http://schemas.openxmlformats.org/officeDocument/2006/relationships/hyperlink" Target="https://imgur.com/a/7Tok0hP" TargetMode="External"/><Relationship Id="rId74" Type="http://schemas.openxmlformats.org/officeDocument/2006/relationships/hyperlink" Target="https://imgur.com/a/13SqnNQ" TargetMode="External"/><Relationship Id="rId77" Type="http://schemas.openxmlformats.org/officeDocument/2006/relationships/hyperlink" Target="https://imgur.com/a/CilI2Qu" TargetMode="External"/><Relationship Id="rId76" Type="http://schemas.openxmlformats.org/officeDocument/2006/relationships/hyperlink" Target="https://imgur.com/a/13SqnNQ" TargetMode="External"/><Relationship Id="rId79" Type="http://schemas.openxmlformats.org/officeDocument/2006/relationships/hyperlink" Target="https://imgur.com/a/CilI2Qu" TargetMode="External"/><Relationship Id="rId78" Type="http://schemas.openxmlformats.org/officeDocument/2006/relationships/hyperlink" Target="https://imgur.com/a/CilI2Qu" TargetMode="External"/><Relationship Id="rId71" Type="http://schemas.openxmlformats.org/officeDocument/2006/relationships/hyperlink" Target="https://imgur.com/a/D03hzNM" TargetMode="External"/><Relationship Id="rId70" Type="http://schemas.openxmlformats.org/officeDocument/2006/relationships/hyperlink" Target="https://imgur.com/a/D03hzNM" TargetMode="External"/><Relationship Id="rId62" Type="http://schemas.openxmlformats.org/officeDocument/2006/relationships/hyperlink" Target="https://imgur.com/a/QY7kylO" TargetMode="External"/><Relationship Id="rId61" Type="http://schemas.openxmlformats.org/officeDocument/2006/relationships/hyperlink" Target="https://imgur.com/a/cDdMYdF" TargetMode="External"/><Relationship Id="rId64" Type="http://schemas.openxmlformats.org/officeDocument/2006/relationships/hyperlink" Target="https://imgur.com/a/JrzuMGt" TargetMode="External"/><Relationship Id="rId63" Type="http://schemas.openxmlformats.org/officeDocument/2006/relationships/hyperlink" Target="https://imgur.com/a/fmnPze7" TargetMode="External"/><Relationship Id="rId66" Type="http://schemas.openxmlformats.org/officeDocument/2006/relationships/hyperlink" Target="https://imgur.com/a/29hR1XF" TargetMode="External"/><Relationship Id="rId65" Type="http://schemas.openxmlformats.org/officeDocument/2006/relationships/hyperlink" Target="https://imgur.com/a/5sRvkND" TargetMode="External"/><Relationship Id="rId68" Type="http://schemas.openxmlformats.org/officeDocument/2006/relationships/hyperlink" Target="https://imgur.com/a/HQZwt8g" TargetMode="External"/><Relationship Id="rId67" Type="http://schemas.openxmlformats.org/officeDocument/2006/relationships/hyperlink" Target="https://imgur.com/a/TkJ6dSS" TargetMode="External"/><Relationship Id="rId60" Type="http://schemas.openxmlformats.org/officeDocument/2006/relationships/hyperlink" Target="https://imgur.com/a/PBPp44A" TargetMode="External"/><Relationship Id="rId69" Type="http://schemas.openxmlformats.org/officeDocument/2006/relationships/hyperlink" Target="https://imgur.com/a/4J1YTmD" TargetMode="External"/><Relationship Id="rId51" Type="http://schemas.openxmlformats.org/officeDocument/2006/relationships/hyperlink" Target="https://imgur.com/a/MWTHslg" TargetMode="External"/><Relationship Id="rId50" Type="http://schemas.openxmlformats.org/officeDocument/2006/relationships/hyperlink" Target="https://imgur.com/a/zxBmy6C" TargetMode="External"/><Relationship Id="rId53" Type="http://schemas.openxmlformats.org/officeDocument/2006/relationships/hyperlink" Target="https://imgur.com/a/VfGDmhy" TargetMode="External"/><Relationship Id="rId52" Type="http://schemas.openxmlformats.org/officeDocument/2006/relationships/hyperlink" Target="https://imgur.com/a/dy3sR9T" TargetMode="External"/><Relationship Id="rId55" Type="http://schemas.openxmlformats.org/officeDocument/2006/relationships/hyperlink" Target="https://imgur.com/a/IuuAQLl" TargetMode="External"/><Relationship Id="rId54" Type="http://schemas.openxmlformats.org/officeDocument/2006/relationships/hyperlink" Target="https://imgur.com/a/IEK8k14" TargetMode="External"/><Relationship Id="rId57" Type="http://schemas.openxmlformats.org/officeDocument/2006/relationships/hyperlink" Target="https://imgur.com/a/8FonsNS" TargetMode="External"/><Relationship Id="rId56" Type="http://schemas.openxmlformats.org/officeDocument/2006/relationships/hyperlink" Target="https://imgur.com/a/bVsObWr" TargetMode="External"/><Relationship Id="rId59" Type="http://schemas.openxmlformats.org/officeDocument/2006/relationships/hyperlink" Target="https://imgur.com/a/uUDQMYp" TargetMode="External"/><Relationship Id="rId58" Type="http://schemas.openxmlformats.org/officeDocument/2006/relationships/hyperlink" Target="https://imgur.com/a/D2LbysH" TargetMode="External"/><Relationship Id="rId107" Type="http://schemas.openxmlformats.org/officeDocument/2006/relationships/hyperlink" Target="https://imgur.com/a/E8qjeH8" TargetMode="External"/><Relationship Id="rId106" Type="http://schemas.openxmlformats.org/officeDocument/2006/relationships/hyperlink" Target="https://imgur.com/a/Rv0FwSX" TargetMode="External"/><Relationship Id="rId105" Type="http://schemas.openxmlformats.org/officeDocument/2006/relationships/hyperlink" Target="https://imgur.com/a/Rv0FwSX" TargetMode="External"/><Relationship Id="rId104" Type="http://schemas.openxmlformats.org/officeDocument/2006/relationships/hyperlink" Target="https://imgur.com/a/Rv0FwSX" TargetMode="External"/><Relationship Id="rId109" Type="http://schemas.openxmlformats.org/officeDocument/2006/relationships/hyperlink" Target="https://imgur.com/a/E8qjeH8" TargetMode="External"/><Relationship Id="rId108" Type="http://schemas.openxmlformats.org/officeDocument/2006/relationships/hyperlink" Target="https://imgur.com/a/E8qjeH8" TargetMode="External"/><Relationship Id="rId103" Type="http://schemas.openxmlformats.org/officeDocument/2006/relationships/hyperlink" Target="https://imgur.com/a/s6WzxSe" TargetMode="External"/><Relationship Id="rId102" Type="http://schemas.openxmlformats.org/officeDocument/2006/relationships/hyperlink" Target="https://imgur.com/a/s6WzxSe" TargetMode="External"/><Relationship Id="rId101" Type="http://schemas.openxmlformats.org/officeDocument/2006/relationships/hyperlink" Target="https://imgur.com/a/7RyMS2g" TargetMode="External"/><Relationship Id="rId100" Type="http://schemas.openxmlformats.org/officeDocument/2006/relationships/hyperlink" Target="https://imgur.com/a/7RyMS2g" TargetMode="External"/><Relationship Id="rId129" Type="http://schemas.openxmlformats.org/officeDocument/2006/relationships/hyperlink" Target="https://imgur.com/a/cG8jdq3" TargetMode="External"/><Relationship Id="rId128" Type="http://schemas.openxmlformats.org/officeDocument/2006/relationships/hyperlink" Target="https://imgur.com/a/cG8jdq3" TargetMode="External"/><Relationship Id="rId127" Type="http://schemas.openxmlformats.org/officeDocument/2006/relationships/hyperlink" Target="https://imgur.com/a/W1n420E" TargetMode="External"/><Relationship Id="rId126" Type="http://schemas.openxmlformats.org/officeDocument/2006/relationships/hyperlink" Target="https://imgur.com/a/W1n420E" TargetMode="External"/><Relationship Id="rId121" Type="http://schemas.openxmlformats.org/officeDocument/2006/relationships/hyperlink" Target="https://imgur.com/a/gZXKevQ" TargetMode="External"/><Relationship Id="rId120" Type="http://schemas.openxmlformats.org/officeDocument/2006/relationships/hyperlink" Target="https://imgur.com/a/0irrv1r" TargetMode="External"/><Relationship Id="rId125" Type="http://schemas.openxmlformats.org/officeDocument/2006/relationships/hyperlink" Target="https://imgur.com/a/wTW0rgt" TargetMode="External"/><Relationship Id="rId124" Type="http://schemas.openxmlformats.org/officeDocument/2006/relationships/hyperlink" Target="https://imgur.com/a/NP74ZdI" TargetMode="External"/><Relationship Id="rId123" Type="http://schemas.openxmlformats.org/officeDocument/2006/relationships/hyperlink" Target="https://imgur.com/a/NP74ZdI" TargetMode="External"/><Relationship Id="rId122" Type="http://schemas.openxmlformats.org/officeDocument/2006/relationships/hyperlink" Target="https://imgur.com/a/gZXKevQ" TargetMode="External"/><Relationship Id="rId95" Type="http://schemas.openxmlformats.org/officeDocument/2006/relationships/hyperlink" Target="https://imgur.com/a/3uzfVdr" TargetMode="External"/><Relationship Id="rId94" Type="http://schemas.openxmlformats.org/officeDocument/2006/relationships/hyperlink" Target="https://imgur.com/a/5qzdvFp" TargetMode="External"/><Relationship Id="rId97" Type="http://schemas.openxmlformats.org/officeDocument/2006/relationships/hyperlink" Target="https://imgur.com/a/4qZv6j4" TargetMode="External"/><Relationship Id="rId96" Type="http://schemas.openxmlformats.org/officeDocument/2006/relationships/hyperlink" Target="https://imgur.com/a/3uzfVdr" TargetMode="External"/><Relationship Id="rId99" Type="http://schemas.openxmlformats.org/officeDocument/2006/relationships/hyperlink" Target="https://imgur.com/a/4qZv6j4" TargetMode="External"/><Relationship Id="rId98" Type="http://schemas.openxmlformats.org/officeDocument/2006/relationships/hyperlink" Target="https://imgur.com/a/4qZv6j4" TargetMode="External"/><Relationship Id="rId91" Type="http://schemas.openxmlformats.org/officeDocument/2006/relationships/hyperlink" Target="https://imgur.com/a/bVXSMgI" TargetMode="External"/><Relationship Id="rId90" Type="http://schemas.openxmlformats.org/officeDocument/2006/relationships/hyperlink" Target="https://imgur.com/a/bVXSMgI" TargetMode="External"/><Relationship Id="rId93" Type="http://schemas.openxmlformats.org/officeDocument/2006/relationships/hyperlink" Target="https://imgur.com/a/5qzdvFp" TargetMode="External"/><Relationship Id="rId92" Type="http://schemas.openxmlformats.org/officeDocument/2006/relationships/hyperlink" Target="https://imgur.com/a/5qzdvFp" TargetMode="External"/><Relationship Id="rId118" Type="http://schemas.openxmlformats.org/officeDocument/2006/relationships/hyperlink" Target="https://imgur.com/a/SJjIR88" TargetMode="External"/><Relationship Id="rId117" Type="http://schemas.openxmlformats.org/officeDocument/2006/relationships/hyperlink" Target="https://imgur.com/a/pPbHeWc" TargetMode="External"/><Relationship Id="rId116" Type="http://schemas.openxmlformats.org/officeDocument/2006/relationships/hyperlink" Target="https://imgur.com/a/aKu4S0S" TargetMode="External"/><Relationship Id="rId115" Type="http://schemas.openxmlformats.org/officeDocument/2006/relationships/hyperlink" Target="https://imgur.com/a/aKu4S0S" TargetMode="External"/><Relationship Id="rId119" Type="http://schemas.openxmlformats.org/officeDocument/2006/relationships/hyperlink" Target="https://imgur.com/a/0irrv1r" TargetMode="External"/><Relationship Id="rId110" Type="http://schemas.openxmlformats.org/officeDocument/2006/relationships/hyperlink" Target="https://imgur.com/a/rGxGeVU" TargetMode="External"/><Relationship Id="rId114" Type="http://schemas.openxmlformats.org/officeDocument/2006/relationships/hyperlink" Target="https://imgur.com/a/subt538" TargetMode="External"/><Relationship Id="rId113" Type="http://schemas.openxmlformats.org/officeDocument/2006/relationships/hyperlink" Target="https://imgur.com/a/subt538" TargetMode="External"/><Relationship Id="rId112" Type="http://schemas.openxmlformats.org/officeDocument/2006/relationships/hyperlink" Target="https://imgur.com/a/rGxGeVU" TargetMode="External"/><Relationship Id="rId111" Type="http://schemas.openxmlformats.org/officeDocument/2006/relationships/hyperlink" Target="https://imgur.com/a/rGxGeVU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imgur.com/a/bxWbOIL" TargetMode="External"/><Relationship Id="rId2" Type="http://schemas.openxmlformats.org/officeDocument/2006/relationships/hyperlink" Target="https://imgur.com/a/DNwqsCH" TargetMode="External"/><Relationship Id="rId3" Type="http://schemas.openxmlformats.org/officeDocument/2006/relationships/hyperlink" Target="https://imgur.com/a/aKs3fNp" TargetMode="External"/><Relationship Id="rId4" Type="http://schemas.openxmlformats.org/officeDocument/2006/relationships/hyperlink" Target="https://imgur.com/a/dw5JWuO" TargetMode="External"/><Relationship Id="rId9" Type="http://schemas.openxmlformats.org/officeDocument/2006/relationships/hyperlink" Target="https://imgur.com/a/rheBd69" TargetMode="External"/><Relationship Id="rId5" Type="http://schemas.openxmlformats.org/officeDocument/2006/relationships/hyperlink" Target="https://imgur.com/a/FYqUGWs" TargetMode="External"/><Relationship Id="rId6" Type="http://schemas.openxmlformats.org/officeDocument/2006/relationships/hyperlink" Target="https://imgur.com/a/DTSPjVD" TargetMode="External"/><Relationship Id="rId7" Type="http://schemas.openxmlformats.org/officeDocument/2006/relationships/hyperlink" Target="https://imgur.com/a/71ylvsZ" TargetMode="External"/><Relationship Id="rId8" Type="http://schemas.openxmlformats.org/officeDocument/2006/relationships/hyperlink" Target="https://imgur.com/a/zr9dusV" TargetMode="External"/><Relationship Id="rId11" Type="http://schemas.openxmlformats.org/officeDocument/2006/relationships/hyperlink" Target="https://imgur.com/a/Mcc2tDO" TargetMode="External"/><Relationship Id="rId10" Type="http://schemas.openxmlformats.org/officeDocument/2006/relationships/hyperlink" Target="https://imgur.com/a/f3auU8w" TargetMode="External"/><Relationship Id="rId13" Type="http://schemas.openxmlformats.org/officeDocument/2006/relationships/hyperlink" Target="https://imgur.com/a/bZlqknr" TargetMode="External"/><Relationship Id="rId12" Type="http://schemas.openxmlformats.org/officeDocument/2006/relationships/hyperlink" Target="https://imgur.com/a/8AOBeci" TargetMode="External"/><Relationship Id="rId15" Type="http://schemas.openxmlformats.org/officeDocument/2006/relationships/hyperlink" Target="https://imgur.com/a/x6Vhx3k" TargetMode="External"/><Relationship Id="rId14" Type="http://schemas.openxmlformats.org/officeDocument/2006/relationships/hyperlink" Target="https://imgur.com/a/ca4NlMA" TargetMode="External"/><Relationship Id="rId17" Type="http://schemas.openxmlformats.org/officeDocument/2006/relationships/hyperlink" Target="https://imgur.com/a/407kGXI" TargetMode="External"/><Relationship Id="rId16" Type="http://schemas.openxmlformats.org/officeDocument/2006/relationships/hyperlink" Target="https://imgur.com/a/WUFWUoC" TargetMode="External"/><Relationship Id="rId19" Type="http://schemas.openxmlformats.org/officeDocument/2006/relationships/drawing" Target="../drawings/drawing17.xml"/><Relationship Id="rId18" Type="http://schemas.openxmlformats.org/officeDocument/2006/relationships/hyperlink" Target="https://imgur.com/a/Nv70mug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imgur.com/a/p3eK6yV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imgur.com/a/Fbmmqeh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imgur.com/a/xg5rMPJ" TargetMode="External"/><Relationship Id="rId2" Type="http://schemas.openxmlformats.org/officeDocument/2006/relationships/hyperlink" Target="https://imgur.com/a/zvLFSgR" TargetMode="External"/><Relationship Id="rId3" Type="http://schemas.openxmlformats.org/officeDocument/2006/relationships/hyperlink" Target="https://imgur.com/a/SJ6dfJN" TargetMode="External"/><Relationship Id="rId4" Type="http://schemas.openxmlformats.org/officeDocument/2006/relationships/hyperlink" Target="https://imgur.com/a/UvZJqKw" TargetMode="External"/><Relationship Id="rId9" Type="http://schemas.openxmlformats.org/officeDocument/2006/relationships/hyperlink" Target="https://imgur.com/a/0e03YqH" TargetMode="External"/><Relationship Id="rId5" Type="http://schemas.openxmlformats.org/officeDocument/2006/relationships/hyperlink" Target="https://imgur.com/a/PKI4Fgs" TargetMode="External"/><Relationship Id="rId6" Type="http://schemas.openxmlformats.org/officeDocument/2006/relationships/hyperlink" Target="https://imgur.com/a/G9d2mFX" TargetMode="External"/><Relationship Id="rId7" Type="http://schemas.openxmlformats.org/officeDocument/2006/relationships/hyperlink" Target="https://imgur.com/a/xSn4850" TargetMode="External"/><Relationship Id="rId8" Type="http://schemas.openxmlformats.org/officeDocument/2006/relationships/hyperlink" Target="https://imgur.com/a/UanfcaO" TargetMode="External"/><Relationship Id="rId11" Type="http://schemas.openxmlformats.org/officeDocument/2006/relationships/hyperlink" Target="https://imgur.com/a/aLVehVK" TargetMode="External"/><Relationship Id="rId10" Type="http://schemas.openxmlformats.org/officeDocument/2006/relationships/hyperlink" Target="https://imgur.com/a/ocIvomr" TargetMode="External"/><Relationship Id="rId13" Type="http://schemas.openxmlformats.org/officeDocument/2006/relationships/hyperlink" Target="https://imgur.com/a/vqSpNqd" TargetMode="External"/><Relationship Id="rId12" Type="http://schemas.openxmlformats.org/officeDocument/2006/relationships/hyperlink" Target="https://imgur.com/a/IEHYSjh" TargetMode="External"/><Relationship Id="rId15" Type="http://schemas.openxmlformats.org/officeDocument/2006/relationships/hyperlink" Target="https://imgur.com/a/Vb1w5mD" TargetMode="External"/><Relationship Id="rId14" Type="http://schemas.openxmlformats.org/officeDocument/2006/relationships/hyperlink" Target="https://imgur.com/a/tJym2M8" TargetMode="External"/><Relationship Id="rId17" Type="http://schemas.openxmlformats.org/officeDocument/2006/relationships/hyperlink" Target="https://imgur.com/a/wVfbJ3e" TargetMode="External"/><Relationship Id="rId16" Type="http://schemas.openxmlformats.org/officeDocument/2006/relationships/hyperlink" Target="https://imgur.com/a/IWLKYmI" TargetMode="External"/><Relationship Id="rId18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2.5"/>
    <col customWidth="1" min="3" max="3" width="18.88"/>
    <col customWidth="1" min="4" max="4" width="18.63"/>
    <col customWidth="1" min="5" max="5" width="18.13"/>
    <col customWidth="1" min="6" max="6" width="14.5"/>
    <col customWidth="1" min="7" max="7" width="15.0"/>
    <col customWidth="1" min="8" max="8" width="14.75"/>
    <col customWidth="1" min="12" max="12" width="97.88"/>
  </cols>
  <sheetData>
    <row r="1">
      <c r="A1" s="6" t="str">
        <f>IFERROR(__xludf.DUMMYFUNCTION("IMPORTRANGE(""Https://docs.google.com/spreadsheets/d/1ID3qu1P4Zey82OSLntg4O0xoZlY1hGK58tte0D_Cv_s/edit?gid=709790984#gid=709790984"", ""Drops!A1:K1600"")"),"Pokemon")</f>
        <v>Pokemon</v>
      </c>
      <c r="B1" s="7" t="str">
        <f>IFERROR(__xludf.DUMMYFUNCTION("""COMPUTED_VALUE"""),"DROPS")</f>
        <v>DROPS</v>
      </c>
      <c r="C1" s="8"/>
      <c r="D1" s="8"/>
      <c r="E1" s="8"/>
      <c r="F1" s="8"/>
      <c r="G1" s="8"/>
      <c r="H1" s="8"/>
      <c r="I1" s="8"/>
      <c r="J1" s="8"/>
      <c r="K1" s="9"/>
      <c r="L1" s="2"/>
    </row>
    <row r="2">
      <c r="A2" s="10" t="str">
        <f>IFERROR(__xludf.DUMMYFUNCTION("""COMPUTED_VALUE"""),"Bulbasaur")</f>
        <v>Bulbasaur</v>
      </c>
      <c r="B2" s="11" t="str">
        <f>IFERROR(__xludf.DUMMYFUNCTION("""COMPUTED_VALUE"""),"seed")</f>
        <v>seed</v>
      </c>
      <c r="C2" s="11" t="str">
        <f>IFERROR(__xludf.DUMMYFUNCTION("""COMPUTED_VALUE"""),"bottle of poison")</f>
        <v>bottle of poison</v>
      </c>
      <c r="D2" s="11" t="str">
        <f>IFERROR(__xludf.DUMMYFUNCTION("""COMPUTED_VALUE"""),"bulb")</f>
        <v>bulb</v>
      </c>
      <c r="E2" s="11"/>
      <c r="F2" s="11"/>
      <c r="G2" s="11"/>
      <c r="H2" s="11"/>
      <c r="I2" s="11"/>
      <c r="J2" s="11"/>
      <c r="K2" s="11"/>
      <c r="L2" s="11"/>
    </row>
    <row r="3">
      <c r="A3" s="13" t="str">
        <f>IFERROR(__xludf.DUMMYFUNCTION("""COMPUTED_VALUE"""),"Shiny Bulbasaur")</f>
        <v>Shiny Bulbasaur</v>
      </c>
      <c r="B3" s="11" t="str">
        <f>IFERROR(__xludf.DUMMYFUNCTION("""COMPUTED_VALUE"""),"seed")</f>
        <v>seed</v>
      </c>
      <c r="C3" s="11" t="str">
        <f>IFERROR(__xludf.DUMMYFUNCTION("""COMPUTED_VALUE"""),"bottle of poison")</f>
        <v>bottle of poison</v>
      </c>
      <c r="D3" s="11" t="str">
        <f>IFERROR(__xludf.DUMMYFUNCTION("""COMPUTED_VALUE"""),"brown bulb")</f>
        <v>brown bulb</v>
      </c>
      <c r="E3" s="11" t="str">
        <f>IFERROR(__xludf.DUMMYFUNCTION("""COMPUTED_VALUE"""),"leaf stone")</f>
        <v>leaf stone</v>
      </c>
      <c r="F3" s="11" t="str">
        <f>IFERROR(__xludf.DUMMYFUNCTION("""COMPUTED_VALUE"""),"venom stone")</f>
        <v>venom stone</v>
      </c>
      <c r="G3" s="11" t="str">
        <f>IFERROR(__xludf.DUMMYFUNCTION("""COMPUTED_VALUE"""),"simple grass orb")</f>
        <v>simple grass orb</v>
      </c>
      <c r="H3" s="11"/>
      <c r="I3" s="11"/>
      <c r="J3" s="11"/>
      <c r="K3" s="11"/>
      <c r="L3" s="11"/>
    </row>
    <row r="4">
      <c r="A4" s="13" t="str">
        <f>IFERROR(__xludf.DUMMYFUNCTION("""COMPUTED_VALUE"""),"Ivysaur")</f>
        <v>Ivysaur</v>
      </c>
      <c r="B4" s="11" t="str">
        <f>IFERROR(__xludf.DUMMYFUNCTION("""COMPUTED_VALUE"""),"seed")</f>
        <v>seed</v>
      </c>
      <c r="C4" s="11" t="str">
        <f>IFERROR(__xludf.DUMMYFUNCTION("""COMPUTED_VALUE"""),"bottle of poison")</f>
        <v>bottle of poison</v>
      </c>
      <c r="D4" s="11" t="str">
        <f>IFERROR(__xludf.DUMMYFUNCTION("""COMPUTED_VALUE"""),"leaf")</f>
        <v>leaf</v>
      </c>
      <c r="E4" s="11" t="str">
        <f>IFERROR(__xludf.DUMMYFUNCTION("""COMPUTED_VALUE"""),"leaf stone")</f>
        <v>leaf stone</v>
      </c>
      <c r="F4" s="11" t="str">
        <f>IFERROR(__xludf.DUMMYFUNCTION("""COMPUTED_VALUE"""),"venom stone")</f>
        <v>venom stone</v>
      </c>
      <c r="G4" s="11"/>
      <c r="H4" s="11"/>
      <c r="I4" s="11"/>
      <c r="J4" s="11"/>
      <c r="K4" s="11"/>
      <c r="L4" s="11"/>
    </row>
    <row r="5">
      <c r="A5" s="13" t="str">
        <f>IFERROR(__xludf.DUMMYFUNCTION("""COMPUTED_VALUE"""),"Shiny Ivysaur")</f>
        <v>Shiny Ivysaur</v>
      </c>
      <c r="B5" s="11" t="str">
        <f>IFERROR(__xludf.DUMMYFUNCTION("""COMPUTED_VALUE"""),"seed")</f>
        <v>seed</v>
      </c>
      <c r="C5" s="11" t="str">
        <f>IFERROR(__xludf.DUMMYFUNCTION("""COMPUTED_VALUE"""),"bottle of poison")</f>
        <v>bottle of poison</v>
      </c>
      <c r="D5" s="11" t="str">
        <f>IFERROR(__xludf.DUMMYFUNCTION("""COMPUTED_VALUE"""),"purple leaf")</f>
        <v>purple leaf</v>
      </c>
      <c r="E5" s="11" t="str">
        <f>IFERROR(__xludf.DUMMYFUNCTION("""COMPUTED_VALUE"""),"leaf stone")</f>
        <v>leaf stone</v>
      </c>
      <c r="F5" s="11" t="str">
        <f>IFERROR(__xludf.DUMMYFUNCTION("""COMPUTED_VALUE"""),"venom stone")</f>
        <v>venom stone</v>
      </c>
      <c r="G5" s="11" t="str">
        <f>IFERROR(__xludf.DUMMYFUNCTION("""COMPUTED_VALUE"""),"arcane grass orb")</f>
        <v>arcane grass orb</v>
      </c>
      <c r="H5" s="11"/>
      <c r="I5" s="11"/>
      <c r="J5" s="11"/>
      <c r="K5" s="11"/>
      <c r="L5" s="11"/>
    </row>
    <row r="6">
      <c r="A6" s="13" t="str">
        <f>IFERROR(__xludf.DUMMYFUNCTION("""COMPUTED_VALUE"""),"Venusaur")</f>
        <v>Venusaur</v>
      </c>
      <c r="B6" s="11" t="str">
        <f>IFERROR(__xludf.DUMMYFUNCTION("""COMPUTED_VALUE"""),"seed")</f>
        <v>seed</v>
      </c>
      <c r="C6" s="11" t="str">
        <f>IFERROR(__xludf.DUMMYFUNCTION("""COMPUTED_VALUE"""),"bottle of poison")</f>
        <v>bottle of poison</v>
      </c>
      <c r="D6" s="11" t="str">
        <f>IFERROR(__xludf.DUMMYFUNCTION("""COMPUTED_VALUE"""),"red petal")</f>
        <v>red petal</v>
      </c>
      <c r="E6" s="11" t="str">
        <f>IFERROR(__xludf.DUMMYFUNCTION("""COMPUTED_VALUE"""),"leaf stone")</f>
        <v>leaf stone</v>
      </c>
      <c r="F6" s="11" t="str">
        <f>IFERROR(__xludf.DUMMYFUNCTION("""COMPUTED_VALUE"""),"venom stone")</f>
        <v>venom stone</v>
      </c>
      <c r="G6" s="11"/>
      <c r="H6" s="11"/>
      <c r="I6" s="11"/>
      <c r="J6" s="11"/>
      <c r="K6" s="11"/>
      <c r="L6" s="11"/>
    </row>
    <row r="7">
      <c r="A7" s="13" t="str">
        <f>IFERROR(__xludf.DUMMYFUNCTION("""COMPUTED_VALUE"""),"Shiny Venusaur")</f>
        <v>Shiny Venusaur</v>
      </c>
      <c r="B7" s="11" t="str">
        <f>IFERROR(__xludf.DUMMYFUNCTION("""COMPUTED_VALUE"""),"seed")</f>
        <v>seed</v>
      </c>
      <c r="C7" s="11" t="str">
        <f>IFERROR(__xludf.DUMMYFUNCTION("""COMPUTED_VALUE"""),"bottle of poison")</f>
        <v>bottle of poison</v>
      </c>
      <c r="D7" s="11" t="str">
        <f>IFERROR(__xludf.DUMMYFUNCTION("""COMPUTED_VALUE"""),"brown petal")</f>
        <v>brown petal</v>
      </c>
      <c r="E7" s="11" t="str">
        <f>IFERROR(__xludf.DUMMYFUNCTION("""COMPUTED_VALUE"""),"leaf stone")</f>
        <v>leaf stone</v>
      </c>
      <c r="F7" s="11" t="str">
        <f>IFERROR(__xludf.DUMMYFUNCTION("""COMPUTED_VALUE"""),"venom stone")</f>
        <v>venom stone</v>
      </c>
      <c r="G7" s="11" t="str">
        <f>IFERROR(__xludf.DUMMYFUNCTION("""COMPUTED_VALUE"""),"mythic grass orb")</f>
        <v>mythic grass orb</v>
      </c>
      <c r="H7" s="11"/>
      <c r="I7" s="11"/>
      <c r="J7" s="11"/>
      <c r="K7" s="11"/>
      <c r="L7" s="11"/>
    </row>
    <row r="8">
      <c r="A8" s="13" t="str">
        <f>IFERROR(__xludf.DUMMYFUNCTION("""COMPUTED_VALUE"""),"Charmander")</f>
        <v>Charmander</v>
      </c>
      <c r="B8" s="11" t="str">
        <f>IFERROR(__xludf.DUMMYFUNCTION("""COMPUTED_VALUE"""),"essence of fire")</f>
        <v>essence of fire</v>
      </c>
      <c r="C8" s="11" t="str">
        <f>IFERROR(__xludf.DUMMYFUNCTION("""COMPUTED_VALUE"""),"fire tail")</f>
        <v>fire tail</v>
      </c>
      <c r="D8" s="11"/>
      <c r="E8" s="11"/>
      <c r="F8" s="11"/>
      <c r="G8" s="11"/>
      <c r="H8" s="11"/>
      <c r="I8" s="11"/>
      <c r="J8" s="11"/>
      <c r="K8" s="11"/>
      <c r="L8" s="11"/>
    </row>
    <row r="9">
      <c r="A9" s="13" t="str">
        <f>IFERROR(__xludf.DUMMYFUNCTION("""COMPUTED_VALUE"""),"Shiny Charmander")</f>
        <v>Shiny Charmander</v>
      </c>
      <c r="B9" s="11" t="str">
        <f>IFERROR(__xludf.DUMMYFUNCTION("""COMPUTED_VALUE"""),"essence of fire")</f>
        <v>essence of fire</v>
      </c>
      <c r="C9" s="11" t="str">
        <f>IFERROR(__xludf.DUMMYFUNCTION("""COMPUTED_VALUE"""),"black tail")</f>
        <v>black tail</v>
      </c>
      <c r="D9" s="11" t="str">
        <f>IFERROR(__xludf.DUMMYFUNCTION("""COMPUTED_VALUE"""),"fire stone")</f>
        <v>fire stone</v>
      </c>
      <c r="E9" s="11" t="str">
        <f>IFERROR(__xludf.DUMMYFUNCTION("""COMPUTED_VALUE"""),"simple fire orb")</f>
        <v>simple fire orb</v>
      </c>
      <c r="F9" s="11"/>
      <c r="G9" s="11"/>
      <c r="H9" s="11"/>
      <c r="I9" s="11"/>
      <c r="J9" s="11"/>
      <c r="K9" s="11"/>
      <c r="L9" s="11"/>
    </row>
    <row r="10">
      <c r="A10" s="13" t="str">
        <f>IFERROR(__xludf.DUMMYFUNCTION("""COMPUTED_VALUE"""),"Charmelion")</f>
        <v>Charmelion</v>
      </c>
      <c r="B10" s="11" t="str">
        <f>IFERROR(__xludf.DUMMYFUNCTION("""COMPUTED_VALUE"""),"essence of fire")</f>
        <v>essence of fire</v>
      </c>
      <c r="C10" s="11" t="str">
        <f>IFERROR(__xludf.DUMMYFUNCTION("""COMPUTED_VALUE"""),"lizard tail")</f>
        <v>lizard tail</v>
      </c>
      <c r="D10" s="11" t="str">
        <f>IFERROR(__xludf.DUMMYFUNCTION("""COMPUTED_VALUE"""),"fire stone")</f>
        <v>fire stone</v>
      </c>
      <c r="E10" s="11"/>
      <c r="F10" s="11"/>
      <c r="G10" s="11"/>
      <c r="H10" s="11"/>
      <c r="I10" s="11"/>
      <c r="J10" s="11"/>
      <c r="K10" s="11"/>
      <c r="L10" s="11"/>
    </row>
    <row r="11">
      <c r="A11" s="13" t="str">
        <f>IFERROR(__xludf.DUMMYFUNCTION("""COMPUTED_VALUE"""),"Shiny Charmelion")</f>
        <v>Shiny Charmelion</v>
      </c>
      <c r="B11" s="11" t="str">
        <f>IFERROR(__xludf.DUMMYFUNCTION("""COMPUTED_VALUE"""),"essence of fire")</f>
        <v>essence of fire</v>
      </c>
      <c r="C11" s="11" t="str">
        <f>IFERROR(__xludf.DUMMYFUNCTION("""COMPUTED_VALUE"""),"black lizard tail")</f>
        <v>black lizard tail</v>
      </c>
      <c r="D11" s="11" t="str">
        <f>IFERROR(__xludf.DUMMYFUNCTION("""COMPUTED_VALUE"""),"fire stone")</f>
        <v>fire stone</v>
      </c>
      <c r="E11" s="11" t="str">
        <f>IFERROR(__xludf.DUMMYFUNCTION("""COMPUTED_VALUE"""),"arcane fire orb")</f>
        <v>arcane fire orb</v>
      </c>
      <c r="F11" s="11"/>
      <c r="G11" s="11"/>
      <c r="H11" s="11"/>
      <c r="I11" s="11"/>
      <c r="J11" s="11"/>
      <c r="K11" s="11"/>
      <c r="L11" s="11"/>
    </row>
    <row r="12">
      <c r="A12" s="13" t="str">
        <f>IFERROR(__xludf.DUMMYFUNCTION("""COMPUTED_VALUE"""),"Charizard")</f>
        <v>Charizard</v>
      </c>
      <c r="B12" s="11" t="str">
        <f>IFERROR(__xludf.DUMMYFUNCTION("""COMPUTED_VALUE"""),"essence of fire")</f>
        <v>essence of fire</v>
      </c>
      <c r="C12" s="11" t="str">
        <f>IFERROR(__xludf.DUMMYFUNCTION("""COMPUTED_VALUE"""),"straw")</f>
        <v>straw</v>
      </c>
      <c r="D12" s="11" t="str">
        <f>IFERROR(__xludf.DUMMYFUNCTION("""COMPUTED_VALUE"""),"fire wing")</f>
        <v>fire wing</v>
      </c>
      <c r="E12" s="11" t="str">
        <f>IFERROR(__xludf.DUMMYFUNCTION("""COMPUTED_VALUE"""),"fire stone")</f>
        <v>fire stone</v>
      </c>
      <c r="F12" s="11" t="str">
        <f>IFERROR(__xludf.DUMMYFUNCTION("""COMPUTED_VALUE"""),"feather stone")</f>
        <v>feather stone</v>
      </c>
      <c r="G12" s="11"/>
      <c r="H12" s="11"/>
      <c r="I12" s="11"/>
      <c r="J12" s="11"/>
      <c r="K12" s="11"/>
      <c r="L12" s="11"/>
    </row>
    <row r="13">
      <c r="A13" s="13" t="str">
        <f>IFERROR(__xludf.DUMMYFUNCTION("""COMPUTED_VALUE"""),"Shiny Charizard")</f>
        <v>Shiny Charizard</v>
      </c>
      <c r="B13" s="11" t="str">
        <f>IFERROR(__xludf.DUMMYFUNCTION("""COMPUTED_VALUE"""),"essence of fire")</f>
        <v>essence of fire</v>
      </c>
      <c r="C13" s="11" t="str">
        <f>IFERROR(__xludf.DUMMYFUNCTION("""COMPUTED_VALUE"""),"essence of fire")</f>
        <v>essence of fire</v>
      </c>
      <c r="D13" s="11" t="str">
        <f>IFERROR(__xludf.DUMMYFUNCTION("""COMPUTED_VALUE"""),"straw")</f>
        <v>straw</v>
      </c>
      <c r="E13" s="11" t="str">
        <f>IFERROR(__xludf.DUMMYFUNCTION("""COMPUTED_VALUE"""),"dark wing")</f>
        <v>dark wing</v>
      </c>
      <c r="F13" s="11" t="str">
        <f>IFERROR(__xludf.DUMMYFUNCTION("""COMPUTED_VALUE"""),"fire stone")</f>
        <v>fire stone</v>
      </c>
      <c r="G13" s="11" t="str">
        <f>IFERROR(__xludf.DUMMYFUNCTION("""COMPUTED_VALUE"""),"feather stone")</f>
        <v>feather stone</v>
      </c>
      <c r="H13" s="11" t="str">
        <f>IFERROR(__xludf.DUMMYFUNCTION("""COMPUTED_VALUE"""),"mythic fire orb")</f>
        <v>mythic fire orb</v>
      </c>
      <c r="I13" s="11"/>
      <c r="J13" s="11"/>
      <c r="K13" s="11"/>
      <c r="L13" s="11"/>
    </row>
    <row r="14">
      <c r="A14" s="13" t="str">
        <f>IFERROR(__xludf.DUMMYFUNCTION("""COMPUTED_VALUE"""),"Squirtle")</f>
        <v>Squirtle</v>
      </c>
      <c r="B14" s="11" t="str">
        <f>IFERROR(__xludf.DUMMYFUNCTION("""COMPUTED_VALUE"""),"water gem")</f>
        <v>water gem</v>
      </c>
      <c r="C14" s="11" t="str">
        <f>IFERROR(__xludf.DUMMYFUNCTION("""COMPUTED_VALUE"""),"squirtle hull")</f>
        <v>squirtle hull</v>
      </c>
      <c r="D14" s="11"/>
      <c r="E14" s="11"/>
      <c r="F14" s="11"/>
      <c r="G14" s="11"/>
      <c r="H14" s="11"/>
      <c r="I14" s="11"/>
      <c r="J14" s="11"/>
      <c r="K14" s="11"/>
      <c r="L14" s="11"/>
    </row>
    <row r="15">
      <c r="A15" s="13" t="str">
        <f>IFERROR(__xludf.DUMMYFUNCTION("""COMPUTED_VALUE"""),"Shiny Squirtle")</f>
        <v>Shiny Squirtle</v>
      </c>
      <c r="B15" s="11" t="str">
        <f>IFERROR(__xludf.DUMMYFUNCTION("""COMPUTED_VALUE"""),"water gem")</f>
        <v>water gem</v>
      </c>
      <c r="C15" s="11" t="str">
        <f>IFERROR(__xludf.DUMMYFUNCTION("""COMPUTED_VALUE"""),"cyan hull")</f>
        <v>cyan hull</v>
      </c>
      <c r="D15" s="11" t="str">
        <f>IFERROR(__xludf.DUMMYFUNCTION("""COMPUTED_VALUE"""),"water stone")</f>
        <v>water stone</v>
      </c>
      <c r="E15" s="11" t="str">
        <f>IFERROR(__xludf.DUMMYFUNCTION("""COMPUTED_VALUE"""),"simple water orb")</f>
        <v>simple water orb</v>
      </c>
      <c r="F15" s="11"/>
      <c r="G15" s="11"/>
      <c r="H15" s="11"/>
      <c r="I15" s="11"/>
      <c r="J15" s="11"/>
      <c r="K15" s="11"/>
      <c r="L15" s="11"/>
    </row>
    <row r="16">
      <c r="A16" s="13" t="str">
        <f>IFERROR(__xludf.DUMMYFUNCTION("""COMPUTED_VALUE"""),"Wartortle")</f>
        <v>Wartortle</v>
      </c>
      <c r="B16" s="11" t="str">
        <f>IFERROR(__xludf.DUMMYFUNCTION("""COMPUTED_VALUE"""),"water gem")</f>
        <v>water gem</v>
      </c>
      <c r="C16" s="11" t="str">
        <f>IFERROR(__xludf.DUMMYFUNCTION("""COMPUTED_VALUE"""),"water gem")</f>
        <v>water gem</v>
      </c>
      <c r="D16" s="11" t="str">
        <f>IFERROR(__xludf.DUMMYFUNCTION("""COMPUTED_VALUE"""),"wartortle ear")</f>
        <v>wartortle ear</v>
      </c>
      <c r="E16" s="11" t="str">
        <f>IFERROR(__xludf.DUMMYFUNCTION("""COMPUTED_VALUE"""),"water stone")</f>
        <v>water stone</v>
      </c>
      <c r="F16" s="11"/>
      <c r="G16" s="11"/>
      <c r="H16" s="11"/>
      <c r="I16" s="11"/>
      <c r="J16" s="11"/>
      <c r="K16" s="11"/>
      <c r="L16" s="11"/>
    </row>
    <row r="17">
      <c r="A17" s="13" t="str">
        <f>IFERROR(__xludf.DUMMYFUNCTION("""COMPUTED_VALUE"""),"Shiny Wartortle")</f>
        <v>Shiny Wartortle</v>
      </c>
      <c r="B17" s="11" t="str">
        <f>IFERROR(__xludf.DUMMYFUNCTION("""COMPUTED_VALUE"""),"water gem")</f>
        <v>water gem</v>
      </c>
      <c r="C17" s="11" t="str">
        <f>IFERROR(__xludf.DUMMYFUNCTION("""COMPUTED_VALUE"""),"water gem")</f>
        <v>water gem</v>
      </c>
      <c r="D17" s="11" t="str">
        <f>IFERROR(__xludf.DUMMYFUNCTION("""COMPUTED_VALUE"""),"cyan ear")</f>
        <v>cyan ear</v>
      </c>
      <c r="E17" s="11" t="str">
        <f>IFERROR(__xludf.DUMMYFUNCTION("""COMPUTED_VALUE"""),"water stone")</f>
        <v>water stone</v>
      </c>
      <c r="F17" s="11" t="str">
        <f>IFERROR(__xludf.DUMMYFUNCTION("""COMPUTED_VALUE"""),"arcane water orb")</f>
        <v>arcane water orb</v>
      </c>
      <c r="G17" s="11"/>
      <c r="H17" s="11"/>
      <c r="I17" s="11"/>
      <c r="J17" s="11"/>
      <c r="K17" s="11"/>
      <c r="L17" s="11"/>
    </row>
    <row r="18">
      <c r="A18" s="13" t="str">
        <f>IFERROR(__xludf.DUMMYFUNCTION("""COMPUTED_VALUE"""),"Blastoise")</f>
        <v>Blastoise</v>
      </c>
      <c r="B18" s="11" t="str">
        <f>IFERROR(__xludf.DUMMYFUNCTION("""COMPUTED_VALUE"""),"water gem")</f>
        <v>water gem</v>
      </c>
      <c r="C18" s="11" t="str">
        <f>IFERROR(__xludf.DUMMYFUNCTION("""COMPUTED_VALUE"""),"water cannon")</f>
        <v>water cannon</v>
      </c>
      <c r="D18" s="11" t="str">
        <f>IFERROR(__xludf.DUMMYFUNCTION("""COMPUTED_VALUE"""),"water stone")</f>
        <v>water stone</v>
      </c>
      <c r="E18" s="11"/>
      <c r="F18" s="11"/>
      <c r="G18" s="11"/>
      <c r="H18" s="11"/>
      <c r="I18" s="11"/>
      <c r="J18" s="11"/>
      <c r="K18" s="11"/>
      <c r="L18" s="11"/>
    </row>
    <row r="19">
      <c r="A19" s="13" t="str">
        <f>IFERROR(__xludf.DUMMYFUNCTION("""COMPUTED_VALUE"""),"Shiny Blastoise")</f>
        <v>Shiny Blastoise</v>
      </c>
      <c r="B19" s="11" t="str">
        <f>IFERROR(__xludf.DUMMYFUNCTION("""COMPUTED_VALUE"""),"water gem")</f>
        <v>water gem</v>
      </c>
      <c r="C19" s="11" t="str">
        <f>IFERROR(__xludf.DUMMYFUNCTION("""COMPUTED_VALUE"""),"giant water cannon")</f>
        <v>giant water cannon</v>
      </c>
      <c r="D19" s="11" t="str">
        <f>IFERROR(__xludf.DUMMYFUNCTION("""COMPUTED_VALUE"""),"water stone")</f>
        <v>water stone</v>
      </c>
      <c r="E19" s="11" t="str">
        <f>IFERROR(__xludf.DUMMYFUNCTION("""COMPUTED_VALUE"""),"mythic water orb")</f>
        <v>mythic water orb</v>
      </c>
      <c r="F19" s="11"/>
      <c r="G19" s="11"/>
      <c r="H19" s="11"/>
      <c r="I19" s="11"/>
      <c r="J19" s="11"/>
      <c r="K19" s="11"/>
      <c r="L19" s="11"/>
    </row>
    <row r="20">
      <c r="A20" s="13" t="str">
        <f>IFERROR(__xludf.DUMMYFUNCTION("""COMPUTED_VALUE"""),"Caterpie")</f>
        <v>Caterpie</v>
      </c>
      <c r="B20" s="11" t="str">
        <f>IFERROR(__xludf.DUMMYFUNCTION("""COMPUTED_VALUE"""),"bug gosme")</f>
        <v>bug gosme</v>
      </c>
      <c r="C20" s="11" t="str">
        <f>IFERROR(__xludf.DUMMYFUNCTION("""COMPUTED_VALUE"""),"caterpie antenna")</f>
        <v>caterpie antenna</v>
      </c>
      <c r="D20" s="11"/>
      <c r="E20" s="11"/>
      <c r="F20" s="11"/>
      <c r="G20" s="11"/>
      <c r="H20" s="11"/>
      <c r="I20" s="11"/>
      <c r="J20" s="11"/>
      <c r="K20" s="11"/>
      <c r="L20" s="11"/>
    </row>
    <row r="21">
      <c r="A21" s="13" t="str">
        <f>IFERROR(__xludf.DUMMYFUNCTION("""COMPUTED_VALUE"""),"Shiny Caterpie")</f>
        <v>Shiny Caterpie</v>
      </c>
      <c r="B21" s="11" t="str">
        <f>IFERROR(__xludf.DUMMYFUNCTION("""COMPUTED_VALUE"""),"bug gosme")</f>
        <v>bug gosme</v>
      </c>
      <c r="C21" s="11" t="str">
        <f>IFERROR(__xludf.DUMMYFUNCTION("""COMPUTED_VALUE"""),"sparkle antenna")</f>
        <v>sparkle antenna</v>
      </c>
      <c r="D21" s="11" t="str">
        <f>IFERROR(__xludf.DUMMYFUNCTION("""COMPUTED_VALUE"""),"simple bug orb")</f>
        <v>simple bug orb</v>
      </c>
      <c r="E21" s="11"/>
      <c r="F21" s="11"/>
      <c r="G21" s="11"/>
      <c r="H21" s="11"/>
      <c r="I21" s="11"/>
      <c r="J21" s="11"/>
      <c r="K21" s="11"/>
      <c r="L21" s="11"/>
    </row>
    <row r="22">
      <c r="A22" s="13" t="str">
        <f>IFERROR(__xludf.DUMMYFUNCTION("""COMPUTED_VALUE"""),"Metapod")</f>
        <v>Metapod</v>
      </c>
      <c r="B22" s="11" t="str">
        <f>IFERROR(__xludf.DUMMYFUNCTION("""COMPUTED_VALUE"""),"bug gosme")</f>
        <v>bug gosme</v>
      </c>
      <c r="C22" s="11" t="str">
        <f>IFERROR(__xludf.DUMMYFUNCTION("""COMPUTED_VALUE"""),"piece of cocoon")</f>
        <v>piece of cocoon</v>
      </c>
      <c r="D22" s="11" t="str">
        <f>IFERROR(__xludf.DUMMYFUNCTION("""COMPUTED_VALUE"""),"cocoon stone")</f>
        <v>cocoon stone</v>
      </c>
      <c r="E22" s="11"/>
      <c r="F22" s="11"/>
      <c r="G22" s="11"/>
      <c r="H22" s="11"/>
      <c r="I22" s="11"/>
      <c r="J22" s="11"/>
      <c r="K22" s="11"/>
      <c r="L22" s="11"/>
    </row>
    <row r="23">
      <c r="A23" s="13" t="str">
        <f>IFERROR(__xludf.DUMMYFUNCTION("""COMPUTED_VALUE"""),"Shiny Metapod")</f>
        <v>Shiny Metapod</v>
      </c>
      <c r="B23" s="11" t="str">
        <f>IFERROR(__xludf.DUMMYFUNCTION("""COMPUTED_VALUE"""),"bug gosme")</f>
        <v>bug gosme</v>
      </c>
      <c r="C23" s="11" t="str">
        <f>IFERROR(__xludf.DUMMYFUNCTION("""COMPUTED_VALUE"""),"red piece of cocoon")</f>
        <v>red piece of cocoon</v>
      </c>
      <c r="D23" s="11" t="str">
        <f>IFERROR(__xludf.DUMMYFUNCTION("""COMPUTED_VALUE"""),"cocoon stone")</f>
        <v>cocoon stone</v>
      </c>
      <c r="E23" s="11" t="str">
        <f>IFERROR(__xludf.DUMMYFUNCTION("""COMPUTED_VALUE"""),"simple bug orb")</f>
        <v>simple bug orb</v>
      </c>
      <c r="F23" s="11"/>
      <c r="G23" s="11"/>
      <c r="H23" s="11"/>
      <c r="I23" s="11"/>
      <c r="J23" s="11"/>
      <c r="K23" s="11"/>
      <c r="L23" s="11"/>
    </row>
    <row r="24">
      <c r="A24" s="13" t="str">
        <f>IFERROR(__xludf.DUMMYFUNCTION("""COMPUTED_VALUE"""),"Butterfree")</f>
        <v>Butterfree</v>
      </c>
      <c r="B24" s="11" t="str">
        <f>IFERROR(__xludf.DUMMYFUNCTION("""COMPUTED_VALUE"""),"bug gosme")</f>
        <v>bug gosme</v>
      </c>
      <c r="C24" s="11" t="str">
        <f>IFERROR(__xludf.DUMMYFUNCTION("""COMPUTED_VALUE"""),"straw")</f>
        <v>straw</v>
      </c>
      <c r="D24" s="11" t="str">
        <f>IFERROR(__xludf.DUMMYFUNCTION("""COMPUTED_VALUE"""),"butterfree wing")</f>
        <v>butterfree wing</v>
      </c>
      <c r="E24" s="11" t="str">
        <f>IFERROR(__xludf.DUMMYFUNCTION("""COMPUTED_VALUE"""),"cocoon stone")</f>
        <v>cocoon stone</v>
      </c>
      <c r="F24" s="11" t="str">
        <f>IFERROR(__xludf.DUMMYFUNCTION("""COMPUTED_VALUE"""),"feather stone")</f>
        <v>feather stone</v>
      </c>
      <c r="G24" s="11"/>
      <c r="H24" s="11"/>
      <c r="I24" s="11"/>
      <c r="J24" s="11"/>
      <c r="K24" s="11"/>
      <c r="L24" s="11"/>
    </row>
    <row r="25">
      <c r="A25" s="13" t="str">
        <f>IFERROR(__xludf.DUMMYFUNCTION("""COMPUTED_VALUE"""),"Shiny Butterfree")</f>
        <v>Shiny Butterfree</v>
      </c>
      <c r="B25" s="11" t="str">
        <f>IFERROR(__xludf.DUMMYFUNCTION("""COMPUTED_VALUE"""),"bug gosme")</f>
        <v>bug gosme</v>
      </c>
      <c r="C25" s="11" t="str">
        <f>IFERROR(__xludf.DUMMYFUNCTION("""COMPUTED_VALUE"""),"straw")</f>
        <v>straw</v>
      </c>
      <c r="D25" s="11" t="str">
        <f>IFERROR(__xludf.DUMMYFUNCTION("""COMPUTED_VALUE"""),"pink wing")</f>
        <v>pink wing</v>
      </c>
      <c r="E25" s="11" t="str">
        <f>IFERROR(__xludf.DUMMYFUNCTION("""COMPUTED_VALUE"""),"cocoon stone")</f>
        <v>cocoon stone</v>
      </c>
      <c r="F25" s="11" t="str">
        <f>IFERROR(__xludf.DUMMYFUNCTION("""COMPUTED_VALUE"""),"feather stone")</f>
        <v>feather stone</v>
      </c>
      <c r="G25" s="11" t="str">
        <f>IFERROR(__xludf.DUMMYFUNCTION("""COMPUTED_VALUE"""),"arcane bug orb")</f>
        <v>arcane bug orb</v>
      </c>
      <c r="H25" s="11"/>
      <c r="I25" s="11"/>
      <c r="J25" s="11"/>
      <c r="K25" s="11"/>
      <c r="L25" s="11"/>
    </row>
    <row r="26">
      <c r="A26" s="13" t="str">
        <f>IFERROR(__xludf.DUMMYFUNCTION("""COMPUTED_VALUE"""),"Weedle")</f>
        <v>Weedle</v>
      </c>
      <c r="B26" s="11" t="str">
        <f>IFERROR(__xludf.DUMMYFUNCTION("""COMPUTED_VALUE"""),"bug gosme")</f>
        <v>bug gosme</v>
      </c>
      <c r="C26" s="11" t="str">
        <f>IFERROR(__xludf.DUMMYFUNCTION("""COMPUTED_VALUE"""),"bottle of poison")</f>
        <v>bottle of poison</v>
      </c>
      <c r="D26" s="11" t="str">
        <f>IFERROR(__xludf.DUMMYFUNCTION("""COMPUTED_VALUE"""),"poison sting")</f>
        <v>poison sting</v>
      </c>
      <c r="E26" s="11"/>
      <c r="F26" s="11"/>
      <c r="G26" s="11"/>
      <c r="H26" s="11"/>
      <c r="I26" s="11"/>
      <c r="J26" s="11"/>
      <c r="K26" s="11"/>
      <c r="L26" s="11"/>
    </row>
    <row r="27">
      <c r="A27" s="13" t="str">
        <f>IFERROR(__xludf.DUMMYFUNCTION("""COMPUTED_VALUE"""),"Shiny Weedle")</f>
        <v>Shiny Weedle</v>
      </c>
      <c r="B27" s="11" t="str">
        <f>IFERROR(__xludf.DUMMYFUNCTION("""COMPUTED_VALUE"""),"bug gosme")</f>
        <v>bug gosme</v>
      </c>
      <c r="C27" s="11" t="str">
        <f>IFERROR(__xludf.DUMMYFUNCTION("""COMPUTED_VALUE"""),"bottle of poison")</f>
        <v>bottle of poison</v>
      </c>
      <c r="D27" s="11" t="str">
        <f>IFERROR(__xludf.DUMMYFUNCTION("""COMPUTED_VALUE"""),"yellow sting")</f>
        <v>yellow sting</v>
      </c>
      <c r="E27" s="11" t="str">
        <f>IFERROR(__xludf.DUMMYFUNCTION("""COMPUTED_VALUE"""),"simple bug orb")</f>
        <v>simple bug orb</v>
      </c>
      <c r="F27" s="11"/>
      <c r="G27" s="11"/>
      <c r="H27" s="11"/>
      <c r="I27" s="11"/>
      <c r="J27" s="11"/>
      <c r="K27" s="11"/>
      <c r="L27" s="11"/>
    </row>
    <row r="28">
      <c r="A28" s="13" t="str">
        <f>IFERROR(__xludf.DUMMYFUNCTION("""COMPUTED_VALUE"""),"Kakuna")</f>
        <v>Kakuna</v>
      </c>
      <c r="B28" s="11" t="str">
        <f>IFERROR(__xludf.DUMMYFUNCTION("""COMPUTED_VALUE"""),"bug gosme")</f>
        <v>bug gosme</v>
      </c>
      <c r="C28" s="11" t="str">
        <f>IFERROR(__xludf.DUMMYFUNCTION("""COMPUTED_VALUE"""),"bottle of poison")</f>
        <v>bottle of poison</v>
      </c>
      <c r="D28" s="11" t="str">
        <f>IFERROR(__xludf.DUMMYFUNCTION("""COMPUTED_VALUE"""),"yellow cocoon")</f>
        <v>yellow cocoon</v>
      </c>
      <c r="E28" s="11" t="str">
        <f>IFERROR(__xludf.DUMMYFUNCTION("""COMPUTED_VALUE"""),"cocoon stone")</f>
        <v>cocoon stone</v>
      </c>
      <c r="F28" s="11"/>
      <c r="G28" s="11"/>
      <c r="H28" s="11"/>
      <c r="I28" s="11"/>
      <c r="J28" s="11"/>
      <c r="K28" s="11"/>
      <c r="L28" s="11"/>
    </row>
    <row r="29">
      <c r="A29" s="13" t="str">
        <f>IFERROR(__xludf.DUMMYFUNCTION("""COMPUTED_VALUE"""),"Shiny Kakuna")</f>
        <v>Shiny Kakuna</v>
      </c>
      <c r="B29" s="11" t="str">
        <f>IFERROR(__xludf.DUMMYFUNCTION("""COMPUTED_VALUE"""),"bug gosme")</f>
        <v>bug gosme</v>
      </c>
      <c r="C29" s="11" t="str">
        <f>IFERROR(__xludf.DUMMYFUNCTION("""COMPUTED_VALUE"""),"bottle of poison")</f>
        <v>bottle of poison</v>
      </c>
      <c r="D29" s="11" t="str">
        <f>IFERROR(__xludf.DUMMYFUNCTION("""COMPUTED_VALUE"""),"red cocoon")</f>
        <v>red cocoon</v>
      </c>
      <c r="E29" s="11" t="str">
        <f>IFERROR(__xludf.DUMMYFUNCTION("""COMPUTED_VALUE"""),"cocoon stone")</f>
        <v>cocoon stone</v>
      </c>
      <c r="F29" s="11" t="str">
        <f>IFERROR(__xludf.DUMMYFUNCTION("""COMPUTED_VALUE"""),"venom stone")</f>
        <v>venom stone</v>
      </c>
      <c r="G29" s="11" t="str">
        <f>IFERROR(__xludf.DUMMYFUNCTION("""COMPUTED_VALUE"""),"simple bug orb")</f>
        <v>simple bug orb</v>
      </c>
      <c r="H29" s="11"/>
      <c r="I29" s="11"/>
      <c r="J29" s="11"/>
      <c r="K29" s="11"/>
      <c r="L29" s="11"/>
    </row>
    <row r="30">
      <c r="A30" s="13" t="str">
        <f>IFERROR(__xludf.DUMMYFUNCTION("""COMPUTED_VALUE"""),"Beedrill")</f>
        <v>Beedrill</v>
      </c>
      <c r="B30" s="11" t="str">
        <f>IFERROR(__xludf.DUMMYFUNCTION("""COMPUTED_VALUE"""),"bug gosme")</f>
        <v>bug gosme</v>
      </c>
      <c r="C30" s="11" t="str">
        <f>IFERROR(__xludf.DUMMYFUNCTION("""COMPUTED_VALUE"""),"bottle of poison")</f>
        <v>bottle of poison</v>
      </c>
      <c r="D30" s="11" t="str">
        <f>IFERROR(__xludf.DUMMYFUNCTION("""COMPUTED_VALUE"""),"bee sting")</f>
        <v>bee sting</v>
      </c>
      <c r="E30" s="11" t="str">
        <f>IFERROR(__xludf.DUMMYFUNCTION("""COMPUTED_VALUE"""),"cocoon stone")</f>
        <v>cocoon stone</v>
      </c>
      <c r="F30" s="11" t="str">
        <f>IFERROR(__xludf.DUMMYFUNCTION("""COMPUTED_VALUE"""),"venom stone")</f>
        <v>venom stone</v>
      </c>
      <c r="G30" s="11"/>
      <c r="H30" s="11"/>
      <c r="I30" s="11"/>
      <c r="J30" s="11"/>
      <c r="K30" s="11"/>
      <c r="L30" s="11"/>
    </row>
    <row r="31">
      <c r="A31" s="13" t="str">
        <f>IFERROR(__xludf.DUMMYFUNCTION("""COMPUTED_VALUE"""),"Shiny Beedrill")</f>
        <v>Shiny Beedrill</v>
      </c>
      <c r="B31" s="11" t="str">
        <f>IFERROR(__xludf.DUMMYFUNCTION("""COMPUTED_VALUE"""),"bug gosme")</f>
        <v>bug gosme</v>
      </c>
      <c r="C31" s="11" t="str">
        <f>IFERROR(__xludf.DUMMYFUNCTION("""COMPUTED_VALUE"""),"bottle of poison")</f>
        <v>bottle of poison</v>
      </c>
      <c r="D31" s="11" t="str">
        <f>IFERROR(__xludf.DUMMYFUNCTION("""COMPUTED_VALUE"""),"red bee sting")</f>
        <v>red bee sting</v>
      </c>
      <c r="E31" s="11" t="str">
        <f>IFERROR(__xludf.DUMMYFUNCTION("""COMPUTED_VALUE"""),"cocoon stone")</f>
        <v>cocoon stone</v>
      </c>
      <c r="F31" s="11" t="str">
        <f>IFERROR(__xludf.DUMMYFUNCTION("""COMPUTED_VALUE"""),"venom stone")</f>
        <v>venom stone</v>
      </c>
      <c r="G31" s="11" t="str">
        <f>IFERROR(__xludf.DUMMYFUNCTION("""COMPUTED_VALUE"""),"arcane bug orb")</f>
        <v>arcane bug orb</v>
      </c>
      <c r="H31" s="11"/>
      <c r="I31" s="11"/>
      <c r="J31" s="11"/>
      <c r="K31" s="11"/>
      <c r="L31" s="11"/>
    </row>
    <row r="32">
      <c r="A32" s="13" t="str">
        <f>IFERROR(__xludf.DUMMYFUNCTION("""COMPUTED_VALUE"""),"Pidgey")</f>
        <v>Pidgey</v>
      </c>
      <c r="B32" s="11" t="str">
        <f>IFERROR(__xludf.DUMMYFUNCTION("""COMPUTED_VALUE"""),"rubber ball")</f>
        <v>rubber ball</v>
      </c>
      <c r="C32" s="11" t="str">
        <f>IFERROR(__xludf.DUMMYFUNCTION("""COMPUTED_VALUE"""),"straw")</f>
        <v>straw</v>
      </c>
      <c r="D32" s="11" t="str">
        <f>IFERROR(__xludf.DUMMYFUNCTION("""COMPUTED_VALUE"""),"bird crest")</f>
        <v>bird crest</v>
      </c>
      <c r="E32" s="11"/>
      <c r="F32" s="11"/>
      <c r="G32" s="11"/>
      <c r="H32" s="11"/>
      <c r="I32" s="11"/>
      <c r="J32" s="11"/>
      <c r="K32" s="11"/>
      <c r="L32" s="11"/>
    </row>
    <row r="33">
      <c r="A33" s="13" t="str">
        <f>IFERROR(__xludf.DUMMYFUNCTION("""COMPUTED_VALUE"""),"Shiny Pidgey")</f>
        <v>Shiny Pidgey</v>
      </c>
      <c r="B33" s="11" t="str">
        <f>IFERROR(__xludf.DUMMYFUNCTION("""COMPUTED_VALUE"""),"rubber ball")</f>
        <v>rubber ball</v>
      </c>
      <c r="C33" s="11" t="str">
        <f>IFERROR(__xludf.DUMMYFUNCTION("""COMPUTED_VALUE"""),"straw")</f>
        <v>straw</v>
      </c>
      <c r="D33" s="11" t="str">
        <f>IFERROR(__xludf.DUMMYFUNCTION("""COMPUTED_VALUE"""),"yellow bird crest")</f>
        <v>yellow bird crest</v>
      </c>
      <c r="E33" s="11" t="str">
        <f>IFERROR(__xludf.DUMMYFUNCTION("""COMPUTED_VALUE"""),"simple flying orb")</f>
        <v>simple flying orb</v>
      </c>
      <c r="F33" s="11"/>
      <c r="G33" s="11"/>
      <c r="H33" s="11"/>
      <c r="I33" s="11"/>
      <c r="J33" s="11"/>
      <c r="K33" s="11"/>
      <c r="L33" s="11"/>
    </row>
    <row r="34">
      <c r="A34" s="13" t="str">
        <f>IFERROR(__xludf.DUMMYFUNCTION("""COMPUTED_VALUE"""),"Pidgeotto")</f>
        <v>Pidgeotto</v>
      </c>
      <c r="B34" s="11" t="str">
        <f>IFERROR(__xludf.DUMMYFUNCTION("""COMPUTED_VALUE"""),"rubber ball")</f>
        <v>rubber ball</v>
      </c>
      <c r="C34" s="11" t="str">
        <f>IFERROR(__xludf.DUMMYFUNCTION("""COMPUTED_VALUE"""),"straw")</f>
        <v>straw</v>
      </c>
      <c r="D34" s="11" t="str">
        <f>IFERROR(__xludf.DUMMYFUNCTION("""COMPUTED_VALUE"""),"bird tail")</f>
        <v>bird tail</v>
      </c>
      <c r="E34" s="11" t="str">
        <f>IFERROR(__xludf.DUMMYFUNCTION("""COMPUTED_VALUE"""),"heart stone")</f>
        <v>heart stone</v>
      </c>
      <c r="F34" s="11" t="str">
        <f>IFERROR(__xludf.DUMMYFUNCTION("""COMPUTED_VALUE"""),"feather stone")</f>
        <v>feather stone</v>
      </c>
      <c r="G34" s="11"/>
      <c r="H34" s="11"/>
      <c r="I34" s="11"/>
      <c r="J34" s="11"/>
      <c r="K34" s="11"/>
      <c r="L34" s="11"/>
    </row>
    <row r="35">
      <c r="A35" s="13" t="str">
        <f>IFERROR(__xludf.DUMMYFUNCTION("""COMPUTED_VALUE"""),"Shiny Pidgeotto")</f>
        <v>Shiny Pidgeotto</v>
      </c>
      <c r="B35" s="11" t="str">
        <f>IFERROR(__xludf.DUMMYFUNCTION("""COMPUTED_VALUE"""),"rubber ball")</f>
        <v>rubber ball</v>
      </c>
      <c r="C35" s="11" t="str">
        <f>IFERROR(__xludf.DUMMYFUNCTION("""COMPUTED_VALUE"""),"straw")</f>
        <v>straw</v>
      </c>
      <c r="D35" s="11" t="str">
        <f>IFERROR(__xludf.DUMMYFUNCTION("""COMPUTED_VALUE"""),"two-colored tail")</f>
        <v>two-colored tail</v>
      </c>
      <c r="E35" s="11" t="str">
        <f>IFERROR(__xludf.DUMMYFUNCTION("""COMPUTED_VALUE"""),"heart stone")</f>
        <v>heart stone</v>
      </c>
      <c r="F35" s="11" t="str">
        <f>IFERROR(__xludf.DUMMYFUNCTION("""COMPUTED_VALUE"""),"feather stone")</f>
        <v>feather stone</v>
      </c>
      <c r="G35" s="11" t="str">
        <f>IFERROR(__xludf.DUMMYFUNCTION("""COMPUTED_VALUE"""),"arcane flying orb")</f>
        <v>arcane flying orb</v>
      </c>
      <c r="H35" s="11"/>
      <c r="I35" s="11"/>
      <c r="J35" s="11"/>
      <c r="K35" s="11"/>
      <c r="L35" s="11"/>
    </row>
    <row r="36">
      <c r="A36" s="13" t="str">
        <f>IFERROR(__xludf.DUMMYFUNCTION("""COMPUTED_VALUE"""),"Pidgeot")</f>
        <v>Pidgeot</v>
      </c>
      <c r="B36" s="11" t="str">
        <f>IFERROR(__xludf.DUMMYFUNCTION("""COMPUTED_VALUE"""),"rubber ball")</f>
        <v>rubber ball</v>
      </c>
      <c r="C36" s="11" t="str">
        <f>IFERROR(__xludf.DUMMYFUNCTION("""COMPUTED_VALUE"""),"straw")</f>
        <v>straw</v>
      </c>
      <c r="D36" s="11" t="str">
        <f>IFERROR(__xludf.DUMMYFUNCTION("""COMPUTED_VALUE"""),"bird beak")</f>
        <v>bird beak</v>
      </c>
      <c r="E36" s="11" t="str">
        <f>IFERROR(__xludf.DUMMYFUNCTION("""COMPUTED_VALUE"""),"heart stone")</f>
        <v>heart stone</v>
      </c>
      <c r="F36" s="11" t="str">
        <f>IFERROR(__xludf.DUMMYFUNCTION("""COMPUTED_VALUE"""),"feather stone")</f>
        <v>feather stone</v>
      </c>
      <c r="G36" s="11"/>
      <c r="H36" s="11"/>
      <c r="I36" s="11"/>
      <c r="J36" s="11"/>
      <c r="K36" s="11"/>
      <c r="L36" s="11"/>
    </row>
    <row r="37">
      <c r="A37" s="13" t="str">
        <f>IFERROR(__xludf.DUMMYFUNCTION("""COMPUTED_VALUE"""),"Shiny Pidgeot")</f>
        <v>Shiny Pidgeot</v>
      </c>
      <c r="B37" s="11" t="str">
        <f>IFERROR(__xludf.DUMMYFUNCTION("""COMPUTED_VALUE"""),"rubber ball")</f>
        <v>rubber ball</v>
      </c>
      <c r="C37" s="11" t="str">
        <f>IFERROR(__xludf.DUMMYFUNCTION("""COMPUTED_VALUE"""),"straw")</f>
        <v>straw</v>
      </c>
      <c r="D37" s="11" t="str">
        <f>IFERROR(__xludf.DUMMYFUNCTION("""COMPUTED_VALUE"""),"two-colored crest")</f>
        <v>two-colored crest</v>
      </c>
      <c r="E37" s="11" t="str">
        <f>IFERROR(__xludf.DUMMYFUNCTION("""COMPUTED_VALUE"""),"heart stone")</f>
        <v>heart stone</v>
      </c>
      <c r="F37" s="11" t="str">
        <f>IFERROR(__xludf.DUMMYFUNCTION("""COMPUTED_VALUE"""),"feather stone")</f>
        <v>feather stone</v>
      </c>
      <c r="G37" s="11" t="str">
        <f>IFERROR(__xludf.DUMMYFUNCTION("""COMPUTED_VALUE"""),"mythic flying orb")</f>
        <v>mythic flying orb</v>
      </c>
      <c r="H37" s="11"/>
      <c r="I37" s="11"/>
      <c r="J37" s="11"/>
      <c r="K37" s="11"/>
      <c r="L37" s="11"/>
    </row>
    <row r="38">
      <c r="A38" s="13" t="str">
        <f>IFERROR(__xludf.DUMMYFUNCTION("""COMPUTED_VALUE"""),"Rattata")</f>
        <v>Rattata</v>
      </c>
      <c r="B38" s="11" t="str">
        <f>IFERROR(__xludf.DUMMYFUNCTION("""COMPUTED_VALUE"""),"rubber ball")</f>
        <v>rubber ball</v>
      </c>
      <c r="C38" s="11" t="str">
        <f>IFERROR(__xludf.DUMMYFUNCTION("""COMPUTED_VALUE"""),"mouse tail")</f>
        <v>mouse tail</v>
      </c>
      <c r="D38" s="11"/>
      <c r="E38" s="11"/>
      <c r="F38" s="11"/>
      <c r="G38" s="11"/>
      <c r="H38" s="11"/>
      <c r="I38" s="11"/>
      <c r="J38" s="11"/>
      <c r="K38" s="11"/>
      <c r="L38" s="11"/>
    </row>
    <row r="39">
      <c r="A39" s="13" t="str">
        <f>IFERROR(__xludf.DUMMYFUNCTION("""COMPUTED_VALUE"""),"Shiny Rattata")</f>
        <v>Shiny Rattata</v>
      </c>
      <c r="B39" s="11" t="str">
        <f>IFERROR(__xludf.DUMMYFUNCTION("""COMPUTED_VALUE"""),"rubber ball")</f>
        <v>rubber ball</v>
      </c>
      <c r="C39" s="11" t="str">
        <f>IFERROR(__xludf.DUMMYFUNCTION("""COMPUTED_VALUE"""),"blue Mouse Tail")</f>
        <v>blue Mouse Tail</v>
      </c>
      <c r="D39" s="11" t="str">
        <f>IFERROR(__xludf.DUMMYFUNCTION("""COMPUTED_VALUE"""),"simple normal orb")</f>
        <v>simple normal orb</v>
      </c>
      <c r="E39" s="11"/>
      <c r="F39" s="11"/>
      <c r="G39" s="11"/>
      <c r="H39" s="11"/>
      <c r="I39" s="11"/>
      <c r="J39" s="11"/>
      <c r="K39" s="11"/>
      <c r="L39" s="11"/>
    </row>
    <row r="40">
      <c r="A40" s="13" t="str">
        <f>IFERROR(__xludf.DUMMYFUNCTION("""COMPUTED_VALUE"""),"Raticate")</f>
        <v>Raticate</v>
      </c>
      <c r="B40" s="11" t="str">
        <f>IFERROR(__xludf.DUMMYFUNCTION("""COMPUTED_VALUE"""),"rubber ball")</f>
        <v>rubber ball</v>
      </c>
      <c r="C40" s="11" t="str">
        <f>IFERROR(__xludf.DUMMYFUNCTION("""COMPUTED_VALUE"""),"rat ear")</f>
        <v>rat ear</v>
      </c>
      <c r="D40" s="11" t="str">
        <f>IFERROR(__xludf.DUMMYFUNCTION("""COMPUTED_VALUE"""),"heart stone")</f>
        <v>heart stone</v>
      </c>
      <c r="E40" s="11"/>
      <c r="F40" s="11"/>
      <c r="G40" s="11"/>
      <c r="H40" s="11"/>
      <c r="I40" s="11"/>
      <c r="J40" s="11"/>
      <c r="K40" s="11"/>
      <c r="L40" s="11"/>
    </row>
    <row r="41">
      <c r="A41" s="13" t="str">
        <f>IFERROR(__xludf.DUMMYFUNCTION("""COMPUTED_VALUE"""),"Shiny Raticate")</f>
        <v>Shiny Raticate</v>
      </c>
      <c r="B41" s="11" t="str">
        <f>IFERROR(__xludf.DUMMYFUNCTION("""COMPUTED_VALUE"""),"rubber ball")</f>
        <v>rubber ball</v>
      </c>
      <c r="C41" s="11" t="str">
        <f>IFERROR(__xludf.DUMMYFUNCTION("""COMPUTED_VALUE"""),"blue rat ear")</f>
        <v>blue rat ear</v>
      </c>
      <c r="D41" s="11" t="str">
        <f>IFERROR(__xludf.DUMMYFUNCTION("""COMPUTED_VALUE"""),"heart stone")</f>
        <v>heart stone</v>
      </c>
      <c r="E41" s="11" t="str">
        <f>IFERROR(__xludf.DUMMYFUNCTION("""COMPUTED_VALUE"""),"arcane normal orb")</f>
        <v>arcane normal orb</v>
      </c>
      <c r="F41" s="11"/>
      <c r="G41" s="11"/>
      <c r="H41" s="11"/>
      <c r="I41" s="11"/>
      <c r="J41" s="11"/>
      <c r="K41" s="11"/>
      <c r="L41" s="11"/>
    </row>
    <row r="42">
      <c r="A42" s="13" t="str">
        <f>IFERROR(__xludf.DUMMYFUNCTION("""COMPUTED_VALUE"""),"Spearow")</f>
        <v>Spearow</v>
      </c>
      <c r="B42" s="11" t="str">
        <f>IFERROR(__xludf.DUMMYFUNCTION("""COMPUTED_VALUE"""),"rubber ball")</f>
        <v>rubber ball</v>
      </c>
      <c r="C42" s="11" t="str">
        <f>IFERROR(__xludf.DUMMYFUNCTION("""COMPUTED_VALUE"""),"straw")</f>
        <v>straw</v>
      </c>
      <c r="D42" s="11" t="str">
        <f>IFERROR(__xludf.DUMMYFUNCTION("""COMPUTED_VALUE"""),"bird wing")</f>
        <v>bird wing</v>
      </c>
      <c r="E42" s="11"/>
      <c r="F42" s="11"/>
      <c r="G42" s="11"/>
      <c r="H42" s="11"/>
      <c r="I42" s="11"/>
      <c r="J42" s="11"/>
      <c r="K42" s="11"/>
      <c r="L42" s="11"/>
    </row>
    <row r="43">
      <c r="A43" s="13" t="str">
        <f>IFERROR(__xludf.DUMMYFUNCTION("""COMPUTED_VALUE"""),"Shiny Spearow")</f>
        <v>Shiny Spearow</v>
      </c>
      <c r="B43" s="11" t="str">
        <f>IFERROR(__xludf.DUMMYFUNCTION("""COMPUTED_VALUE"""),"rubber ball")</f>
        <v>rubber ball</v>
      </c>
      <c r="C43" s="11" t="str">
        <f>IFERROR(__xludf.DUMMYFUNCTION("""COMPUTED_VALUE"""),"straw")</f>
        <v>straw</v>
      </c>
      <c r="D43" s="11" t="str">
        <f>IFERROR(__xludf.DUMMYFUNCTION("""COMPUTED_VALUE"""),"carmine wing")</f>
        <v>carmine wing</v>
      </c>
      <c r="E43" s="11" t="str">
        <f>IFERROR(__xludf.DUMMYFUNCTION("""COMPUTED_VALUE"""),"simple flying orb")</f>
        <v>simple flying orb</v>
      </c>
      <c r="F43" s="11"/>
      <c r="G43" s="11"/>
      <c r="H43" s="11"/>
      <c r="I43" s="11"/>
      <c r="J43" s="11"/>
      <c r="K43" s="11"/>
      <c r="L43" s="11"/>
    </row>
    <row r="44">
      <c r="A44" s="13" t="str">
        <f>IFERROR(__xludf.DUMMYFUNCTION("""COMPUTED_VALUE"""),"Fearow")</f>
        <v>Fearow</v>
      </c>
      <c r="B44" s="11" t="str">
        <f>IFERROR(__xludf.DUMMYFUNCTION("""COMPUTED_VALUE"""),"rubber ball")</f>
        <v>rubber ball</v>
      </c>
      <c r="C44" s="11" t="str">
        <f>IFERROR(__xludf.DUMMYFUNCTION("""COMPUTED_VALUE"""),"straw")</f>
        <v>straw</v>
      </c>
      <c r="D44" s="11" t="str">
        <f>IFERROR(__xludf.DUMMYFUNCTION("""COMPUTED_VALUE"""),"pointy beak")</f>
        <v>pointy beak</v>
      </c>
      <c r="E44" s="11" t="str">
        <f>IFERROR(__xludf.DUMMYFUNCTION("""COMPUTED_VALUE"""),"heart stone")</f>
        <v>heart stone</v>
      </c>
      <c r="F44" s="11" t="str">
        <f>IFERROR(__xludf.DUMMYFUNCTION("""COMPUTED_VALUE"""),"feather stone")</f>
        <v>feather stone</v>
      </c>
      <c r="G44" s="11"/>
      <c r="H44" s="11"/>
      <c r="I44" s="11"/>
      <c r="J44" s="11"/>
      <c r="K44" s="11"/>
      <c r="L44" s="11"/>
    </row>
    <row r="45">
      <c r="A45" s="13" t="str">
        <f>IFERROR(__xludf.DUMMYFUNCTION("""COMPUTED_VALUE"""),"Shiny Fearow")</f>
        <v>Shiny Fearow</v>
      </c>
      <c r="B45" s="11" t="str">
        <f>IFERROR(__xludf.DUMMYFUNCTION("""COMPUTED_VALUE"""),"rubber ball")</f>
        <v>rubber ball</v>
      </c>
      <c r="C45" s="11" t="str">
        <f>IFERROR(__xludf.DUMMYFUNCTION("""COMPUTED_VALUE"""),"straw")</f>
        <v>straw</v>
      </c>
      <c r="D45" s="11" t="str">
        <f>IFERROR(__xludf.DUMMYFUNCTION("""COMPUTED_VALUE"""),"red pointy beak")</f>
        <v>red pointy beak</v>
      </c>
      <c r="E45" s="11" t="str">
        <f>IFERROR(__xludf.DUMMYFUNCTION("""COMPUTED_VALUE"""),"heart stone")</f>
        <v>heart stone</v>
      </c>
      <c r="F45" s="11" t="str">
        <f>IFERROR(__xludf.DUMMYFUNCTION("""COMPUTED_VALUE"""),"feather stone")</f>
        <v>feather stone</v>
      </c>
      <c r="G45" s="11" t="str">
        <f>IFERROR(__xludf.DUMMYFUNCTION("""COMPUTED_VALUE"""),"arcane flying orb")</f>
        <v>arcane flying orb</v>
      </c>
      <c r="H45" s="11"/>
      <c r="I45" s="11"/>
      <c r="J45" s="11"/>
      <c r="K45" s="11"/>
      <c r="L45" s="11"/>
    </row>
    <row r="46">
      <c r="A46" s="13" t="str">
        <f>IFERROR(__xludf.DUMMYFUNCTION("""COMPUTED_VALUE"""),"Ekans")</f>
        <v>Ekans</v>
      </c>
      <c r="B46" s="11" t="str">
        <f>IFERROR(__xludf.DUMMYFUNCTION("""COMPUTED_VALUE"""),"bottle of poison")</f>
        <v>bottle of poison</v>
      </c>
      <c r="C46" s="11" t="str">
        <f>IFERROR(__xludf.DUMMYFUNCTION("""COMPUTED_VALUE"""),"snake tail")</f>
        <v>snake tail</v>
      </c>
      <c r="D46" s="11"/>
      <c r="E46" s="11"/>
      <c r="F46" s="11"/>
      <c r="G46" s="11"/>
      <c r="H46" s="11"/>
      <c r="I46" s="11"/>
      <c r="J46" s="11"/>
      <c r="K46" s="11"/>
      <c r="L46" s="11"/>
    </row>
    <row r="47">
      <c r="A47" s="13" t="str">
        <f>IFERROR(__xludf.DUMMYFUNCTION("""COMPUTED_VALUE"""),"Shiny Ekans")</f>
        <v>Shiny Ekans</v>
      </c>
      <c r="B47" s="11" t="str">
        <f>IFERROR(__xludf.DUMMYFUNCTION("""COMPUTED_VALUE"""),"bottle of poison")</f>
        <v>bottle of poison</v>
      </c>
      <c r="C47" s="11" t="str">
        <f>IFERROR(__xludf.DUMMYFUNCTION("""COMPUTED_VALUE"""),"gray snake tail")</f>
        <v>gray snake tail</v>
      </c>
      <c r="D47" s="11" t="str">
        <f>IFERROR(__xludf.DUMMYFUNCTION("""COMPUTED_VALUE"""),"venom stone")</f>
        <v>venom stone</v>
      </c>
      <c r="E47" s="11" t="str">
        <f>IFERROR(__xludf.DUMMYFUNCTION("""COMPUTED_VALUE"""),"simple poison orb")</f>
        <v>simple poison orb</v>
      </c>
      <c r="F47" s="11"/>
      <c r="G47" s="11"/>
      <c r="H47" s="11"/>
      <c r="I47" s="11"/>
      <c r="J47" s="11"/>
      <c r="K47" s="11"/>
      <c r="L47" s="11"/>
    </row>
    <row r="48">
      <c r="A48" s="13" t="str">
        <f>IFERROR(__xludf.DUMMYFUNCTION("""COMPUTED_VALUE"""),"Arbok")</f>
        <v>Arbok</v>
      </c>
      <c r="B48" s="11" t="str">
        <f>IFERROR(__xludf.DUMMYFUNCTION("""COMPUTED_VALUE"""),"bottle of poison")</f>
        <v>bottle of poison</v>
      </c>
      <c r="C48" s="11" t="str">
        <f>IFERROR(__xludf.DUMMYFUNCTION("""COMPUTED_VALUE"""),"cobra tail")</f>
        <v>cobra tail</v>
      </c>
      <c r="D48" s="11" t="str">
        <f>IFERROR(__xludf.DUMMYFUNCTION("""COMPUTED_VALUE"""),"venom stone")</f>
        <v>venom stone</v>
      </c>
      <c r="E48" s="11"/>
      <c r="F48" s="11"/>
      <c r="G48" s="11"/>
      <c r="H48" s="11"/>
      <c r="I48" s="11"/>
      <c r="J48" s="11"/>
      <c r="K48" s="11"/>
      <c r="L48" s="11"/>
    </row>
    <row r="49">
      <c r="A49" s="13" t="str">
        <f>IFERROR(__xludf.DUMMYFUNCTION("""COMPUTED_VALUE"""),"Shiny Arbok")</f>
        <v>Shiny Arbok</v>
      </c>
      <c r="B49" s="11" t="str">
        <f>IFERROR(__xludf.DUMMYFUNCTION("""COMPUTED_VALUE"""),"bottle of poison")</f>
        <v>bottle of poison</v>
      </c>
      <c r="C49" s="11" t="str">
        <f>IFERROR(__xludf.DUMMYFUNCTION("""COMPUTED_VALUE"""),"black cobra tail")</f>
        <v>black cobra tail</v>
      </c>
      <c r="D49" s="11" t="str">
        <f>IFERROR(__xludf.DUMMYFUNCTION("""COMPUTED_VALUE"""),"venom stone")</f>
        <v>venom stone</v>
      </c>
      <c r="E49" s="11" t="str">
        <f>IFERROR(__xludf.DUMMYFUNCTION("""COMPUTED_VALUE"""),"arcane poison orb")</f>
        <v>arcane poison orb</v>
      </c>
      <c r="F49" s="11"/>
      <c r="G49" s="11"/>
      <c r="H49" s="11"/>
      <c r="I49" s="11"/>
      <c r="J49" s="11"/>
      <c r="K49" s="11"/>
      <c r="L49" s="11"/>
    </row>
    <row r="50">
      <c r="A50" s="13" t="str">
        <f>IFERROR(__xludf.DUMMYFUNCTION("""COMPUTED_VALUE"""),"Pikachu")</f>
        <v>Pikachu</v>
      </c>
      <c r="B50" s="11" t="str">
        <f>IFERROR(__xludf.DUMMYFUNCTION("""COMPUTED_VALUE"""),"screw")</f>
        <v>screw</v>
      </c>
      <c r="C50" s="11" t="str">
        <f>IFERROR(__xludf.DUMMYFUNCTION("""COMPUTED_VALUE"""),"electric rat tail")</f>
        <v>electric rat tail</v>
      </c>
      <c r="D50" s="11" t="str">
        <f>IFERROR(__xludf.DUMMYFUNCTION("""COMPUTED_VALUE"""),"thunder stone")</f>
        <v>thunder stone</v>
      </c>
      <c r="E50" s="11"/>
      <c r="F50" s="11"/>
      <c r="G50" s="11"/>
      <c r="H50" s="11"/>
      <c r="I50" s="11"/>
      <c r="J50" s="11"/>
      <c r="K50" s="11"/>
      <c r="L50" s="11"/>
    </row>
    <row r="51">
      <c r="A51" s="13" t="str">
        <f>IFERROR(__xludf.DUMMYFUNCTION("""COMPUTED_VALUE"""),"Shiny Pikachu")</f>
        <v>Shiny Pikachu</v>
      </c>
      <c r="B51" s="11" t="str">
        <f>IFERROR(__xludf.DUMMYFUNCTION("""COMPUTED_VALUE"""),"screw")</f>
        <v>screw</v>
      </c>
      <c r="C51" s="11" t="str">
        <f>IFERROR(__xludf.DUMMYFUNCTION("""COMPUTED_VALUE"""),"electric rat tail")</f>
        <v>electric rat tail</v>
      </c>
      <c r="D51" s="11" t="str">
        <f>IFERROR(__xludf.DUMMYFUNCTION("""COMPUTED_VALUE"""),"thunder stone")</f>
        <v>thunder stone</v>
      </c>
      <c r="E51" s="11" t="str">
        <f>IFERROR(__xludf.DUMMYFUNCTION("""COMPUTED_VALUE"""),"arcane electric orb")</f>
        <v>arcane electric orb</v>
      </c>
      <c r="F51" s="11"/>
      <c r="G51" s="11"/>
      <c r="H51" s="11"/>
      <c r="I51" s="11"/>
      <c r="J51" s="11"/>
      <c r="K51" s="11"/>
      <c r="L51" s="11"/>
    </row>
    <row r="52">
      <c r="A52" s="13" t="str">
        <f>IFERROR(__xludf.DUMMYFUNCTION("""COMPUTED_VALUE"""),"Raichu")</f>
        <v>Raichu</v>
      </c>
      <c r="B52" s="11" t="str">
        <f>IFERROR(__xludf.DUMMYFUNCTION("""COMPUTED_VALUE"""),"screw")</f>
        <v>screw</v>
      </c>
      <c r="C52" s="11" t="str">
        <f>IFERROR(__xludf.DUMMYFUNCTION("""COMPUTED_VALUE"""),"electric ear")</f>
        <v>electric ear</v>
      </c>
      <c r="D52" s="11" t="str">
        <f>IFERROR(__xludf.DUMMYFUNCTION("""COMPUTED_VALUE"""),"thunder stone")</f>
        <v>thunder stone</v>
      </c>
      <c r="E52" s="11"/>
      <c r="F52" s="11"/>
      <c r="G52" s="11"/>
      <c r="H52" s="11"/>
      <c r="I52" s="11"/>
      <c r="J52" s="11"/>
      <c r="K52" s="11"/>
      <c r="L52" s="11"/>
    </row>
    <row r="53">
      <c r="A53" s="13" t="str">
        <f>IFERROR(__xludf.DUMMYFUNCTION("""COMPUTED_VALUE"""),"Shiny Raichu")</f>
        <v>Shiny Raichu</v>
      </c>
      <c r="B53" s="11" t="str">
        <f>IFERROR(__xludf.DUMMYFUNCTION("""COMPUTED_VALUE"""),"screw")</f>
        <v>screw</v>
      </c>
      <c r="C53" s="11" t="str">
        <f>IFERROR(__xludf.DUMMYFUNCTION("""COMPUTED_VALUE"""),"electric white ear")</f>
        <v>electric white ear</v>
      </c>
      <c r="D53" s="11" t="str">
        <f>IFERROR(__xludf.DUMMYFUNCTION("""COMPUTED_VALUE"""),"thunder stone")</f>
        <v>thunder stone</v>
      </c>
      <c r="E53" s="11" t="str">
        <f>IFERROR(__xludf.DUMMYFUNCTION("""COMPUTED_VALUE"""),"mythic electric orb")</f>
        <v>mythic electric orb</v>
      </c>
      <c r="F53" s="11"/>
      <c r="G53" s="11"/>
      <c r="H53" s="11"/>
      <c r="I53" s="11"/>
      <c r="J53" s="11"/>
      <c r="K53" s="11"/>
      <c r="L53" s="11"/>
    </row>
    <row r="54">
      <c r="A54" s="13" t="str">
        <f>IFERROR(__xludf.DUMMYFUNCTION("""COMPUTED_VALUE"""),"Sandshrew")</f>
        <v>Sandshrew</v>
      </c>
      <c r="B54" s="11" t="str">
        <f>IFERROR(__xludf.DUMMYFUNCTION("""COMPUTED_VALUE"""),"earth ball")</f>
        <v>earth ball</v>
      </c>
      <c r="C54" s="11" t="str">
        <f>IFERROR(__xludf.DUMMYFUNCTION("""COMPUTED_VALUE"""),"armadillo tail")</f>
        <v>armadillo tail</v>
      </c>
      <c r="D54" s="11"/>
      <c r="E54" s="11"/>
      <c r="F54" s="11"/>
      <c r="G54" s="11"/>
      <c r="H54" s="11"/>
      <c r="I54" s="11"/>
      <c r="J54" s="11"/>
      <c r="K54" s="11"/>
      <c r="L54" s="11"/>
    </row>
    <row r="55">
      <c r="A55" s="13" t="str">
        <f>IFERROR(__xludf.DUMMYFUNCTION("""COMPUTED_VALUE"""),"Shiny Sandshrew")</f>
        <v>Shiny Sandshrew</v>
      </c>
      <c r="B55" s="11" t="str">
        <f>IFERROR(__xludf.DUMMYFUNCTION("""COMPUTED_VALUE"""),"earth ball")</f>
        <v>earth ball</v>
      </c>
      <c r="C55" s="11" t="str">
        <f>IFERROR(__xludf.DUMMYFUNCTION("""COMPUTED_VALUE"""),"armadillo red tail")</f>
        <v>armadillo red tail</v>
      </c>
      <c r="D55" s="11" t="str">
        <f>IFERROR(__xludf.DUMMYFUNCTION("""COMPUTED_VALUE"""),"earth stone")</f>
        <v>earth stone</v>
      </c>
      <c r="E55" s="11" t="str">
        <f>IFERROR(__xludf.DUMMYFUNCTION("""COMPUTED_VALUE"""),"simple ground orb")</f>
        <v>simple ground orb</v>
      </c>
      <c r="F55" s="11"/>
      <c r="G55" s="11"/>
      <c r="H55" s="11"/>
      <c r="I55" s="11"/>
      <c r="J55" s="11"/>
      <c r="K55" s="11"/>
      <c r="L55" s="11"/>
    </row>
    <row r="56">
      <c r="A56" s="13" t="str">
        <f>IFERROR(__xludf.DUMMYFUNCTION("""COMPUTED_VALUE"""),"Sandslash")</f>
        <v>Sandslash</v>
      </c>
      <c r="B56" s="11" t="str">
        <f>IFERROR(__xludf.DUMMYFUNCTION("""COMPUTED_VALUE"""),"earth ball")</f>
        <v>earth ball</v>
      </c>
      <c r="C56" s="11" t="str">
        <f>IFERROR(__xludf.DUMMYFUNCTION("""COMPUTED_VALUE"""),"armadillo claw")</f>
        <v>armadillo claw</v>
      </c>
      <c r="D56" s="11" t="str">
        <f>IFERROR(__xludf.DUMMYFUNCTION("""COMPUTED_VALUE"""),"earth stone")</f>
        <v>earth stone</v>
      </c>
      <c r="E56" s="11"/>
      <c r="F56" s="11"/>
      <c r="G56" s="11"/>
      <c r="H56" s="11"/>
      <c r="I56" s="11"/>
      <c r="J56" s="11"/>
      <c r="K56" s="11"/>
      <c r="L56" s="11"/>
    </row>
    <row r="57">
      <c r="A57" s="13" t="str">
        <f>IFERROR(__xludf.DUMMYFUNCTION("""COMPUTED_VALUE"""),"Shiny Sandslash")</f>
        <v>Shiny Sandslash</v>
      </c>
      <c r="B57" s="11" t="str">
        <f>IFERROR(__xludf.DUMMYFUNCTION("""COMPUTED_VALUE"""),"earth ball")</f>
        <v>earth ball</v>
      </c>
      <c r="C57" s="11" t="str">
        <f>IFERROR(__xludf.DUMMYFUNCTION("""COMPUTED_VALUE"""),"shining claws")</f>
        <v>shining claws</v>
      </c>
      <c r="D57" s="11" t="str">
        <f>IFERROR(__xludf.DUMMYFUNCTION("""COMPUTED_VALUE"""),"earth stone")</f>
        <v>earth stone</v>
      </c>
      <c r="E57" s="11" t="str">
        <f>IFERROR(__xludf.DUMMYFUNCTION("""COMPUTED_VALUE"""),"arcane ground orb")</f>
        <v>arcane ground orb</v>
      </c>
      <c r="F57" s="11"/>
      <c r="G57" s="11"/>
      <c r="H57" s="11"/>
      <c r="I57" s="11"/>
      <c r="J57" s="11"/>
      <c r="K57" s="11"/>
      <c r="L57" s="11"/>
    </row>
    <row r="58">
      <c r="A58" s="13" t="str">
        <f>IFERROR(__xludf.DUMMYFUNCTION("""COMPUTED_VALUE"""),"Nidoran female")</f>
        <v>Nidoran female</v>
      </c>
      <c r="B58" s="11" t="str">
        <f>IFERROR(__xludf.DUMMYFUNCTION("""COMPUTED_VALUE"""),"bottle of poison")</f>
        <v>bottle of poison</v>
      </c>
      <c r="C58" s="11" t="str">
        <f>IFERROR(__xludf.DUMMYFUNCTION("""COMPUTED_VALUE"""),"small blue ear")</f>
        <v>small blue ear</v>
      </c>
      <c r="D58" s="11"/>
      <c r="E58" s="11"/>
      <c r="F58" s="11"/>
      <c r="G58" s="11"/>
      <c r="H58" s="11"/>
      <c r="I58" s="11"/>
      <c r="J58" s="11"/>
      <c r="K58" s="11"/>
      <c r="L58" s="11"/>
    </row>
    <row r="59">
      <c r="A59" s="13" t="str">
        <f>IFERROR(__xludf.DUMMYFUNCTION("""COMPUTED_VALUE"""),"Shiny Nidoran female")</f>
        <v>Shiny Nidoran female</v>
      </c>
      <c r="B59" s="11" t="str">
        <f>IFERROR(__xludf.DUMMYFUNCTION("""COMPUTED_VALUE"""),"bottle of poison")</f>
        <v>bottle of poison</v>
      </c>
      <c r="C59" s="11" t="str">
        <f>IFERROR(__xludf.DUMMYFUNCTION("""COMPUTED_VALUE"""),"small green ear")</f>
        <v>small green ear</v>
      </c>
      <c r="D59" s="11" t="str">
        <f>IFERROR(__xludf.DUMMYFUNCTION("""COMPUTED_VALUE"""),"simple poison orb")</f>
        <v>simple poison orb</v>
      </c>
      <c r="E59" s="11"/>
      <c r="F59" s="11"/>
      <c r="G59" s="11"/>
      <c r="H59" s="11"/>
      <c r="I59" s="11"/>
      <c r="J59" s="11"/>
      <c r="K59" s="11"/>
      <c r="L59" s="11"/>
    </row>
    <row r="60">
      <c r="A60" s="13" t="str">
        <f>IFERROR(__xludf.DUMMYFUNCTION("""COMPUTED_VALUE"""),"Nidorina")</f>
        <v>Nidorina</v>
      </c>
      <c r="B60" s="11" t="str">
        <f>IFERROR(__xludf.DUMMYFUNCTION("""COMPUTED_VALUE"""),"bottle of poison")</f>
        <v>bottle of poison</v>
      </c>
      <c r="C60" s="11" t="str">
        <f>IFERROR(__xludf.DUMMYFUNCTION("""COMPUTED_VALUE"""),"blue nido ear")</f>
        <v>blue nido ear</v>
      </c>
      <c r="D60" s="11" t="str">
        <f>IFERROR(__xludf.DUMMYFUNCTION("""COMPUTED_VALUE"""),"venom stone")</f>
        <v>venom stone</v>
      </c>
      <c r="E60" s="11"/>
      <c r="F60" s="11"/>
      <c r="G60" s="11"/>
      <c r="H60" s="11"/>
      <c r="I60" s="11"/>
      <c r="J60" s="11"/>
      <c r="K60" s="11"/>
      <c r="L60" s="11"/>
    </row>
    <row r="61">
      <c r="A61" s="13" t="str">
        <f>IFERROR(__xludf.DUMMYFUNCTION("""COMPUTED_VALUE"""),"Shiny Nidorina")</f>
        <v>Shiny Nidorina</v>
      </c>
      <c r="B61" s="11" t="str">
        <f>IFERROR(__xludf.DUMMYFUNCTION("""COMPUTED_VALUE"""),"bottle of poison")</f>
        <v>bottle of poison</v>
      </c>
      <c r="C61" s="11" t="str">
        <f>IFERROR(__xludf.DUMMYFUNCTION("""COMPUTED_VALUE"""),"green nido ear")</f>
        <v>green nido ear</v>
      </c>
      <c r="D61" s="11" t="str">
        <f>IFERROR(__xludf.DUMMYFUNCTION("""COMPUTED_VALUE"""),"venom stone")</f>
        <v>venom stone</v>
      </c>
      <c r="E61" s="11" t="str">
        <f>IFERROR(__xludf.DUMMYFUNCTION("""COMPUTED_VALUE"""),"arcane poison orb")</f>
        <v>arcane poison orb</v>
      </c>
      <c r="F61" s="11"/>
      <c r="G61" s="11"/>
      <c r="H61" s="11"/>
      <c r="I61" s="11"/>
      <c r="J61" s="11"/>
      <c r="K61" s="11"/>
      <c r="L61" s="11"/>
    </row>
    <row r="62">
      <c r="A62" s="13" t="str">
        <f>IFERROR(__xludf.DUMMYFUNCTION("""COMPUTED_VALUE"""),"Nidoqueen")</f>
        <v>Nidoqueen</v>
      </c>
      <c r="B62" s="11" t="str">
        <f>IFERROR(__xludf.DUMMYFUNCTION("""COMPUTED_VALUE"""),"bottle of poison")</f>
        <v>bottle of poison</v>
      </c>
      <c r="C62" s="11" t="str">
        <f>IFERROR(__xludf.DUMMYFUNCTION("""COMPUTED_VALUE"""),"earth ball")</f>
        <v>earth ball</v>
      </c>
      <c r="D62" s="11" t="str">
        <f>IFERROR(__xludf.DUMMYFUNCTION("""COMPUTED_VALUE"""),"queen ear")</f>
        <v>queen ear</v>
      </c>
      <c r="E62" s="11" t="str">
        <f>IFERROR(__xludf.DUMMYFUNCTION("""COMPUTED_VALUE"""),"venom stone")</f>
        <v>venom stone</v>
      </c>
      <c r="F62" s="11" t="str">
        <f>IFERROR(__xludf.DUMMYFUNCTION("""COMPUTED_VALUE"""),"earth stone")</f>
        <v>earth stone</v>
      </c>
      <c r="G62" s="11"/>
      <c r="H62" s="11"/>
      <c r="I62" s="11"/>
      <c r="J62" s="11"/>
      <c r="K62" s="11"/>
      <c r="L62" s="11"/>
    </row>
    <row r="63">
      <c r="A63" s="13" t="str">
        <f>IFERROR(__xludf.DUMMYFUNCTION("""COMPUTED_VALUE"""),"Shiny Nidoqueen")</f>
        <v>Shiny Nidoqueen</v>
      </c>
      <c r="B63" s="11" t="str">
        <f>IFERROR(__xludf.DUMMYFUNCTION("""COMPUTED_VALUE"""),"bottle of poison")</f>
        <v>bottle of poison</v>
      </c>
      <c r="C63" s="11" t="str">
        <f>IFERROR(__xludf.DUMMYFUNCTION("""COMPUTED_VALUE"""),"earth ball")</f>
        <v>earth ball</v>
      </c>
      <c r="D63" s="11" t="str">
        <f>IFERROR(__xludf.DUMMYFUNCTION("""COMPUTED_VALUE"""),"green queen ear")</f>
        <v>green queen ear</v>
      </c>
      <c r="E63" s="11" t="str">
        <f>IFERROR(__xludf.DUMMYFUNCTION("""COMPUTED_VALUE"""),"venom stone")</f>
        <v>venom stone</v>
      </c>
      <c r="F63" s="11" t="str">
        <f>IFERROR(__xludf.DUMMYFUNCTION("""COMPUTED_VALUE"""),"earth stone")</f>
        <v>earth stone</v>
      </c>
      <c r="G63" s="11" t="str">
        <f>IFERROR(__xludf.DUMMYFUNCTION("""COMPUTED_VALUE"""),"mythic poison orb")</f>
        <v>mythic poison orb</v>
      </c>
      <c r="H63" s="11"/>
      <c r="I63" s="11"/>
      <c r="J63" s="11"/>
      <c r="K63" s="11"/>
      <c r="L63" s="11"/>
    </row>
    <row r="64">
      <c r="A64" s="13" t="str">
        <f>IFERROR(__xludf.DUMMYFUNCTION("""COMPUTED_VALUE"""),"Nidoran Male")</f>
        <v>Nidoran Male</v>
      </c>
      <c r="B64" s="11" t="str">
        <f>IFERROR(__xludf.DUMMYFUNCTION("""COMPUTED_VALUE"""),"bottle of poison")</f>
        <v>bottle of poison</v>
      </c>
      <c r="C64" s="11" t="str">
        <f>IFERROR(__xludf.DUMMYFUNCTION("""COMPUTED_VALUE"""),"small purple ear")</f>
        <v>small purple ear</v>
      </c>
      <c r="D64" s="11"/>
      <c r="E64" s="11"/>
      <c r="F64" s="11"/>
      <c r="G64" s="11"/>
      <c r="H64" s="11"/>
      <c r="I64" s="11"/>
      <c r="J64" s="11"/>
      <c r="K64" s="11"/>
      <c r="L64" s="11"/>
    </row>
    <row r="65">
      <c r="A65" s="13" t="str">
        <f>IFERROR(__xludf.DUMMYFUNCTION("""COMPUTED_VALUE"""),"Shiny Nidoran Male")</f>
        <v>Shiny Nidoran Male</v>
      </c>
      <c r="B65" s="11" t="str">
        <f>IFERROR(__xludf.DUMMYFUNCTION("""COMPUTED_VALUE"""),"bottle of poison")</f>
        <v>bottle of poison</v>
      </c>
      <c r="C65" s="11" t="str">
        <f>IFERROR(__xludf.DUMMYFUNCTION("""COMPUTED_VALUE"""),"small blue ear")</f>
        <v>small blue ear</v>
      </c>
      <c r="D65" s="11" t="str">
        <f>IFERROR(__xludf.DUMMYFUNCTION("""COMPUTED_VALUE"""),"simple poison orb")</f>
        <v>simple poison orb</v>
      </c>
      <c r="E65" s="11"/>
      <c r="F65" s="11"/>
      <c r="G65" s="11"/>
      <c r="H65" s="11"/>
      <c r="I65" s="11"/>
      <c r="J65" s="11"/>
      <c r="K65" s="11"/>
      <c r="L65" s="11"/>
    </row>
    <row r="66">
      <c r="A66" s="13" t="str">
        <f>IFERROR(__xludf.DUMMYFUNCTION("""COMPUTED_VALUE"""),"Nidorino")</f>
        <v>Nidorino</v>
      </c>
      <c r="B66" s="11" t="str">
        <f>IFERROR(__xludf.DUMMYFUNCTION("""COMPUTED_VALUE"""),"bottle of poison")</f>
        <v>bottle of poison</v>
      </c>
      <c r="C66" s="11" t="str">
        <f>IFERROR(__xludf.DUMMYFUNCTION("""COMPUTED_VALUE"""),"purple nido ear")</f>
        <v>purple nido ear</v>
      </c>
      <c r="D66" s="11" t="str">
        <f>IFERROR(__xludf.DUMMYFUNCTION("""COMPUTED_VALUE"""),"venom stone")</f>
        <v>venom stone</v>
      </c>
      <c r="E66" s="11"/>
      <c r="F66" s="11"/>
      <c r="G66" s="11"/>
      <c r="H66" s="11"/>
      <c r="I66" s="11"/>
      <c r="J66" s="11"/>
      <c r="K66" s="11"/>
      <c r="L66" s="11"/>
    </row>
    <row r="67">
      <c r="A67" s="13" t="str">
        <f>IFERROR(__xludf.DUMMYFUNCTION("""COMPUTED_VALUE"""),"Shiny Nidorino")</f>
        <v>Shiny Nidorino</v>
      </c>
      <c r="B67" s="11" t="str">
        <f>IFERROR(__xludf.DUMMYFUNCTION("""COMPUTED_VALUE"""),"bottle of poison")</f>
        <v>bottle of poison</v>
      </c>
      <c r="C67" s="11" t="str">
        <f>IFERROR(__xludf.DUMMYFUNCTION("""COMPUTED_VALUE"""),"blue nido ear ear")</f>
        <v>blue nido ear ear</v>
      </c>
      <c r="D67" s="11" t="str">
        <f>IFERROR(__xludf.DUMMYFUNCTION("""COMPUTED_VALUE"""),"venom stone")</f>
        <v>venom stone</v>
      </c>
      <c r="E67" s="11" t="str">
        <f>IFERROR(__xludf.DUMMYFUNCTION("""COMPUTED_VALUE"""),"arcane poison orb")</f>
        <v>arcane poison orb</v>
      </c>
      <c r="F67" s="11"/>
      <c r="G67" s="11"/>
      <c r="H67" s="11"/>
      <c r="I67" s="11"/>
      <c r="J67" s="11"/>
      <c r="K67" s="11"/>
      <c r="L67" s="11"/>
    </row>
    <row r="68">
      <c r="A68" s="13" t="str">
        <f>IFERROR(__xludf.DUMMYFUNCTION("""COMPUTED_VALUE"""),"Nidoking")</f>
        <v>Nidoking</v>
      </c>
      <c r="B68" s="11" t="str">
        <f>IFERROR(__xludf.DUMMYFUNCTION("""COMPUTED_VALUE"""),"bottle of poison")</f>
        <v>bottle of poison</v>
      </c>
      <c r="C68" s="11" t="str">
        <f>IFERROR(__xludf.DUMMYFUNCTION("""COMPUTED_VALUE"""),"earth ball")</f>
        <v>earth ball</v>
      </c>
      <c r="D68" s="11" t="str">
        <f>IFERROR(__xludf.DUMMYFUNCTION("""COMPUTED_VALUE"""),"king ear")</f>
        <v>king ear</v>
      </c>
      <c r="E68" s="11" t="str">
        <f>IFERROR(__xludf.DUMMYFUNCTION("""COMPUTED_VALUE"""),"venom stone")</f>
        <v>venom stone</v>
      </c>
      <c r="F68" s="11" t="str">
        <f>IFERROR(__xludf.DUMMYFUNCTION("""COMPUTED_VALUE"""),"earth stone")</f>
        <v>earth stone</v>
      </c>
      <c r="G68" s="11"/>
      <c r="H68" s="11"/>
      <c r="I68" s="11"/>
      <c r="J68" s="11"/>
      <c r="K68" s="11"/>
      <c r="L68" s="11"/>
    </row>
    <row r="69">
      <c r="A69" s="13" t="str">
        <f>IFERROR(__xludf.DUMMYFUNCTION("""COMPUTED_VALUE"""),"Shiny Nidoking")</f>
        <v>Shiny Nidoking</v>
      </c>
      <c r="B69" s="11" t="str">
        <f>IFERROR(__xludf.DUMMYFUNCTION("""COMPUTED_VALUE"""),"bottle of poison")</f>
        <v>bottle of poison</v>
      </c>
      <c r="C69" s="11" t="str">
        <f>IFERROR(__xludf.DUMMYFUNCTION("""COMPUTED_VALUE"""),"earth ball")</f>
        <v>earth ball</v>
      </c>
      <c r="D69" s="11" t="str">
        <f>IFERROR(__xludf.DUMMYFUNCTION("""COMPUTED_VALUE"""),"blue king ear")</f>
        <v>blue king ear</v>
      </c>
      <c r="E69" s="11" t="str">
        <f>IFERROR(__xludf.DUMMYFUNCTION("""COMPUTED_VALUE"""),"venom stone")</f>
        <v>venom stone</v>
      </c>
      <c r="F69" s="11" t="str">
        <f>IFERROR(__xludf.DUMMYFUNCTION("""COMPUTED_VALUE"""),"earth stone")</f>
        <v>earth stone</v>
      </c>
      <c r="G69" s="11" t="str">
        <f>IFERROR(__xludf.DUMMYFUNCTION("""COMPUTED_VALUE"""),"mythic poison orb")</f>
        <v>mythic poison orb</v>
      </c>
      <c r="H69" s="11"/>
      <c r="I69" s="11"/>
      <c r="J69" s="11"/>
      <c r="K69" s="11"/>
      <c r="L69" s="11"/>
    </row>
    <row r="70">
      <c r="A70" s="13" t="str">
        <f>IFERROR(__xludf.DUMMYFUNCTION("""COMPUTED_VALUE"""),"Clefairy")</f>
        <v>Clefairy</v>
      </c>
      <c r="B70" s="11" t="str">
        <f>IFERROR(__xludf.DUMMYFUNCTION("""COMPUTED_VALUE"""),"fairy essence")</f>
        <v>fairy essence</v>
      </c>
      <c r="C70" s="11" t="str">
        <f>IFERROR(__xludf.DUMMYFUNCTION("""COMPUTED_VALUE"""),"moon topknot")</f>
        <v>moon topknot</v>
      </c>
      <c r="D70" s="11" t="str">
        <f>IFERROR(__xludf.DUMMYFUNCTION("""COMPUTED_VALUE"""),"fairy stone")</f>
        <v>fairy stone</v>
      </c>
      <c r="E70" s="11"/>
      <c r="F70" s="11"/>
      <c r="G70" s="11"/>
      <c r="H70" s="11"/>
      <c r="I70" s="11"/>
      <c r="J70" s="11"/>
      <c r="K70" s="11"/>
      <c r="L70" s="11"/>
    </row>
    <row r="71">
      <c r="A71" s="13" t="str">
        <f>IFERROR(__xludf.DUMMYFUNCTION("""COMPUTED_VALUE"""),"Shiny Clefairy")</f>
        <v>Shiny Clefairy</v>
      </c>
      <c r="B71" s="11" t="str">
        <f>IFERROR(__xludf.DUMMYFUNCTION("""COMPUTED_VALUE"""),"fairy essence")</f>
        <v>fairy essence</v>
      </c>
      <c r="C71" s="11" t="str">
        <f>IFERROR(__xludf.DUMMYFUNCTION("""COMPUTED_VALUE"""),"purple moon topknot")</f>
        <v>purple moon topknot</v>
      </c>
      <c r="D71" s="11" t="str">
        <f>IFERROR(__xludf.DUMMYFUNCTION("""COMPUTED_VALUE"""),"fairy stone")</f>
        <v>fairy stone</v>
      </c>
      <c r="E71" s="11" t="str">
        <f>IFERROR(__xludf.DUMMYFUNCTION("""COMPUTED_VALUE"""),"simple fairy orb")</f>
        <v>simple fairy orb</v>
      </c>
      <c r="F71" s="11"/>
      <c r="G71" s="11"/>
      <c r="H71" s="11"/>
      <c r="I71" s="11"/>
      <c r="J71" s="11"/>
      <c r="K71" s="11"/>
      <c r="L71" s="11"/>
    </row>
    <row r="72">
      <c r="A72" s="13" t="str">
        <f>IFERROR(__xludf.DUMMYFUNCTION("""COMPUTED_VALUE"""),"Clefable")</f>
        <v>Clefable</v>
      </c>
      <c r="B72" s="11" t="str">
        <f>IFERROR(__xludf.DUMMYFUNCTION("""COMPUTED_VALUE"""),"fairy essence")</f>
        <v>fairy essence</v>
      </c>
      <c r="C72" s="11" t="str">
        <f>IFERROR(__xludf.DUMMYFUNCTION("""COMPUTED_VALUE"""),"pink wings")</f>
        <v>pink wings</v>
      </c>
      <c r="D72" s="11" t="str">
        <f>IFERROR(__xludf.DUMMYFUNCTION("""COMPUTED_VALUE"""),"fairy stone")</f>
        <v>fairy stone</v>
      </c>
      <c r="E72" s="11"/>
      <c r="F72" s="11"/>
      <c r="G72" s="11"/>
      <c r="H72" s="11"/>
      <c r="I72" s="11"/>
      <c r="J72" s="11"/>
      <c r="K72" s="11"/>
      <c r="L72" s="11"/>
    </row>
    <row r="73">
      <c r="A73" s="13" t="str">
        <f>IFERROR(__xludf.DUMMYFUNCTION("""COMPUTED_VALUE"""),"Shiny Clefable")</f>
        <v>Shiny Clefable</v>
      </c>
      <c r="B73" s="11" t="str">
        <f>IFERROR(__xludf.DUMMYFUNCTION("""COMPUTED_VALUE"""),"fairy essence")</f>
        <v>fairy essence</v>
      </c>
      <c r="C73" s="11" t="str">
        <f>IFERROR(__xludf.DUMMYFUNCTION("""COMPUTED_VALUE"""),"blue wings")</f>
        <v>blue wings</v>
      </c>
      <c r="D73" s="11" t="str">
        <f>IFERROR(__xludf.DUMMYFUNCTION("""COMPUTED_VALUE"""),"fairy stone")</f>
        <v>fairy stone</v>
      </c>
      <c r="E73" s="11" t="str">
        <f>IFERROR(__xludf.DUMMYFUNCTION("""COMPUTED_VALUE"""),"arcane fairy orb")</f>
        <v>arcane fairy orb</v>
      </c>
      <c r="F73" s="11"/>
      <c r="G73" s="11"/>
      <c r="H73" s="11"/>
      <c r="I73" s="11"/>
      <c r="J73" s="11"/>
      <c r="K73" s="11"/>
      <c r="L73" s="11"/>
    </row>
    <row r="74">
      <c r="A74" s="13" t="str">
        <f>IFERROR(__xludf.DUMMYFUNCTION("""COMPUTED_VALUE"""),"Vulpix")</f>
        <v>Vulpix</v>
      </c>
      <c r="B74" s="11" t="str">
        <f>IFERROR(__xludf.DUMMYFUNCTION("""COMPUTED_VALUE"""),"essence of fire")</f>
        <v>essence of fire</v>
      </c>
      <c r="C74" s="11" t="str">
        <f>IFERROR(__xludf.DUMMYFUNCTION("""COMPUTED_VALUE"""),"canine tail")</f>
        <v>canine tail</v>
      </c>
      <c r="D74" s="11"/>
      <c r="E74" s="11"/>
      <c r="F74" s="11"/>
      <c r="G74" s="11"/>
      <c r="H74" s="11"/>
      <c r="I74" s="11"/>
      <c r="J74" s="11"/>
      <c r="K74" s="11"/>
      <c r="L74" s="11"/>
    </row>
    <row r="75">
      <c r="A75" s="13" t="str">
        <f>IFERROR(__xludf.DUMMYFUNCTION("""COMPUTED_VALUE"""),"Shiny Vulpix")</f>
        <v>Shiny Vulpix</v>
      </c>
      <c r="B75" s="11" t="str">
        <f>IFERROR(__xludf.DUMMYFUNCTION("""COMPUTED_VALUE"""),"essence of fire")</f>
        <v>essence of fire</v>
      </c>
      <c r="C75" s="11" t="str">
        <f>IFERROR(__xludf.DUMMYFUNCTION("""COMPUTED_VALUE"""),"blue canine tail")</f>
        <v>blue canine tail</v>
      </c>
      <c r="D75" s="11" t="str">
        <f>IFERROR(__xludf.DUMMYFUNCTION("""COMPUTED_VALUE"""),"fire stone")</f>
        <v>fire stone</v>
      </c>
      <c r="E75" s="11" t="str">
        <f>IFERROR(__xludf.DUMMYFUNCTION("""COMPUTED_VALUE"""),"simple fire orb")</f>
        <v>simple fire orb</v>
      </c>
      <c r="F75" s="11"/>
      <c r="G75" s="11"/>
      <c r="H75" s="11"/>
      <c r="I75" s="11"/>
      <c r="J75" s="11"/>
      <c r="K75" s="11"/>
      <c r="L75" s="11"/>
    </row>
    <row r="76">
      <c r="A76" s="13" t="str">
        <f>IFERROR(__xludf.DUMMYFUNCTION("""COMPUTED_VALUE"""),"Ninetales")</f>
        <v>Ninetales</v>
      </c>
      <c r="B76" s="11" t="str">
        <f>IFERROR(__xludf.DUMMYFUNCTION("""COMPUTED_VALUE"""),"essence of fire")</f>
        <v>essence of fire</v>
      </c>
      <c r="C76" s="11" t="str">
        <f>IFERROR(__xludf.DUMMYFUNCTION("""COMPUTED_VALUE"""),"fox tail")</f>
        <v>fox tail</v>
      </c>
      <c r="D76" s="11" t="str">
        <f>IFERROR(__xludf.DUMMYFUNCTION("""COMPUTED_VALUE"""),"fire stone")</f>
        <v>fire stone</v>
      </c>
      <c r="E76" s="11"/>
      <c r="F76" s="11"/>
      <c r="G76" s="11"/>
      <c r="H76" s="11"/>
      <c r="I76" s="11"/>
      <c r="J76" s="11"/>
      <c r="K76" s="11"/>
      <c r="L76" s="11"/>
    </row>
    <row r="77">
      <c r="A77" s="13" t="str">
        <f>IFERROR(__xludf.DUMMYFUNCTION("""COMPUTED_VALUE"""),"Shiny Ninetales")</f>
        <v>Shiny Ninetales</v>
      </c>
      <c r="B77" s="11" t="str">
        <f>IFERROR(__xludf.DUMMYFUNCTION("""COMPUTED_VALUE"""),"essence of fire")</f>
        <v>essence of fire</v>
      </c>
      <c r="C77" s="11" t="str">
        <f>IFERROR(__xludf.DUMMYFUNCTION("""COMPUTED_VALUE"""),"blue fox tail")</f>
        <v>blue fox tail</v>
      </c>
      <c r="D77" s="11" t="str">
        <f>IFERROR(__xludf.DUMMYFUNCTION("""COMPUTED_VALUE"""),"fire stone")</f>
        <v>fire stone</v>
      </c>
      <c r="E77" s="11" t="str">
        <f>IFERROR(__xludf.DUMMYFUNCTION("""COMPUTED_VALUE"""),"mythic fire orb")</f>
        <v>mythic fire orb</v>
      </c>
      <c r="F77" s="11"/>
      <c r="G77" s="11"/>
      <c r="H77" s="11"/>
      <c r="I77" s="11"/>
      <c r="J77" s="11"/>
      <c r="K77" s="11"/>
      <c r="L77" s="11"/>
    </row>
    <row r="78">
      <c r="A78" s="13" t="str">
        <f>IFERROR(__xludf.DUMMYFUNCTION("""COMPUTED_VALUE"""),"Jigglypuff")</f>
        <v>Jigglypuff</v>
      </c>
      <c r="B78" s="11" t="str">
        <f>IFERROR(__xludf.DUMMYFUNCTION("""COMPUTED_VALUE"""),"rubber ball")</f>
        <v>rubber ball</v>
      </c>
      <c r="C78" s="11" t="str">
        <f>IFERROR(__xludf.DUMMYFUNCTION("""COMPUTED_VALUE"""),"fairy essence")</f>
        <v>fairy essence</v>
      </c>
      <c r="D78" s="11" t="str">
        <f>IFERROR(__xludf.DUMMYFUNCTION("""COMPUTED_VALUE"""),"microphone")</f>
        <v>microphone</v>
      </c>
      <c r="E78" s="11" t="str">
        <f>IFERROR(__xludf.DUMMYFUNCTION("""COMPUTED_VALUE"""),"fairy stone")</f>
        <v>fairy stone</v>
      </c>
      <c r="F78" s="11"/>
      <c r="G78" s="11"/>
      <c r="H78" s="11"/>
      <c r="I78" s="11"/>
      <c r="J78" s="11"/>
      <c r="K78" s="11"/>
      <c r="L78" s="11"/>
    </row>
    <row r="79">
      <c r="A79" s="13" t="str">
        <f>IFERROR(__xludf.DUMMYFUNCTION("""COMPUTED_VALUE"""),"Shiny Jigglypuff")</f>
        <v>Shiny Jigglypuff</v>
      </c>
      <c r="B79" s="11" t="str">
        <f>IFERROR(__xludf.DUMMYFUNCTION("""COMPUTED_VALUE"""),"rubber ball")</f>
        <v>rubber ball</v>
      </c>
      <c r="C79" s="11" t="str">
        <f>IFERROR(__xludf.DUMMYFUNCTION("""COMPUTED_VALUE"""),"fairy essence")</f>
        <v>fairy essence</v>
      </c>
      <c r="D79" s="11" t="str">
        <f>IFERROR(__xludf.DUMMYFUNCTION("""COMPUTED_VALUE"""),"loud microphone")</f>
        <v>loud microphone</v>
      </c>
      <c r="E79" s="11" t="str">
        <f>IFERROR(__xludf.DUMMYFUNCTION("""COMPUTED_VALUE"""),"fairy stone")</f>
        <v>fairy stone</v>
      </c>
      <c r="F79" s="11" t="str">
        <f>IFERROR(__xludf.DUMMYFUNCTION("""COMPUTED_VALUE"""),"simple fairy orb")</f>
        <v>simple fairy orb</v>
      </c>
      <c r="G79" s="11"/>
      <c r="H79" s="11"/>
      <c r="I79" s="11"/>
      <c r="J79" s="11"/>
      <c r="K79" s="11"/>
      <c r="L79" s="11"/>
    </row>
    <row r="80">
      <c r="A80" s="13" t="str">
        <f>IFERROR(__xludf.DUMMYFUNCTION("""COMPUTED_VALUE"""),"Wigglytuff")</f>
        <v>Wigglytuff</v>
      </c>
      <c r="B80" s="11" t="str">
        <f>IFERROR(__xludf.DUMMYFUNCTION("""COMPUTED_VALUE"""),"rubber ball")</f>
        <v>rubber ball</v>
      </c>
      <c r="C80" s="11" t="str">
        <f>IFERROR(__xludf.DUMMYFUNCTION("""COMPUTED_VALUE"""),"fairy essence")</f>
        <v>fairy essence</v>
      </c>
      <c r="D80" s="11" t="str">
        <f>IFERROR(__xludf.DUMMYFUNCTION("""COMPUTED_VALUE"""),"wigglytuff ear")</f>
        <v>wigglytuff ear</v>
      </c>
      <c r="E80" s="11" t="str">
        <f>IFERROR(__xludf.DUMMYFUNCTION("""COMPUTED_VALUE"""),"fairy stone")</f>
        <v>fairy stone</v>
      </c>
      <c r="F80" s="11"/>
      <c r="G80" s="11"/>
      <c r="H80" s="11"/>
      <c r="I80" s="11"/>
      <c r="J80" s="11"/>
      <c r="K80" s="11"/>
      <c r="L80" s="11"/>
    </row>
    <row r="81">
      <c r="A81" s="13" t="str">
        <f>IFERROR(__xludf.DUMMYFUNCTION("""COMPUTED_VALUE"""),"Shiny Wigglytuff")</f>
        <v>Shiny Wigglytuff</v>
      </c>
      <c r="B81" s="11" t="str">
        <f>IFERROR(__xludf.DUMMYFUNCTION("""COMPUTED_VALUE"""),"rubber ball")</f>
        <v>rubber ball</v>
      </c>
      <c r="C81" s="11" t="str">
        <f>IFERROR(__xludf.DUMMYFUNCTION("""COMPUTED_VALUE"""),"fairy essence")</f>
        <v>fairy essence</v>
      </c>
      <c r="D81" s="11" t="str">
        <f>IFERROR(__xludf.DUMMYFUNCTION("""COMPUTED_VALUE"""),"big cute ear")</f>
        <v>big cute ear</v>
      </c>
      <c r="E81" s="11" t="str">
        <f>IFERROR(__xludf.DUMMYFUNCTION("""COMPUTED_VALUE"""),"fairy stone")</f>
        <v>fairy stone</v>
      </c>
      <c r="F81" s="11" t="str">
        <f>IFERROR(__xludf.DUMMYFUNCTION("""COMPUTED_VALUE"""),"arcane fairy orb")</f>
        <v>arcane fairy orb</v>
      </c>
      <c r="G81" s="11"/>
      <c r="H81" s="11"/>
      <c r="I81" s="11"/>
      <c r="J81" s="11"/>
      <c r="K81" s="11"/>
      <c r="L81" s="11"/>
    </row>
    <row r="82">
      <c r="A82" s="13" t="str">
        <f>IFERROR(__xludf.DUMMYFUNCTION("""COMPUTED_VALUE"""),"Zubat")</f>
        <v>Zubat</v>
      </c>
      <c r="B82" s="11" t="str">
        <f>IFERROR(__xludf.DUMMYFUNCTION("""COMPUTED_VALUE"""),"bottle of poison")</f>
        <v>bottle of poison</v>
      </c>
      <c r="C82" s="11" t="str">
        <f>IFERROR(__xludf.DUMMYFUNCTION("""COMPUTED_VALUE"""),"straw")</f>
        <v>straw</v>
      </c>
      <c r="D82" s="11" t="str">
        <f>IFERROR(__xludf.DUMMYFUNCTION("""COMPUTED_VALUE"""),"bat wing")</f>
        <v>bat wing</v>
      </c>
      <c r="E82" s="11"/>
      <c r="F82" s="11"/>
      <c r="G82" s="11"/>
      <c r="H82" s="11"/>
      <c r="I82" s="11"/>
      <c r="J82" s="11"/>
      <c r="K82" s="11"/>
      <c r="L82" s="11"/>
    </row>
    <row r="83">
      <c r="A83" s="13" t="str">
        <f>IFERROR(__xludf.DUMMYFUNCTION("""COMPUTED_VALUE"""),"Shiny Zubat")</f>
        <v>Shiny Zubat</v>
      </c>
      <c r="B83" s="11" t="str">
        <f>IFERROR(__xludf.DUMMYFUNCTION("""COMPUTED_VALUE"""),"bottle of poison")</f>
        <v>bottle of poison</v>
      </c>
      <c r="C83" s="11" t="str">
        <f>IFERROR(__xludf.DUMMYFUNCTION("""COMPUTED_VALUE"""),"straw")</f>
        <v>straw</v>
      </c>
      <c r="D83" s="11" t="str">
        <f>IFERROR(__xludf.DUMMYFUNCTION("""COMPUTED_VALUE"""),"green bat wing")</f>
        <v>green bat wing</v>
      </c>
      <c r="E83" s="11" t="str">
        <f>IFERROR(__xludf.DUMMYFUNCTION("""COMPUTED_VALUE"""),"venom stone")</f>
        <v>venom stone</v>
      </c>
      <c r="F83" s="11" t="str">
        <f>IFERROR(__xludf.DUMMYFUNCTION("""COMPUTED_VALUE"""),"feather stone")</f>
        <v>feather stone</v>
      </c>
      <c r="G83" s="11" t="str">
        <f>IFERROR(__xludf.DUMMYFUNCTION("""COMPUTED_VALUE"""),"simple poison orb")</f>
        <v>simple poison orb</v>
      </c>
      <c r="H83" s="11"/>
      <c r="I83" s="11"/>
      <c r="J83" s="11"/>
      <c r="K83" s="11"/>
      <c r="L83" s="11"/>
    </row>
    <row r="84">
      <c r="A84" s="13" t="str">
        <f>IFERROR(__xludf.DUMMYFUNCTION("""COMPUTED_VALUE"""),"Golbat")</f>
        <v>Golbat</v>
      </c>
      <c r="B84" s="11" t="str">
        <f>IFERROR(__xludf.DUMMYFUNCTION("""COMPUTED_VALUE"""),"bottle of poison")</f>
        <v>bottle of poison</v>
      </c>
      <c r="C84" s="11" t="str">
        <f>IFERROR(__xludf.DUMMYFUNCTION("""COMPUTED_VALUE"""),"straw")</f>
        <v>straw</v>
      </c>
      <c r="D84" s="11" t="str">
        <f>IFERROR(__xludf.DUMMYFUNCTION("""COMPUTED_VALUE"""),"vampire wing")</f>
        <v>vampire wing</v>
      </c>
      <c r="E84" s="11" t="str">
        <f>IFERROR(__xludf.DUMMYFUNCTION("""COMPUTED_VALUE"""),"venom stone")</f>
        <v>venom stone</v>
      </c>
      <c r="F84" s="11" t="str">
        <f>IFERROR(__xludf.DUMMYFUNCTION("""COMPUTED_VALUE"""),"feather stone")</f>
        <v>feather stone</v>
      </c>
      <c r="G84" s="11"/>
      <c r="H84" s="11"/>
      <c r="I84" s="11"/>
      <c r="J84" s="11"/>
      <c r="K84" s="11"/>
      <c r="L84" s="11"/>
    </row>
    <row r="85">
      <c r="A85" s="13" t="str">
        <f>IFERROR(__xludf.DUMMYFUNCTION("""COMPUTED_VALUE"""),"Shiny Golbat")</f>
        <v>Shiny Golbat</v>
      </c>
      <c r="B85" s="11" t="str">
        <f>IFERROR(__xludf.DUMMYFUNCTION("""COMPUTED_VALUE"""),"bottle of poison")</f>
        <v>bottle of poison</v>
      </c>
      <c r="C85" s="11" t="str">
        <f>IFERROR(__xludf.DUMMYFUNCTION("""COMPUTED_VALUE"""),"straw")</f>
        <v>straw</v>
      </c>
      <c r="D85" s="11" t="str">
        <f>IFERROR(__xludf.DUMMYFUNCTION("""COMPUTED_VALUE"""),"green vampire wing")</f>
        <v>green vampire wing</v>
      </c>
      <c r="E85" s="11" t="str">
        <f>IFERROR(__xludf.DUMMYFUNCTION("""COMPUTED_VALUE"""),"venom stone")</f>
        <v>venom stone</v>
      </c>
      <c r="F85" s="11" t="str">
        <f>IFERROR(__xludf.DUMMYFUNCTION("""COMPUTED_VALUE"""),"feather stone")</f>
        <v>feather stone</v>
      </c>
      <c r="G85" s="11" t="str">
        <f>IFERROR(__xludf.DUMMYFUNCTION("""COMPUTED_VALUE"""),"arcane poison orb")</f>
        <v>arcane poison orb</v>
      </c>
      <c r="H85" s="11"/>
      <c r="I85" s="11"/>
      <c r="J85" s="11"/>
      <c r="K85" s="11"/>
      <c r="L85" s="11"/>
    </row>
    <row r="86">
      <c r="A86" s="13" t="str">
        <f>IFERROR(__xludf.DUMMYFUNCTION("""COMPUTED_VALUE"""),"Oddish")</f>
        <v>Oddish</v>
      </c>
      <c r="B86" s="11" t="str">
        <f>IFERROR(__xludf.DUMMYFUNCTION("""COMPUTED_VALUE"""),"seed")</f>
        <v>seed</v>
      </c>
      <c r="C86" s="11" t="str">
        <f>IFERROR(__xludf.DUMMYFUNCTION("""COMPUTED_VALUE"""),"bottle of poison")</f>
        <v>bottle of poison</v>
      </c>
      <c r="D86" s="11" t="str">
        <f>IFERROR(__xludf.DUMMYFUNCTION("""COMPUTED_VALUE"""),"leaves")</f>
        <v>leaves</v>
      </c>
      <c r="E86" s="11"/>
      <c r="F86" s="11"/>
      <c r="G86" s="11"/>
      <c r="H86" s="11"/>
      <c r="I86" s="11"/>
      <c r="J86" s="11"/>
      <c r="K86" s="11"/>
      <c r="L86" s="11"/>
    </row>
    <row r="87">
      <c r="A87" s="13" t="str">
        <f>IFERROR(__xludf.DUMMYFUNCTION("""COMPUTED_VALUE"""),"Shiny Oddish")</f>
        <v>Shiny Oddish</v>
      </c>
      <c r="B87" s="11" t="str">
        <f>IFERROR(__xludf.DUMMYFUNCTION("""COMPUTED_VALUE"""),"seed")</f>
        <v>seed</v>
      </c>
      <c r="C87" s="11" t="str">
        <f>IFERROR(__xludf.DUMMYFUNCTION("""COMPUTED_VALUE"""),"bottle of poison")</f>
        <v>bottle of poison</v>
      </c>
      <c r="D87" s="11" t="str">
        <f>IFERROR(__xludf.DUMMYFUNCTION("""COMPUTED_VALUE"""),"radiant leaves")</f>
        <v>radiant leaves</v>
      </c>
      <c r="E87" s="11" t="str">
        <f>IFERROR(__xludf.DUMMYFUNCTION("""COMPUTED_VALUE"""),"simple grass orb")</f>
        <v>simple grass orb</v>
      </c>
      <c r="F87" s="11"/>
      <c r="G87" s="11"/>
      <c r="H87" s="11"/>
      <c r="I87" s="11"/>
      <c r="J87" s="11"/>
      <c r="K87" s="11"/>
      <c r="L87" s="11"/>
    </row>
    <row r="88">
      <c r="A88" s="13" t="str">
        <f>IFERROR(__xludf.DUMMYFUNCTION("""COMPUTED_VALUE"""),"Gloom")</f>
        <v>Gloom</v>
      </c>
      <c r="B88" s="11" t="str">
        <f>IFERROR(__xludf.DUMMYFUNCTION("""COMPUTED_VALUE"""),"seed")</f>
        <v>seed</v>
      </c>
      <c r="C88" s="11" t="str">
        <f>IFERROR(__xludf.DUMMYFUNCTION("""COMPUTED_VALUE"""),"bottle of poison")</f>
        <v>bottle of poison</v>
      </c>
      <c r="D88" s="11" t="str">
        <f>IFERROR(__xludf.DUMMYFUNCTION("""COMPUTED_VALUE"""),"poison bulb")</f>
        <v>poison bulb</v>
      </c>
      <c r="E88" s="11" t="str">
        <f>IFERROR(__xludf.DUMMYFUNCTION("""COMPUTED_VALUE"""),"leaf stone")</f>
        <v>leaf stone</v>
      </c>
      <c r="F88" s="11" t="str">
        <f>IFERROR(__xludf.DUMMYFUNCTION("""COMPUTED_VALUE"""),"venom stone")</f>
        <v>venom stone</v>
      </c>
      <c r="G88" s="11"/>
      <c r="H88" s="11"/>
      <c r="I88" s="11"/>
      <c r="J88" s="11"/>
      <c r="K88" s="11"/>
      <c r="L88" s="11"/>
    </row>
    <row r="89">
      <c r="A89" s="13" t="str">
        <f>IFERROR(__xludf.DUMMYFUNCTION("""COMPUTED_VALUE"""),"Shiny Gloom")</f>
        <v>Shiny Gloom</v>
      </c>
      <c r="B89" s="11" t="str">
        <f>IFERROR(__xludf.DUMMYFUNCTION("""COMPUTED_VALUE"""),"seed")</f>
        <v>seed</v>
      </c>
      <c r="C89" s="11" t="str">
        <f>IFERROR(__xludf.DUMMYFUNCTION("""COMPUTED_VALUE"""),"bottle of poison")</f>
        <v>bottle of poison</v>
      </c>
      <c r="D89" s="11" t="str">
        <f>IFERROR(__xludf.DUMMYFUNCTION("""COMPUTED_VALUE"""),"brown poison bulb")</f>
        <v>brown poison bulb</v>
      </c>
      <c r="E89" s="11" t="str">
        <f>IFERROR(__xludf.DUMMYFUNCTION("""COMPUTED_VALUE"""),"leaf stone")</f>
        <v>leaf stone</v>
      </c>
      <c r="F89" s="11" t="str">
        <f>IFERROR(__xludf.DUMMYFUNCTION("""COMPUTED_VALUE"""),"venom stone")</f>
        <v>venom stone</v>
      </c>
      <c r="G89" s="11" t="str">
        <f>IFERROR(__xludf.DUMMYFUNCTION("""COMPUTED_VALUE"""),"arcane grass orb")</f>
        <v>arcane grass orb</v>
      </c>
      <c r="H89" s="11"/>
      <c r="I89" s="11"/>
      <c r="J89" s="11"/>
      <c r="K89" s="11"/>
      <c r="L89" s="11"/>
    </row>
    <row r="90">
      <c r="A90" s="13" t="str">
        <f>IFERROR(__xludf.DUMMYFUNCTION("""COMPUTED_VALUE"""),"Vileplume")</f>
        <v>Vileplume</v>
      </c>
      <c r="B90" s="11" t="str">
        <f>IFERROR(__xludf.DUMMYFUNCTION("""COMPUTED_VALUE"""),"seed")</f>
        <v>seed</v>
      </c>
      <c r="C90" s="11" t="str">
        <f>IFERROR(__xludf.DUMMYFUNCTION("""COMPUTED_VALUE"""),"bottle of poison")</f>
        <v>bottle of poison</v>
      </c>
      <c r="D90" s="11" t="str">
        <f>IFERROR(__xludf.DUMMYFUNCTION("""COMPUTED_VALUE"""),"poison petal")</f>
        <v>poison petal</v>
      </c>
      <c r="E90" s="11" t="str">
        <f>IFERROR(__xludf.DUMMYFUNCTION("""COMPUTED_VALUE"""),"leaf stone")</f>
        <v>leaf stone</v>
      </c>
      <c r="F90" s="11" t="str">
        <f>IFERROR(__xludf.DUMMYFUNCTION("""COMPUTED_VALUE"""),"venom stone")</f>
        <v>venom stone</v>
      </c>
      <c r="G90" s="11"/>
      <c r="H90" s="11"/>
      <c r="I90" s="11"/>
      <c r="J90" s="11"/>
      <c r="K90" s="11"/>
      <c r="L90" s="11"/>
    </row>
    <row r="91">
      <c r="A91" s="13" t="str">
        <f>IFERROR(__xludf.DUMMYFUNCTION("""COMPUTED_VALUE"""),"Shiny Vileplume")</f>
        <v>Shiny Vileplume</v>
      </c>
      <c r="B91" s="11" t="str">
        <f>IFERROR(__xludf.DUMMYFUNCTION("""COMPUTED_VALUE"""),"seed")</f>
        <v>seed</v>
      </c>
      <c r="C91" s="11" t="str">
        <f>IFERROR(__xludf.DUMMYFUNCTION("""COMPUTED_VALUE"""),"bottle of poison")</f>
        <v>bottle of poison</v>
      </c>
      <c r="D91" s="11" t="str">
        <f>IFERROR(__xludf.DUMMYFUNCTION("""COMPUTED_VALUE"""),"yellow poison petal")</f>
        <v>yellow poison petal</v>
      </c>
      <c r="E91" s="11" t="str">
        <f>IFERROR(__xludf.DUMMYFUNCTION("""COMPUTED_VALUE"""),"leaf stone")</f>
        <v>leaf stone</v>
      </c>
      <c r="F91" s="11" t="str">
        <f>IFERROR(__xludf.DUMMYFUNCTION("""COMPUTED_VALUE"""),"venom stone")</f>
        <v>venom stone</v>
      </c>
      <c r="G91" s="11" t="str">
        <f>IFERROR(__xludf.DUMMYFUNCTION("""COMPUTED_VALUE"""),"arcane grass orb")</f>
        <v>arcane grass orb</v>
      </c>
      <c r="H91" s="11"/>
      <c r="I91" s="11"/>
      <c r="J91" s="11"/>
      <c r="K91" s="11"/>
      <c r="L91" s="11"/>
    </row>
    <row r="92">
      <c r="A92" s="13" t="str">
        <f>IFERROR(__xludf.DUMMYFUNCTION("""COMPUTED_VALUE"""),"Paras")</f>
        <v>Paras</v>
      </c>
      <c r="B92" s="11" t="str">
        <f>IFERROR(__xludf.DUMMYFUNCTION("""COMPUTED_VALUE"""),"bug gosme")</f>
        <v>bug gosme</v>
      </c>
      <c r="C92" s="11" t="str">
        <f>IFERROR(__xludf.DUMMYFUNCTION("""COMPUTED_VALUE"""),"seed")</f>
        <v>seed</v>
      </c>
      <c r="D92" s="11" t="str">
        <f>IFERROR(__xludf.DUMMYFUNCTION("""COMPUTED_VALUE"""),"mushroom")</f>
        <v>mushroom</v>
      </c>
      <c r="E92" s="11"/>
      <c r="F92" s="11"/>
      <c r="G92" s="11"/>
      <c r="H92" s="11"/>
      <c r="I92" s="11"/>
      <c r="J92" s="11"/>
      <c r="K92" s="11"/>
      <c r="L92" s="11"/>
    </row>
    <row r="93">
      <c r="A93" s="13" t="str">
        <f>IFERROR(__xludf.DUMMYFUNCTION("""COMPUTED_VALUE"""),"Shiny Paras")</f>
        <v>Shiny Paras</v>
      </c>
      <c r="B93" s="11" t="str">
        <f>IFERROR(__xludf.DUMMYFUNCTION("""COMPUTED_VALUE"""),"bug gosme")</f>
        <v>bug gosme</v>
      </c>
      <c r="C93" s="11" t="str">
        <f>IFERROR(__xludf.DUMMYFUNCTION("""COMPUTED_VALUE"""),"seed")</f>
        <v>seed</v>
      </c>
      <c r="D93" s="11" t="str">
        <f>IFERROR(__xludf.DUMMYFUNCTION("""COMPUTED_VALUE"""),"green mushroom")</f>
        <v>green mushroom</v>
      </c>
      <c r="E93" s="11" t="str">
        <f>IFERROR(__xludf.DUMMYFUNCTION("""COMPUTED_VALUE"""),"cocoon stone")</f>
        <v>cocoon stone</v>
      </c>
      <c r="F93" s="11" t="str">
        <f>IFERROR(__xludf.DUMMYFUNCTION("""COMPUTED_VALUE"""),"leaf stone")</f>
        <v>leaf stone</v>
      </c>
      <c r="G93" s="11" t="str">
        <f>IFERROR(__xludf.DUMMYFUNCTION("""COMPUTED_VALUE"""),"simple bug orb")</f>
        <v>simple bug orb</v>
      </c>
      <c r="H93" s="11"/>
      <c r="I93" s="11"/>
      <c r="J93" s="11"/>
      <c r="K93" s="11"/>
      <c r="L93" s="11"/>
    </row>
    <row r="94">
      <c r="A94" s="13" t="str">
        <f>IFERROR(__xludf.DUMMYFUNCTION("""COMPUTED_VALUE"""),"Parasect")</f>
        <v>Parasect</v>
      </c>
      <c r="B94" s="11" t="str">
        <f>IFERROR(__xludf.DUMMYFUNCTION("""COMPUTED_VALUE"""),"bug gosme")</f>
        <v>bug gosme</v>
      </c>
      <c r="C94" s="11" t="str">
        <f>IFERROR(__xludf.DUMMYFUNCTION("""COMPUTED_VALUE"""),"seed")</f>
        <v>seed</v>
      </c>
      <c r="D94" s="11" t="str">
        <f>IFERROR(__xludf.DUMMYFUNCTION("""COMPUTED_VALUE"""),"big mushroom")</f>
        <v>big mushroom</v>
      </c>
      <c r="E94" s="11" t="str">
        <f>IFERROR(__xludf.DUMMYFUNCTION("""COMPUTED_VALUE"""),"cocoon stone")</f>
        <v>cocoon stone</v>
      </c>
      <c r="F94" s="11" t="str">
        <f>IFERROR(__xludf.DUMMYFUNCTION("""COMPUTED_VALUE"""),"leaf stone")</f>
        <v>leaf stone</v>
      </c>
      <c r="G94" s="11"/>
      <c r="H94" s="11"/>
      <c r="I94" s="11"/>
      <c r="J94" s="11"/>
      <c r="K94" s="11"/>
      <c r="L94" s="11"/>
    </row>
    <row r="95">
      <c r="A95" s="13" t="str">
        <f>IFERROR(__xludf.DUMMYFUNCTION("""COMPUTED_VALUE"""),"Shiny Parasect")</f>
        <v>Shiny Parasect</v>
      </c>
      <c r="B95" s="11" t="str">
        <f>IFERROR(__xludf.DUMMYFUNCTION("""COMPUTED_VALUE"""),"bug gosme")</f>
        <v>bug gosme</v>
      </c>
      <c r="C95" s="11" t="str">
        <f>IFERROR(__xludf.DUMMYFUNCTION("""COMPUTED_VALUE"""),"seed")</f>
        <v>seed</v>
      </c>
      <c r="D95" s="11" t="str">
        <f>IFERROR(__xludf.DUMMYFUNCTION("""COMPUTED_VALUE"""),"green big mushroom")</f>
        <v>green big mushroom</v>
      </c>
      <c r="E95" s="11" t="str">
        <f>IFERROR(__xludf.DUMMYFUNCTION("""COMPUTED_VALUE"""),"cocoon stone")</f>
        <v>cocoon stone</v>
      </c>
      <c r="F95" s="11" t="str">
        <f>IFERROR(__xludf.DUMMYFUNCTION("""COMPUTED_VALUE"""),"leaf stone")</f>
        <v>leaf stone</v>
      </c>
      <c r="G95" s="11" t="str">
        <f>IFERROR(__xludf.DUMMYFUNCTION("""COMPUTED_VALUE"""),"arcane bug orb")</f>
        <v>arcane bug orb</v>
      </c>
      <c r="H95" s="11"/>
      <c r="I95" s="11"/>
      <c r="J95" s="11"/>
      <c r="K95" s="11"/>
      <c r="L95" s="11"/>
    </row>
    <row r="96">
      <c r="A96" s="13" t="str">
        <f>IFERROR(__xludf.DUMMYFUNCTION("""COMPUTED_VALUE"""),"Venonat")</f>
        <v>Venonat</v>
      </c>
      <c r="B96" s="11" t="str">
        <f>IFERROR(__xludf.DUMMYFUNCTION("""COMPUTED_VALUE"""),"bug gosme")</f>
        <v>bug gosme</v>
      </c>
      <c r="C96" s="11" t="str">
        <f>IFERROR(__xludf.DUMMYFUNCTION("""COMPUTED_VALUE"""),"bottle of poison")</f>
        <v>bottle of poison</v>
      </c>
      <c r="D96" s="11" t="str">
        <f>IFERROR(__xludf.DUMMYFUNCTION("""COMPUTED_VALUE"""),"bug antenna")</f>
        <v>bug antenna</v>
      </c>
      <c r="E96" s="11"/>
      <c r="F96" s="11"/>
      <c r="G96" s="11"/>
      <c r="H96" s="11"/>
      <c r="I96" s="11"/>
      <c r="J96" s="11"/>
      <c r="K96" s="11"/>
      <c r="L96" s="11"/>
    </row>
    <row r="97">
      <c r="A97" s="13" t="str">
        <f>IFERROR(__xludf.DUMMYFUNCTION("""COMPUTED_VALUE"""),"Shiny Venonat")</f>
        <v>Shiny Venonat</v>
      </c>
      <c r="B97" s="11" t="str">
        <f>IFERROR(__xludf.DUMMYFUNCTION("""COMPUTED_VALUE"""),"bug gosme")</f>
        <v>bug gosme</v>
      </c>
      <c r="C97" s="11" t="str">
        <f>IFERROR(__xludf.DUMMYFUNCTION("""COMPUTED_VALUE"""),"bottle of poison")</f>
        <v>bottle of poison</v>
      </c>
      <c r="D97" s="11" t="str">
        <f>IFERROR(__xludf.DUMMYFUNCTION("""COMPUTED_VALUE"""),"blue bug antenna")</f>
        <v>blue bug antenna</v>
      </c>
      <c r="E97" s="11" t="str">
        <f>IFERROR(__xludf.DUMMYFUNCTION("""COMPUTED_VALUE"""),"cocoon stone")</f>
        <v>cocoon stone</v>
      </c>
      <c r="F97" s="11" t="str">
        <f>IFERROR(__xludf.DUMMYFUNCTION("""COMPUTED_VALUE"""),"venom stone")</f>
        <v>venom stone</v>
      </c>
      <c r="G97" s="11" t="str">
        <f>IFERROR(__xludf.DUMMYFUNCTION("""COMPUTED_VALUE"""),"simple bug orb")</f>
        <v>simple bug orb</v>
      </c>
      <c r="H97" s="11"/>
      <c r="I97" s="11"/>
      <c r="J97" s="11"/>
      <c r="K97" s="11"/>
      <c r="L97" s="11"/>
    </row>
    <row r="98">
      <c r="A98" s="13" t="str">
        <f>IFERROR(__xludf.DUMMYFUNCTION("""COMPUTED_VALUE"""),"Venomoth")</f>
        <v>Venomoth</v>
      </c>
      <c r="B98" s="11" t="str">
        <f>IFERROR(__xludf.DUMMYFUNCTION("""COMPUTED_VALUE"""),"bug gosme")</f>
        <v>bug gosme</v>
      </c>
      <c r="C98" s="11" t="str">
        <f>IFERROR(__xludf.DUMMYFUNCTION("""COMPUTED_VALUE"""),"bottle of poison")</f>
        <v>bottle of poison</v>
      </c>
      <c r="D98" s="11" t="str">
        <f>IFERROR(__xludf.DUMMYFUNCTION("""COMPUTED_VALUE"""),"moth wing")</f>
        <v>moth wing</v>
      </c>
      <c r="E98" s="11" t="str">
        <f>IFERROR(__xludf.DUMMYFUNCTION("""COMPUTED_VALUE"""),"cocoon stone")</f>
        <v>cocoon stone</v>
      </c>
      <c r="F98" s="11" t="str">
        <f>IFERROR(__xludf.DUMMYFUNCTION("""COMPUTED_VALUE"""),"venom stone")</f>
        <v>venom stone</v>
      </c>
      <c r="G98" s="11"/>
      <c r="H98" s="11"/>
      <c r="I98" s="11"/>
      <c r="J98" s="11"/>
      <c r="K98" s="11"/>
      <c r="L98" s="11"/>
    </row>
    <row r="99">
      <c r="A99" s="13" t="str">
        <f>IFERROR(__xludf.DUMMYFUNCTION("""COMPUTED_VALUE"""),"Shiny Venomoth")</f>
        <v>Shiny Venomoth</v>
      </c>
      <c r="B99" s="11" t="str">
        <f>IFERROR(__xludf.DUMMYFUNCTION("""COMPUTED_VALUE"""),"bug gosme")</f>
        <v>bug gosme</v>
      </c>
      <c r="C99" s="11" t="str">
        <f>IFERROR(__xludf.DUMMYFUNCTION("""COMPUTED_VALUE"""),"bottle of poison")</f>
        <v>bottle of poison</v>
      </c>
      <c r="D99" s="11" t="str">
        <f>IFERROR(__xludf.DUMMYFUNCTION("""COMPUTED_VALUE"""),"blue moth wing")</f>
        <v>blue moth wing</v>
      </c>
      <c r="E99" s="11" t="str">
        <f>IFERROR(__xludf.DUMMYFUNCTION("""COMPUTED_VALUE"""),"cocoon stone")</f>
        <v>cocoon stone</v>
      </c>
      <c r="F99" s="11" t="str">
        <f>IFERROR(__xludf.DUMMYFUNCTION("""COMPUTED_VALUE"""),"venom stone")</f>
        <v>venom stone</v>
      </c>
      <c r="G99" s="11" t="str">
        <f>IFERROR(__xludf.DUMMYFUNCTION("""COMPUTED_VALUE"""),"arcane poison orb")</f>
        <v>arcane poison orb</v>
      </c>
      <c r="H99" s="11"/>
      <c r="I99" s="11"/>
      <c r="J99" s="11"/>
      <c r="K99" s="11"/>
      <c r="L99" s="11"/>
    </row>
    <row r="100">
      <c r="A100" s="13" t="str">
        <f>IFERROR(__xludf.DUMMYFUNCTION("""COMPUTED_VALUE"""),"Diglett")</f>
        <v>Diglett</v>
      </c>
      <c r="B100" s="11" t="str">
        <f>IFERROR(__xludf.DUMMYFUNCTION("""COMPUTED_VALUE"""),"earth ball")</f>
        <v>earth ball</v>
      </c>
      <c r="C100" s="11" t="str">
        <f>IFERROR(__xludf.DUMMYFUNCTION("""COMPUTED_VALUE"""),"small handfull of stones")</f>
        <v>small handfull of stones</v>
      </c>
      <c r="D100" s="11"/>
      <c r="E100" s="11"/>
      <c r="F100" s="11"/>
      <c r="G100" s="11"/>
      <c r="H100" s="11"/>
      <c r="I100" s="11"/>
      <c r="J100" s="11"/>
      <c r="K100" s="11"/>
      <c r="L100" s="11"/>
    </row>
    <row r="101">
      <c r="A101" s="13" t="str">
        <f>IFERROR(__xludf.DUMMYFUNCTION("""COMPUTED_VALUE"""),"Shiny Diglett")</f>
        <v>Shiny Diglett</v>
      </c>
      <c r="B101" s="11" t="str">
        <f>IFERROR(__xludf.DUMMYFUNCTION("""COMPUTED_VALUE"""),"earth ball")</f>
        <v>earth ball</v>
      </c>
      <c r="C101" s="11" t="str">
        <f>IFERROR(__xludf.DUMMYFUNCTION("""COMPUTED_VALUE"""),"small yellow stones")</f>
        <v>small yellow stones</v>
      </c>
      <c r="D101" s="11" t="str">
        <f>IFERROR(__xludf.DUMMYFUNCTION("""COMPUTED_VALUE"""),"earth stone")</f>
        <v>earth stone</v>
      </c>
      <c r="E101" s="11" t="str">
        <f>IFERROR(__xludf.DUMMYFUNCTION("""COMPUTED_VALUE"""),"simple ground orb")</f>
        <v>simple ground orb</v>
      </c>
      <c r="F101" s="11"/>
      <c r="G101" s="11"/>
      <c r="H101" s="11"/>
      <c r="I101" s="11"/>
      <c r="J101" s="11"/>
      <c r="K101" s="11"/>
      <c r="L101" s="11"/>
    </row>
    <row r="102">
      <c r="A102" s="13" t="str">
        <f>IFERROR(__xludf.DUMMYFUNCTION("""COMPUTED_VALUE"""),"Dugtrio")</f>
        <v>Dugtrio</v>
      </c>
      <c r="B102" s="11" t="str">
        <f>IFERROR(__xludf.DUMMYFUNCTION("""COMPUTED_VALUE"""),"earth ball")</f>
        <v>earth ball</v>
      </c>
      <c r="C102" s="11" t="str">
        <f>IFERROR(__xludf.DUMMYFUNCTION("""COMPUTED_VALUE"""),"handful of stones")</f>
        <v>handful of stones</v>
      </c>
      <c r="D102" s="11" t="str">
        <f>IFERROR(__xludf.DUMMYFUNCTION("""COMPUTED_VALUE"""),"earth stone")</f>
        <v>earth stone</v>
      </c>
      <c r="E102" s="11"/>
      <c r="F102" s="11"/>
      <c r="G102" s="11"/>
      <c r="H102" s="11"/>
      <c r="I102" s="11"/>
      <c r="J102" s="11"/>
      <c r="K102" s="11"/>
      <c r="L102" s="11"/>
    </row>
    <row r="103">
      <c r="A103" s="13" t="str">
        <f>IFERROR(__xludf.DUMMYFUNCTION("""COMPUTED_VALUE"""),"Shiny Dugtrio")</f>
        <v>Shiny Dugtrio</v>
      </c>
      <c r="B103" s="11" t="str">
        <f>IFERROR(__xludf.DUMMYFUNCTION("""COMPUTED_VALUE"""),"earth ball")</f>
        <v>earth ball</v>
      </c>
      <c r="C103" s="11" t="str">
        <f>IFERROR(__xludf.DUMMYFUNCTION("""COMPUTED_VALUE"""),"handful or yellow stones")</f>
        <v>handful or yellow stones</v>
      </c>
      <c r="D103" s="11" t="str">
        <f>IFERROR(__xludf.DUMMYFUNCTION("""COMPUTED_VALUE"""),"earth stone")</f>
        <v>earth stone</v>
      </c>
      <c r="E103" s="11" t="str">
        <f>IFERROR(__xludf.DUMMYFUNCTION("""COMPUTED_VALUE"""),"arcane ground orb")</f>
        <v>arcane ground orb</v>
      </c>
      <c r="F103" s="11"/>
      <c r="G103" s="11"/>
      <c r="H103" s="11"/>
      <c r="I103" s="11"/>
      <c r="J103" s="11"/>
      <c r="K103" s="11"/>
      <c r="L103" s="11"/>
    </row>
    <row r="104">
      <c r="A104" s="13" t="str">
        <f>IFERROR(__xludf.DUMMYFUNCTION("""COMPUTED_VALUE"""),"Meowth")</f>
        <v>Meowth</v>
      </c>
      <c r="B104" s="11" t="str">
        <f>IFERROR(__xludf.DUMMYFUNCTION("""COMPUTED_VALUE"""),"rubber ball")</f>
        <v>rubber ball</v>
      </c>
      <c r="C104" s="11" t="str">
        <f>IFERROR(__xludf.DUMMYFUNCTION("""COMPUTED_VALUE"""),"luck medallion")</f>
        <v>luck medallion</v>
      </c>
      <c r="D104" s="11"/>
      <c r="E104" s="11"/>
      <c r="F104" s="11"/>
      <c r="G104" s="11"/>
      <c r="H104" s="11"/>
      <c r="I104" s="11"/>
      <c r="J104" s="11"/>
      <c r="K104" s="11"/>
      <c r="L104" s="11"/>
    </row>
    <row r="105">
      <c r="A105" s="13" t="str">
        <f>IFERROR(__xludf.DUMMYFUNCTION("""COMPUTED_VALUE"""),"Shiny Meowth")</f>
        <v>Shiny Meowth</v>
      </c>
      <c r="B105" s="11" t="str">
        <f>IFERROR(__xludf.DUMMYFUNCTION("""COMPUTED_VALUE"""),"rubber ball")</f>
        <v>rubber ball</v>
      </c>
      <c r="C105" s="11" t="str">
        <f>IFERROR(__xludf.DUMMYFUNCTION("""COMPUTED_VALUE"""),"pink medallion")</f>
        <v>pink medallion</v>
      </c>
      <c r="D105" s="11" t="str">
        <f>IFERROR(__xludf.DUMMYFUNCTION("""COMPUTED_VALUE"""),"heart stone")</f>
        <v>heart stone</v>
      </c>
      <c r="E105" s="11" t="str">
        <f>IFERROR(__xludf.DUMMYFUNCTION("""COMPUTED_VALUE"""),"simple normal orb")</f>
        <v>simple normal orb</v>
      </c>
      <c r="F105" s="11"/>
      <c r="G105" s="11"/>
      <c r="H105" s="11"/>
      <c r="I105" s="11"/>
      <c r="J105" s="11"/>
      <c r="K105" s="11"/>
      <c r="L105" s="11"/>
    </row>
    <row r="106">
      <c r="A106" s="13" t="str">
        <f>IFERROR(__xludf.DUMMYFUNCTION("""COMPUTED_VALUE"""),"Persian")</f>
        <v>Persian</v>
      </c>
      <c r="B106" s="11" t="str">
        <f>IFERROR(__xludf.DUMMYFUNCTION("""COMPUTED_VALUE"""),"rubber ball")</f>
        <v>rubber ball</v>
      </c>
      <c r="C106" s="11" t="str">
        <f>IFERROR(__xludf.DUMMYFUNCTION("""COMPUTED_VALUE"""),"wool ball")</f>
        <v>wool ball</v>
      </c>
      <c r="D106" s="11" t="str">
        <f>IFERROR(__xludf.DUMMYFUNCTION("""COMPUTED_VALUE"""),"heart stone")</f>
        <v>heart stone</v>
      </c>
      <c r="E106" s="11"/>
      <c r="F106" s="11"/>
      <c r="G106" s="11"/>
      <c r="H106" s="11"/>
      <c r="I106" s="11"/>
      <c r="J106" s="11"/>
      <c r="K106" s="11"/>
      <c r="L106" s="11"/>
    </row>
    <row r="107">
      <c r="A107" s="13" t="str">
        <f>IFERROR(__xludf.DUMMYFUNCTION("""COMPUTED_VALUE"""),"Shiny Persian")</f>
        <v>Shiny Persian</v>
      </c>
      <c r="B107" s="11" t="str">
        <f>IFERROR(__xludf.DUMMYFUNCTION("""COMPUTED_VALUE"""),"rubber ball")</f>
        <v>rubber ball</v>
      </c>
      <c r="C107" s="11" t="str">
        <f>IFERROR(__xludf.DUMMYFUNCTION("""COMPUTED_VALUE"""),"heart stone")</f>
        <v>heart stone</v>
      </c>
      <c r="D107" s="11" t="str">
        <f>IFERROR(__xludf.DUMMYFUNCTION("""COMPUTED_VALUE"""),"white ball")</f>
        <v>white ball</v>
      </c>
      <c r="E107" s="11" t="str">
        <f>IFERROR(__xludf.DUMMYFUNCTION("""COMPUTED_VALUE"""),"arcane normal orb")</f>
        <v>arcane normal orb</v>
      </c>
      <c r="F107" s="11" t="str">
        <f>IFERROR(__xludf.DUMMYFUNCTION("""COMPUTED_VALUE"""),"mythic normal orb")</f>
        <v>mythic normal orb</v>
      </c>
      <c r="G107" s="11"/>
      <c r="H107" s="11"/>
      <c r="I107" s="11"/>
      <c r="J107" s="11"/>
      <c r="K107" s="11"/>
      <c r="L107" s="11"/>
    </row>
    <row r="108">
      <c r="A108" s="13" t="str">
        <f>IFERROR(__xludf.DUMMYFUNCTION("""COMPUTED_VALUE"""),"Psyduck")</f>
        <v>Psyduck</v>
      </c>
      <c r="B108" s="11" t="str">
        <f>IFERROR(__xludf.DUMMYFUNCTION("""COMPUTED_VALUE"""),"water gem")</f>
        <v>water gem</v>
      </c>
      <c r="C108" s="11" t="str">
        <f>IFERROR(__xludf.DUMMYFUNCTION("""COMPUTED_VALUE"""),"duck beak")</f>
        <v>duck beak</v>
      </c>
      <c r="D108" s="11"/>
      <c r="E108" s="11"/>
      <c r="F108" s="11"/>
      <c r="G108" s="11"/>
      <c r="H108" s="11"/>
      <c r="I108" s="11"/>
      <c r="J108" s="11"/>
      <c r="K108" s="11"/>
      <c r="L108" s="11"/>
    </row>
    <row r="109">
      <c r="A109" s="13" t="str">
        <f>IFERROR(__xludf.DUMMYFUNCTION("""COMPUTED_VALUE"""),"Shiny Psyduck")</f>
        <v>Shiny Psyduck</v>
      </c>
      <c r="B109" s="11" t="str">
        <f>IFERROR(__xludf.DUMMYFUNCTION("""COMPUTED_VALUE"""),"water gem")</f>
        <v>water gem</v>
      </c>
      <c r="C109" s="11" t="str">
        <f>IFERROR(__xludf.DUMMYFUNCTION("""COMPUTED_VALUE"""),"gray duck beak")</f>
        <v>gray duck beak</v>
      </c>
      <c r="D109" s="11" t="str">
        <f>IFERROR(__xludf.DUMMYFUNCTION("""COMPUTED_VALUE"""),"water stone")</f>
        <v>water stone</v>
      </c>
      <c r="E109" s="11" t="str">
        <f>IFERROR(__xludf.DUMMYFUNCTION("""COMPUTED_VALUE"""),"simple water orb")</f>
        <v>simple water orb</v>
      </c>
      <c r="F109" s="11"/>
      <c r="G109" s="11"/>
      <c r="H109" s="11"/>
      <c r="I109" s="11"/>
      <c r="J109" s="11"/>
      <c r="K109" s="11"/>
      <c r="L109" s="11"/>
    </row>
    <row r="110">
      <c r="A110" s="13" t="str">
        <f>IFERROR(__xludf.DUMMYFUNCTION("""COMPUTED_VALUE"""),"Golduck")</f>
        <v>Golduck</v>
      </c>
      <c r="B110" s="11" t="str">
        <f>IFERROR(__xludf.DUMMYFUNCTION("""COMPUTED_VALUE"""),"water gem")</f>
        <v>water gem</v>
      </c>
      <c r="C110" s="11" t="str">
        <f>IFERROR(__xludf.DUMMYFUNCTION("""COMPUTED_VALUE"""),"duck paw")</f>
        <v>duck paw</v>
      </c>
      <c r="D110" s="11" t="str">
        <f>IFERROR(__xludf.DUMMYFUNCTION("""COMPUTED_VALUE"""),"water stone")</f>
        <v>water stone</v>
      </c>
      <c r="E110" s="11"/>
      <c r="F110" s="11"/>
      <c r="G110" s="11"/>
      <c r="H110" s="11"/>
      <c r="I110" s="11"/>
      <c r="J110" s="11"/>
      <c r="K110" s="11"/>
      <c r="L110" s="11"/>
    </row>
    <row r="111">
      <c r="A111" s="13" t="str">
        <f>IFERROR(__xludf.DUMMYFUNCTION("""COMPUTED_VALUE"""),"Shiny Golduck")</f>
        <v>Shiny Golduck</v>
      </c>
      <c r="B111" s="11" t="str">
        <f>IFERROR(__xludf.DUMMYFUNCTION("""COMPUTED_VALUE"""),"water gem")</f>
        <v>water gem</v>
      </c>
      <c r="C111" s="11" t="str">
        <f>IFERROR(__xludf.DUMMYFUNCTION("""COMPUTED_VALUE"""),"gray duck paw")</f>
        <v>gray duck paw</v>
      </c>
      <c r="D111" s="11" t="str">
        <f>IFERROR(__xludf.DUMMYFUNCTION("""COMPUTED_VALUE"""),"water stone")</f>
        <v>water stone</v>
      </c>
      <c r="E111" s="11" t="str">
        <f>IFERROR(__xludf.DUMMYFUNCTION("""COMPUTED_VALUE"""),"arcane water orb")</f>
        <v>arcane water orb</v>
      </c>
      <c r="F111" s="11"/>
      <c r="G111" s="11"/>
      <c r="H111" s="11"/>
      <c r="I111" s="11"/>
      <c r="J111" s="11"/>
      <c r="K111" s="11"/>
      <c r="L111" s="11"/>
    </row>
    <row r="112">
      <c r="A112" s="13" t="str">
        <f>IFERROR(__xludf.DUMMYFUNCTION("""COMPUTED_VALUE"""),"Mankey")</f>
        <v>Mankey</v>
      </c>
      <c r="B112" s="11" t="str">
        <f>IFERROR(__xludf.DUMMYFUNCTION("""COMPUTED_VALUE"""),"band aid")</f>
        <v>band aid</v>
      </c>
      <c r="C112" s="11" t="str">
        <f>IFERROR(__xludf.DUMMYFUNCTION("""COMPUTED_VALUE"""),"mankey tail")</f>
        <v>mankey tail</v>
      </c>
      <c r="D112" s="11"/>
      <c r="E112" s="11"/>
      <c r="F112" s="11"/>
      <c r="G112" s="11"/>
      <c r="H112" s="11"/>
      <c r="I112" s="11"/>
      <c r="J112" s="11"/>
      <c r="K112" s="11"/>
      <c r="L112" s="11"/>
    </row>
    <row r="113">
      <c r="A113" s="13" t="str">
        <f>IFERROR(__xludf.DUMMYFUNCTION("""COMPUTED_VALUE"""),"Shiny Mankey")</f>
        <v>Shiny Mankey</v>
      </c>
      <c r="B113" s="11" t="str">
        <f>IFERROR(__xludf.DUMMYFUNCTION("""COMPUTED_VALUE"""),"band aid")</f>
        <v>band aid</v>
      </c>
      <c r="C113" s="11" t="str">
        <f>IFERROR(__xludf.DUMMYFUNCTION("""COMPUTED_VALUE"""),"white monkey tail")</f>
        <v>white monkey tail</v>
      </c>
      <c r="D113" s="11" t="str">
        <f>IFERROR(__xludf.DUMMYFUNCTION("""COMPUTED_VALUE"""),"punch stone")</f>
        <v>punch stone</v>
      </c>
      <c r="E113" s="11" t="str">
        <f>IFERROR(__xludf.DUMMYFUNCTION("""COMPUTED_VALUE"""),"simple fighting orb")</f>
        <v>simple fighting orb</v>
      </c>
      <c r="F113" s="11"/>
      <c r="G113" s="11"/>
      <c r="H113" s="11"/>
      <c r="I113" s="11"/>
      <c r="J113" s="11"/>
      <c r="K113" s="11"/>
      <c r="L113" s="11"/>
    </row>
    <row r="114">
      <c r="A114" s="13" t="str">
        <f>IFERROR(__xludf.DUMMYFUNCTION("""COMPUTED_VALUE"""),"Primeape")</f>
        <v>Primeape</v>
      </c>
      <c r="B114" s="11" t="str">
        <f>IFERROR(__xludf.DUMMYFUNCTION("""COMPUTED_VALUE"""),"band aid")</f>
        <v>band aid</v>
      </c>
      <c r="C114" s="11" t="str">
        <f>IFERROR(__xludf.DUMMYFUNCTION("""COMPUTED_VALUE"""),"iron bracelet")</f>
        <v>iron bracelet</v>
      </c>
      <c r="D114" s="11" t="str">
        <f>IFERROR(__xludf.DUMMYFUNCTION("""COMPUTED_VALUE"""),"punch stone")</f>
        <v>punch stone</v>
      </c>
      <c r="E114" s="11"/>
      <c r="F114" s="11"/>
      <c r="G114" s="11"/>
      <c r="H114" s="11"/>
      <c r="I114" s="11"/>
      <c r="J114" s="11"/>
      <c r="K114" s="11"/>
      <c r="L114" s="11"/>
    </row>
    <row r="115">
      <c r="A115" s="13" t="str">
        <f>IFERROR(__xludf.DUMMYFUNCTION("""COMPUTED_VALUE"""),"Shiny Primeape")</f>
        <v>Shiny Primeape</v>
      </c>
      <c r="B115" s="11" t="str">
        <f>IFERROR(__xludf.DUMMYFUNCTION("""COMPUTED_VALUE"""),"band aid")</f>
        <v>band aid</v>
      </c>
      <c r="C115" s="11" t="str">
        <f>IFERROR(__xludf.DUMMYFUNCTION("""COMPUTED_VALUE"""),"metal bracelet")</f>
        <v>metal bracelet</v>
      </c>
      <c r="D115" s="11" t="str">
        <f>IFERROR(__xludf.DUMMYFUNCTION("""COMPUTED_VALUE"""),"punch stone")</f>
        <v>punch stone</v>
      </c>
      <c r="E115" s="11" t="str">
        <f>IFERROR(__xludf.DUMMYFUNCTION("""COMPUTED_VALUE"""),"arcane fighting orb")</f>
        <v>arcane fighting orb</v>
      </c>
      <c r="F115" s="11"/>
      <c r="G115" s="11"/>
      <c r="H115" s="11"/>
      <c r="I115" s="11"/>
      <c r="J115" s="11"/>
      <c r="K115" s="11"/>
      <c r="L115" s="11"/>
    </row>
    <row r="116">
      <c r="A116" s="13" t="str">
        <f>IFERROR(__xludf.DUMMYFUNCTION("""COMPUTED_VALUE"""),"Growlithe")</f>
        <v>Growlithe</v>
      </c>
      <c r="B116" s="11" t="str">
        <f>IFERROR(__xludf.DUMMYFUNCTION("""COMPUTED_VALUE"""),"essence of fire")</f>
        <v>essence of fire</v>
      </c>
      <c r="C116" s="11" t="str">
        <f>IFERROR(__xludf.DUMMYFUNCTION("""COMPUTED_VALUE"""),"dog fur")</f>
        <v>dog fur</v>
      </c>
      <c r="D116" s="11"/>
      <c r="E116" s="11"/>
      <c r="F116" s="11"/>
      <c r="G116" s="11"/>
      <c r="H116" s="11"/>
      <c r="I116" s="11"/>
      <c r="J116" s="11"/>
      <c r="K116" s="11"/>
      <c r="L116" s="11"/>
    </row>
    <row r="117">
      <c r="A117" s="13" t="str">
        <f>IFERROR(__xludf.DUMMYFUNCTION("""COMPUTED_VALUE"""),"Shiny Growlithe")</f>
        <v>Shiny Growlithe</v>
      </c>
      <c r="B117" s="11" t="str">
        <f>IFERROR(__xludf.DUMMYFUNCTION("""COMPUTED_VALUE"""),"essence of fire")</f>
        <v>essence of fire</v>
      </c>
      <c r="C117" s="11" t="str">
        <f>IFERROR(__xludf.DUMMYFUNCTION("""COMPUTED_VALUE"""),"yellow dog fur")</f>
        <v>yellow dog fur</v>
      </c>
      <c r="D117" s="11" t="str">
        <f>IFERROR(__xludf.DUMMYFUNCTION("""COMPUTED_VALUE"""),"fire stone")</f>
        <v>fire stone</v>
      </c>
      <c r="E117" s="11" t="str">
        <f>IFERROR(__xludf.DUMMYFUNCTION("""COMPUTED_VALUE"""),"simple fire orb")</f>
        <v>simple fire orb</v>
      </c>
      <c r="F117" s="11"/>
      <c r="G117" s="11"/>
      <c r="H117" s="11"/>
      <c r="I117" s="11"/>
      <c r="J117" s="11"/>
      <c r="K117" s="11"/>
      <c r="L117" s="11"/>
    </row>
    <row r="118">
      <c r="A118" s="13" t="str">
        <f>IFERROR(__xludf.DUMMYFUNCTION("""COMPUTED_VALUE"""),"Arcanine")</f>
        <v>Arcanine</v>
      </c>
      <c r="B118" s="11" t="str">
        <f>IFERROR(__xludf.DUMMYFUNCTION("""COMPUTED_VALUE"""),"essence of fire")</f>
        <v>essence of fire</v>
      </c>
      <c r="C118" s="5" t="str">
        <f>IFERROR(__xludf.DUMMYFUNCTION("""COMPUTED_VALUE"""),"giant piece of fur")</f>
        <v>giant piece of fur</v>
      </c>
      <c r="D118" s="11" t="str">
        <f>IFERROR(__xludf.DUMMYFUNCTION("""COMPUTED_VALUE"""),"fire stone")</f>
        <v>fire stone</v>
      </c>
      <c r="E118" s="11" t="str">
        <f>IFERROR(__xludf.DUMMYFUNCTION("""COMPUTED_VALUE"""),"crystal stone")</f>
        <v>crystal stone</v>
      </c>
      <c r="F118" s="11"/>
      <c r="G118" s="11"/>
      <c r="H118" s="11"/>
      <c r="I118" s="11"/>
      <c r="J118" s="11"/>
      <c r="K118" s="11"/>
      <c r="L118" s="11"/>
    </row>
    <row r="119">
      <c r="A119" s="13" t="str">
        <f>IFERROR(__xludf.DUMMYFUNCTION("""COMPUTED_VALUE"""),"Shiny Arcanine")</f>
        <v>Shiny Arcanine</v>
      </c>
      <c r="B119" s="11" t="str">
        <f>IFERROR(__xludf.DUMMYFUNCTION("""COMPUTED_VALUE"""),"essence of fire")</f>
        <v>essence of fire</v>
      </c>
      <c r="C119" s="11" t="str">
        <f>IFERROR(__xludf.DUMMYFUNCTION("""COMPUTED_VALUE"""),"giant white fur")</f>
        <v>giant white fur</v>
      </c>
      <c r="D119" s="11" t="str">
        <f>IFERROR(__xludf.DUMMYFUNCTION("""COMPUTED_VALUE"""),"fire stone")</f>
        <v>fire stone</v>
      </c>
      <c r="E119" s="11" t="str">
        <f>IFERROR(__xludf.DUMMYFUNCTION("""COMPUTED_VALUE"""),"crystal stone")</f>
        <v>crystal stone</v>
      </c>
      <c r="F119" s="11" t="str">
        <f>IFERROR(__xludf.DUMMYFUNCTION("""COMPUTED_VALUE"""),"mythic fire orb")</f>
        <v>mythic fire orb</v>
      </c>
      <c r="G119" s="11"/>
      <c r="H119" s="11"/>
      <c r="I119" s="11"/>
      <c r="J119" s="11"/>
      <c r="K119" s="11"/>
      <c r="L119" s="11"/>
    </row>
    <row r="120">
      <c r="A120" s="13" t="str">
        <f>IFERROR(__xludf.DUMMYFUNCTION("""COMPUTED_VALUE"""),"Poliwag")</f>
        <v>Poliwag</v>
      </c>
      <c r="B120" s="5" t="str">
        <f>IFERROR(__xludf.DUMMYFUNCTION("""COMPUTED_VALUE"""),"water gem")</f>
        <v>water gem</v>
      </c>
      <c r="C120" s="5" t="str">
        <f>IFERROR(__xludf.DUMMYFUNCTION("""COMPUTED_VALUE"""),"frog tail")</f>
        <v>frog tail</v>
      </c>
      <c r="D120" s="11"/>
      <c r="E120" s="11"/>
      <c r="F120" s="11"/>
      <c r="G120" s="11"/>
      <c r="H120" s="11"/>
      <c r="I120" s="11"/>
      <c r="J120" s="11"/>
      <c r="K120" s="11"/>
      <c r="L120" s="11"/>
    </row>
    <row r="121">
      <c r="A121" s="13" t="str">
        <f>IFERROR(__xludf.DUMMYFUNCTION("""COMPUTED_VALUE"""),"Shiny Poliwag")</f>
        <v>Shiny Poliwag</v>
      </c>
      <c r="B121" s="5" t="str">
        <f>IFERROR(__xludf.DUMMYFUNCTION("""COMPUTED_VALUE"""),"water gem")</f>
        <v>water gem</v>
      </c>
      <c r="C121" s="5" t="str">
        <f>IFERROR(__xludf.DUMMYFUNCTION("""COMPUTED_VALUE"""),"gray frog tail")</f>
        <v>gray frog tail</v>
      </c>
      <c r="D121" s="5" t="str">
        <f>IFERROR(__xludf.DUMMYFUNCTION("""COMPUTED_VALUE"""),"water stone")</f>
        <v>water stone</v>
      </c>
      <c r="E121" s="5" t="str">
        <f>IFERROR(__xludf.DUMMYFUNCTION("""COMPUTED_VALUE"""),"simple water orb")</f>
        <v>simple water orb</v>
      </c>
      <c r="F121" s="11"/>
      <c r="G121" s="11"/>
      <c r="H121" s="11"/>
      <c r="I121" s="11"/>
      <c r="J121" s="11"/>
      <c r="K121" s="11"/>
      <c r="L121" s="11"/>
    </row>
    <row r="122">
      <c r="A122" s="13" t="str">
        <f>IFERROR(__xludf.DUMMYFUNCTION("""COMPUTED_VALUE"""),"Poliwhirl")</f>
        <v>Poliwhirl</v>
      </c>
      <c r="B122" s="5" t="str">
        <f>IFERROR(__xludf.DUMMYFUNCTION("""COMPUTED_VALUE"""),"water gem")</f>
        <v>water gem</v>
      </c>
      <c r="C122" s="5" t="str">
        <f>IFERROR(__xludf.DUMMYFUNCTION("""COMPUTED_VALUE"""),"small box gloves")</f>
        <v>small box gloves</v>
      </c>
      <c r="D122" s="5" t="str">
        <f>IFERROR(__xludf.DUMMYFUNCTION("""COMPUTED_VALUE"""),"water stone")</f>
        <v>water stone</v>
      </c>
      <c r="E122" s="11"/>
      <c r="F122" s="11"/>
      <c r="G122" s="11"/>
      <c r="H122" s="11"/>
      <c r="I122" s="11"/>
      <c r="J122" s="11"/>
      <c r="K122" s="11"/>
      <c r="L122" s="11"/>
    </row>
    <row r="123">
      <c r="A123" s="13" t="str">
        <f>IFERROR(__xludf.DUMMYFUNCTION("""COMPUTED_VALUE"""),"Shiny Poliwhirl")</f>
        <v>Shiny Poliwhirl</v>
      </c>
      <c r="B123" s="5" t="str">
        <f>IFERROR(__xludf.DUMMYFUNCTION("""COMPUTED_VALUE"""),"water gem")</f>
        <v>water gem</v>
      </c>
      <c r="C123" s="5" t="str">
        <f>IFERROR(__xludf.DUMMYFUNCTION("""COMPUTED_VALUE"""),"pristine small gloves")</f>
        <v>pristine small gloves</v>
      </c>
      <c r="D123" s="5" t="str">
        <f>IFERROR(__xludf.DUMMYFUNCTION("""COMPUTED_VALUE"""),"water stone")</f>
        <v>water stone</v>
      </c>
      <c r="E123" s="5" t="str">
        <f>IFERROR(__xludf.DUMMYFUNCTION("""COMPUTED_VALUE"""),"arcane water orb")</f>
        <v>arcane water orb</v>
      </c>
      <c r="F123" s="11"/>
      <c r="G123" s="11"/>
      <c r="H123" s="11"/>
      <c r="I123" s="11"/>
      <c r="J123" s="11"/>
      <c r="K123" s="11"/>
      <c r="L123" s="11"/>
    </row>
    <row r="124">
      <c r="A124" s="13" t="str">
        <f>IFERROR(__xludf.DUMMYFUNCTION("""COMPUTED_VALUE"""),"Poliwrath")</f>
        <v>Poliwrath</v>
      </c>
      <c r="B124" s="5" t="str">
        <f>IFERROR(__xludf.DUMMYFUNCTION("""COMPUTED_VALUE"""),"water gem")</f>
        <v>water gem</v>
      </c>
      <c r="C124" s="5" t="str">
        <f>IFERROR(__xludf.DUMMYFUNCTION("""COMPUTED_VALUE"""),"band aid")</f>
        <v>band aid</v>
      </c>
      <c r="D124" s="5" t="str">
        <f>IFERROR(__xludf.DUMMYFUNCTION("""COMPUTED_VALUE"""),"big fist gloves")</f>
        <v>big fist gloves</v>
      </c>
      <c r="E124" s="5" t="str">
        <f>IFERROR(__xludf.DUMMYFUNCTION("""COMPUTED_VALUE"""),"water orb")</f>
        <v>water orb</v>
      </c>
      <c r="F124" s="5" t="str">
        <f>IFERROR(__xludf.DUMMYFUNCTION("""COMPUTED_VALUE"""),"punch stone")</f>
        <v>punch stone</v>
      </c>
      <c r="G124" s="11"/>
      <c r="H124" s="11"/>
      <c r="I124" s="11"/>
      <c r="J124" s="11"/>
      <c r="K124" s="11"/>
      <c r="L124" s="11"/>
    </row>
    <row r="125">
      <c r="A125" s="13" t="str">
        <f>IFERROR(__xludf.DUMMYFUNCTION("""COMPUTED_VALUE"""),"Shiny Poliwrath")</f>
        <v>Shiny Poliwrath</v>
      </c>
      <c r="B125" s="5" t="str">
        <f>IFERROR(__xludf.DUMMYFUNCTION("""COMPUTED_VALUE"""),"water gem")</f>
        <v>water gem</v>
      </c>
      <c r="C125" s="5" t="str">
        <f>IFERROR(__xludf.DUMMYFUNCTION("""COMPUTED_VALUE"""),"band aid")</f>
        <v>band aid</v>
      </c>
      <c r="D125" s="5" t="str">
        <f>IFERROR(__xludf.DUMMYFUNCTION("""COMPUTED_VALUE"""),"pristine punching gloves")</f>
        <v>pristine punching gloves</v>
      </c>
      <c r="E125" s="5" t="str">
        <f>IFERROR(__xludf.DUMMYFUNCTION("""COMPUTED_VALUE"""),"water stone")</f>
        <v>water stone</v>
      </c>
      <c r="F125" s="5" t="str">
        <f>IFERROR(__xludf.DUMMYFUNCTION("""COMPUTED_VALUE"""),"punch stone")</f>
        <v>punch stone</v>
      </c>
      <c r="G125" s="5" t="str">
        <f>IFERROR(__xludf.DUMMYFUNCTION("""COMPUTED_VALUE"""),"mythic fighting orb")</f>
        <v>mythic fighting orb</v>
      </c>
      <c r="H125" s="11"/>
      <c r="I125" s="11"/>
      <c r="J125" s="11"/>
      <c r="K125" s="11"/>
      <c r="L125" s="11"/>
    </row>
    <row r="126">
      <c r="A126" s="13" t="str">
        <f>IFERROR(__xludf.DUMMYFUNCTION("""COMPUTED_VALUE"""),"Abra")</f>
        <v>Abra</v>
      </c>
      <c r="B126" s="11" t="str">
        <f>IFERROR(__xludf.DUMMYFUNCTION("""COMPUTED_VALUE"""),"enchanted gem")</f>
        <v>enchanted gem</v>
      </c>
      <c r="C126" s="11" t="str">
        <f>IFERROR(__xludf.DUMMYFUNCTION("""COMPUTED_VALUE"""),"psychic vest")</f>
        <v>psychic vest</v>
      </c>
      <c r="D126" s="11"/>
      <c r="E126" s="11"/>
      <c r="F126" s="11"/>
      <c r="G126" s="11"/>
      <c r="H126" s="11"/>
      <c r="I126" s="11"/>
      <c r="J126" s="11"/>
      <c r="K126" s="11"/>
      <c r="L126" s="11"/>
    </row>
    <row r="127">
      <c r="A127" s="13" t="str">
        <f>IFERROR(__xludf.DUMMYFUNCTION("""COMPUTED_VALUE"""),"Shiny Abra")</f>
        <v>Shiny Abra</v>
      </c>
      <c r="B127" s="11" t="str">
        <f>IFERROR(__xludf.DUMMYFUNCTION("""COMPUTED_VALUE"""),"enchanted gem")</f>
        <v>enchanted gem</v>
      </c>
      <c r="C127" s="11" t="str">
        <f>IFERROR(__xludf.DUMMYFUNCTION("""COMPUTED_VALUE"""),"blue psychic vest")</f>
        <v>blue psychic vest</v>
      </c>
      <c r="D127" s="11" t="str">
        <f>IFERROR(__xludf.DUMMYFUNCTION("""COMPUTED_VALUE"""),"enigma stone")</f>
        <v>enigma stone</v>
      </c>
      <c r="E127" s="11" t="str">
        <f>IFERROR(__xludf.DUMMYFUNCTION("""COMPUTED_VALUE"""),"simple psychic orb")</f>
        <v>simple psychic orb</v>
      </c>
      <c r="F127" s="11"/>
      <c r="G127" s="11"/>
      <c r="H127" s="11"/>
      <c r="I127" s="11"/>
      <c r="J127" s="11"/>
      <c r="K127" s="11"/>
      <c r="L127" s="11"/>
    </row>
    <row r="128">
      <c r="A128" s="13" t="str">
        <f>IFERROR(__xludf.DUMMYFUNCTION("""COMPUTED_VALUE"""),"Kadabra")</f>
        <v>Kadabra</v>
      </c>
      <c r="B128" s="11" t="str">
        <f>IFERROR(__xludf.DUMMYFUNCTION("""COMPUTED_VALUE"""),"enchanted gem")</f>
        <v>enchanted gem</v>
      </c>
      <c r="C128" s="11" t="str">
        <f>IFERROR(__xludf.DUMMYFUNCTION("""COMPUTED_VALUE"""),"psychic spoon")</f>
        <v>psychic spoon</v>
      </c>
      <c r="D128" s="11" t="str">
        <f>IFERROR(__xludf.DUMMYFUNCTION("""COMPUTED_VALUE"""),"enigma stone")</f>
        <v>enigma stone</v>
      </c>
      <c r="E128" s="11"/>
      <c r="F128" s="11"/>
      <c r="G128" s="11"/>
      <c r="H128" s="11"/>
      <c r="I128" s="11"/>
      <c r="J128" s="11"/>
      <c r="K128" s="11"/>
      <c r="L128" s="11"/>
    </row>
    <row r="129">
      <c r="A129" s="13" t="str">
        <f>IFERROR(__xludf.DUMMYFUNCTION("""COMPUTED_VALUE"""),"Shiny Kadabra")</f>
        <v>Shiny Kadabra</v>
      </c>
      <c r="B129" s="11" t="str">
        <f>IFERROR(__xludf.DUMMYFUNCTION("""COMPUTED_VALUE"""),"enchanted gem")</f>
        <v>enchanted gem</v>
      </c>
      <c r="C129" s="11" t="str">
        <f>IFERROR(__xludf.DUMMYFUNCTION("""COMPUTED_VALUE"""),"enchanted spoon")</f>
        <v>enchanted spoon</v>
      </c>
      <c r="D129" s="11" t="str">
        <f>IFERROR(__xludf.DUMMYFUNCTION("""COMPUTED_VALUE"""),"enigma stone")</f>
        <v>enigma stone</v>
      </c>
      <c r="E129" s="11" t="str">
        <f>IFERROR(__xludf.DUMMYFUNCTION("""COMPUTED_VALUE"""),"arcane psychic orb")</f>
        <v>arcane psychic orb</v>
      </c>
      <c r="F129" s="11"/>
      <c r="G129" s="11"/>
      <c r="H129" s="11"/>
      <c r="I129" s="11"/>
      <c r="J129" s="11"/>
      <c r="K129" s="11"/>
      <c r="L129" s="11"/>
    </row>
    <row r="130">
      <c r="A130" s="13" t="str">
        <f>IFERROR(__xludf.DUMMYFUNCTION("""COMPUTED_VALUE"""),"Alakazam")</f>
        <v>Alakazam</v>
      </c>
      <c r="B130" s="11" t="str">
        <f>IFERROR(__xludf.DUMMYFUNCTION("""COMPUTED_VALUE"""),"enchanted gem")</f>
        <v>enchanted gem</v>
      </c>
      <c r="C130" s="11" t="str">
        <f>IFERROR(__xludf.DUMMYFUNCTION("""COMPUTED_VALUE"""),"psychic moustache")</f>
        <v>psychic moustache</v>
      </c>
      <c r="D130" s="11" t="str">
        <f>IFERROR(__xludf.DUMMYFUNCTION("""COMPUTED_VALUE"""),"enigma stone")</f>
        <v>enigma stone</v>
      </c>
      <c r="E130" s="11"/>
      <c r="F130" s="11"/>
      <c r="G130" s="11"/>
      <c r="H130" s="11"/>
      <c r="I130" s="11"/>
      <c r="J130" s="11"/>
      <c r="K130" s="11"/>
      <c r="L130" s="11"/>
    </row>
    <row r="131">
      <c r="A131" s="13" t="str">
        <f>IFERROR(__xludf.DUMMYFUNCTION("""COMPUTED_VALUE"""),"Shiny Alakazam")</f>
        <v>Shiny Alakazam</v>
      </c>
      <c r="B131" s="11" t="str">
        <f>IFERROR(__xludf.DUMMYFUNCTION("""COMPUTED_VALUE"""),"enchanted gem")</f>
        <v>enchanted gem</v>
      </c>
      <c r="C131" s="11" t="str">
        <f>IFERROR(__xludf.DUMMYFUNCTION("""COMPUTED_VALUE"""),"purple moustache")</f>
        <v>purple moustache</v>
      </c>
      <c r="D131" s="11" t="str">
        <f>IFERROR(__xludf.DUMMYFUNCTION("""COMPUTED_VALUE"""),"enigma stone")</f>
        <v>enigma stone</v>
      </c>
      <c r="E131" s="11" t="str">
        <f>IFERROR(__xludf.DUMMYFUNCTION("""COMPUTED_VALUE"""),"mythic psychic orb")</f>
        <v>mythic psychic orb</v>
      </c>
      <c r="F131" s="11"/>
      <c r="G131" s="11"/>
      <c r="H131" s="11"/>
      <c r="I131" s="11"/>
      <c r="J131" s="11"/>
      <c r="K131" s="11"/>
      <c r="L131" s="11"/>
    </row>
    <row r="132">
      <c r="A132" s="13" t="str">
        <f>IFERROR(__xludf.DUMMYFUNCTION("""COMPUTED_VALUE"""),"Machop")</f>
        <v>Machop</v>
      </c>
      <c r="B132" s="11" t="str">
        <f>IFERROR(__xludf.DUMMYFUNCTION("""COMPUTED_VALUE"""),"band aid")</f>
        <v>band aid</v>
      </c>
      <c r="C132" s="11" t="str">
        <f>IFERROR(__xludf.DUMMYFUNCTION("""COMPUTED_VALUE"""),"fighter hawk")</f>
        <v>fighter hawk</v>
      </c>
      <c r="D132" s="11"/>
      <c r="E132" s="11"/>
      <c r="F132" s="11"/>
      <c r="G132" s="11"/>
      <c r="H132" s="11"/>
      <c r="I132" s="11"/>
      <c r="J132" s="11"/>
      <c r="K132" s="11"/>
      <c r="L132" s="11"/>
    </row>
    <row r="133">
      <c r="A133" s="13" t="str">
        <f>IFERROR(__xludf.DUMMYFUNCTION("""COMPUTED_VALUE"""),"Shiny Machop")</f>
        <v>Shiny Machop</v>
      </c>
      <c r="B133" s="11" t="str">
        <f>IFERROR(__xludf.DUMMYFUNCTION("""COMPUTED_VALUE"""),"band aid")</f>
        <v>band aid</v>
      </c>
      <c r="C133" s="11" t="str">
        <f>IFERROR(__xludf.DUMMYFUNCTION("""COMPUTED_VALUE"""),"blond hawk")</f>
        <v>blond hawk</v>
      </c>
      <c r="D133" s="11" t="str">
        <f>IFERROR(__xludf.DUMMYFUNCTION("""COMPUTED_VALUE"""),"punch stone")</f>
        <v>punch stone</v>
      </c>
      <c r="E133" s="11" t="str">
        <f>IFERROR(__xludf.DUMMYFUNCTION("""COMPUTED_VALUE"""),"simple fighting orb")</f>
        <v>simple fighting orb</v>
      </c>
      <c r="F133" s="11"/>
      <c r="G133" s="11"/>
      <c r="H133" s="11"/>
      <c r="I133" s="11"/>
      <c r="J133" s="11"/>
      <c r="K133" s="11"/>
      <c r="L133" s="11"/>
    </row>
    <row r="134">
      <c r="A134" s="13" t="str">
        <f>IFERROR(__xludf.DUMMYFUNCTION("""COMPUTED_VALUE"""),"Machoke")</f>
        <v>Machoke</v>
      </c>
      <c r="B134" s="11" t="str">
        <f>IFERROR(__xludf.DUMMYFUNCTION("""COMPUTED_VALUE"""),"band aid")</f>
        <v>band aid</v>
      </c>
      <c r="C134" s="11" t="str">
        <f>IFERROR(__xludf.DUMMYFUNCTION("""COMPUTED_VALUE"""),"fighter underwear")</f>
        <v>fighter underwear</v>
      </c>
      <c r="D134" s="11" t="str">
        <f>IFERROR(__xludf.DUMMYFUNCTION("""COMPUTED_VALUE"""),"punch stone")</f>
        <v>punch stone</v>
      </c>
      <c r="E134" s="11"/>
      <c r="F134" s="11"/>
      <c r="G134" s="11"/>
      <c r="H134" s="11"/>
      <c r="I134" s="11"/>
      <c r="J134" s="11"/>
      <c r="K134" s="11"/>
      <c r="L134" s="11"/>
    </row>
    <row r="135">
      <c r="A135" s="13" t="str">
        <f>IFERROR(__xludf.DUMMYFUNCTION("""COMPUTED_VALUE"""),"Shiny Machoke")</f>
        <v>Shiny Machoke</v>
      </c>
      <c r="B135" s="11" t="str">
        <f>IFERROR(__xludf.DUMMYFUNCTION("""COMPUTED_VALUE"""),"band aid")</f>
        <v>band aid</v>
      </c>
      <c r="C135" s="11" t="str">
        <f>IFERROR(__xludf.DUMMYFUNCTION("""COMPUTED_VALUE"""),"champion underwear")</f>
        <v>champion underwear</v>
      </c>
      <c r="D135" s="11" t="str">
        <f>IFERROR(__xludf.DUMMYFUNCTION("""COMPUTED_VALUE"""),"punch stone")</f>
        <v>punch stone</v>
      </c>
      <c r="E135" s="11" t="str">
        <f>IFERROR(__xludf.DUMMYFUNCTION("""COMPUTED_VALUE"""),"arcane fighting orb")</f>
        <v>arcane fighting orb</v>
      </c>
      <c r="F135" s="11"/>
      <c r="G135" s="11"/>
      <c r="H135" s="11"/>
      <c r="I135" s="11"/>
      <c r="J135" s="11"/>
      <c r="K135" s="11"/>
      <c r="L135" s="11"/>
    </row>
    <row r="136">
      <c r="A136" s="13" t="str">
        <f>IFERROR(__xludf.DUMMYFUNCTION("""COMPUTED_VALUE"""),"Machamp")</f>
        <v>Machamp</v>
      </c>
      <c r="B136" s="11" t="str">
        <f>IFERROR(__xludf.DUMMYFUNCTION("""COMPUTED_VALUE"""),"band aid")</f>
        <v>band aid</v>
      </c>
      <c r="C136" s="11" t="str">
        <f>IFERROR(__xludf.DUMMYFUNCTION("""COMPUTED_VALUE"""),"belt of champion")</f>
        <v>belt of champion</v>
      </c>
      <c r="D136" s="11" t="str">
        <f>IFERROR(__xludf.DUMMYFUNCTION("""COMPUTED_VALUE"""),"punch stone")</f>
        <v>punch stone</v>
      </c>
      <c r="E136" s="11"/>
      <c r="F136" s="11"/>
      <c r="G136" s="11"/>
      <c r="H136" s="11"/>
      <c r="I136" s="11"/>
      <c r="J136" s="11"/>
      <c r="K136" s="11"/>
      <c r="L136" s="11"/>
    </row>
    <row r="137">
      <c r="A137" s="13" t="str">
        <f>IFERROR(__xludf.DUMMYFUNCTION("""COMPUTED_VALUE"""),"Shiny Machamp")</f>
        <v>Shiny Machamp</v>
      </c>
      <c r="B137" s="11" t="str">
        <f>IFERROR(__xludf.DUMMYFUNCTION("""COMPUTED_VALUE"""),"band aid")</f>
        <v>band aid</v>
      </c>
      <c r="C137" s="11" t="str">
        <f>IFERROR(__xludf.DUMMYFUNCTION("""COMPUTED_VALUE"""),"master belt")</f>
        <v>master belt</v>
      </c>
      <c r="D137" s="11" t="str">
        <f>IFERROR(__xludf.DUMMYFUNCTION("""COMPUTED_VALUE"""),"punch stone")</f>
        <v>punch stone</v>
      </c>
      <c r="E137" s="11" t="str">
        <f>IFERROR(__xludf.DUMMYFUNCTION("""COMPUTED_VALUE"""),"mythic fighting orb")</f>
        <v>mythic fighting orb</v>
      </c>
      <c r="F137" s="11"/>
      <c r="G137" s="11"/>
      <c r="H137" s="11"/>
      <c r="I137" s="11"/>
      <c r="J137" s="11"/>
      <c r="K137" s="11"/>
      <c r="L137" s="11"/>
    </row>
    <row r="138">
      <c r="A138" s="13" t="str">
        <f>IFERROR(__xludf.DUMMYFUNCTION("""COMPUTED_VALUE"""),"Bellsprout")</f>
        <v>Bellsprout</v>
      </c>
      <c r="B138" s="11" t="str">
        <f>IFERROR(__xludf.DUMMYFUNCTION("""COMPUTED_VALUE"""),"seed")</f>
        <v>seed</v>
      </c>
      <c r="C138" s="11" t="str">
        <f>IFERROR(__xludf.DUMMYFUNCTION("""COMPUTED_VALUE"""),"bottle of poison")</f>
        <v>bottle of poison</v>
      </c>
      <c r="D138" s="11" t="str">
        <f>IFERROR(__xludf.DUMMYFUNCTION("""COMPUTED_VALUE"""),"flower stem")</f>
        <v>flower stem</v>
      </c>
      <c r="E138" s="11"/>
      <c r="F138" s="11"/>
      <c r="G138" s="11"/>
      <c r="H138" s="11"/>
      <c r="I138" s="11"/>
      <c r="J138" s="11"/>
      <c r="K138" s="11"/>
      <c r="L138" s="11"/>
    </row>
    <row r="139">
      <c r="A139" s="13" t="str">
        <f>IFERROR(__xludf.DUMMYFUNCTION("""COMPUTED_VALUE"""),"Shiny Bellsprout")</f>
        <v>Shiny Bellsprout</v>
      </c>
      <c r="B139" s="11" t="str">
        <f>IFERROR(__xludf.DUMMYFUNCTION("""COMPUTED_VALUE"""),"seed")</f>
        <v>seed</v>
      </c>
      <c r="C139" s="11" t="str">
        <f>IFERROR(__xludf.DUMMYFUNCTION("""COMPUTED_VALUE"""),"bottle of poison")</f>
        <v>bottle of poison</v>
      </c>
      <c r="D139" s="11" t="str">
        <f>IFERROR(__xludf.DUMMYFUNCTION("""COMPUTED_VALUE"""),"red stem")</f>
        <v>red stem</v>
      </c>
      <c r="E139" s="11" t="str">
        <f>IFERROR(__xludf.DUMMYFUNCTION("""COMPUTED_VALUE"""),"leaf stone")</f>
        <v>leaf stone</v>
      </c>
      <c r="F139" s="11" t="str">
        <f>IFERROR(__xludf.DUMMYFUNCTION("""COMPUTED_VALUE"""),"venom stone")</f>
        <v>venom stone</v>
      </c>
      <c r="G139" s="11" t="str">
        <f>IFERROR(__xludf.DUMMYFUNCTION("""COMPUTED_VALUE"""),"simple grass orb")</f>
        <v>simple grass orb</v>
      </c>
      <c r="H139" s="11"/>
      <c r="I139" s="11"/>
      <c r="J139" s="11"/>
      <c r="K139" s="11"/>
      <c r="L139" s="11"/>
    </row>
    <row r="140">
      <c r="A140" s="13" t="str">
        <f>IFERROR(__xludf.DUMMYFUNCTION("""COMPUTED_VALUE"""),"Weepinbell")</f>
        <v>Weepinbell</v>
      </c>
      <c r="B140" s="11" t="str">
        <f>IFERROR(__xludf.DUMMYFUNCTION("""COMPUTED_VALUE"""),"seed")</f>
        <v>seed</v>
      </c>
      <c r="C140" s="11" t="str">
        <f>IFERROR(__xludf.DUMMYFUNCTION("""COMPUTED_VALUE"""),"bottle of poison")</f>
        <v>bottle of poison</v>
      </c>
      <c r="D140" s="11" t="str">
        <f>IFERROR(__xludf.DUMMYFUNCTION("""COMPUTED_VALUE"""),"weepinbell leaves")</f>
        <v>weepinbell leaves</v>
      </c>
      <c r="E140" s="11" t="str">
        <f>IFERROR(__xludf.DUMMYFUNCTION("""COMPUTED_VALUE"""),"leaf stone")</f>
        <v>leaf stone</v>
      </c>
      <c r="F140" s="11" t="str">
        <f>IFERROR(__xludf.DUMMYFUNCTION("""COMPUTED_VALUE"""),"venom stone")</f>
        <v>venom stone</v>
      </c>
      <c r="G140" s="11"/>
      <c r="H140" s="11"/>
      <c r="I140" s="11"/>
      <c r="J140" s="11"/>
      <c r="K140" s="11"/>
      <c r="L140" s="11"/>
    </row>
    <row r="141">
      <c r="A141" s="13" t="str">
        <f>IFERROR(__xludf.DUMMYFUNCTION("""COMPUTED_VALUE"""),"Shiny Weepinbell")</f>
        <v>Shiny Weepinbell</v>
      </c>
      <c r="B141" s="11" t="str">
        <f>IFERROR(__xludf.DUMMYFUNCTION("""COMPUTED_VALUE"""),"seed")</f>
        <v>seed</v>
      </c>
      <c r="C141" s="11" t="str">
        <f>IFERROR(__xludf.DUMMYFUNCTION("""COMPUTED_VALUE"""),"bottle of poison")</f>
        <v>bottle of poison</v>
      </c>
      <c r="D141" s="11" t="str">
        <f>IFERROR(__xludf.DUMMYFUNCTION("""COMPUTED_VALUE"""),"cyan leaves")</f>
        <v>cyan leaves</v>
      </c>
      <c r="E141" s="11" t="str">
        <f>IFERROR(__xludf.DUMMYFUNCTION("""COMPUTED_VALUE"""),"leaf stone")</f>
        <v>leaf stone</v>
      </c>
      <c r="F141" s="11" t="str">
        <f>IFERROR(__xludf.DUMMYFUNCTION("""COMPUTED_VALUE"""),"venom stone")</f>
        <v>venom stone</v>
      </c>
      <c r="G141" s="11" t="str">
        <f>IFERROR(__xludf.DUMMYFUNCTION("""COMPUTED_VALUE"""),"arcane grass orb")</f>
        <v>arcane grass orb</v>
      </c>
      <c r="H141" s="11"/>
      <c r="I141" s="11"/>
      <c r="J141" s="11"/>
      <c r="K141" s="11"/>
      <c r="L141" s="11"/>
    </row>
    <row r="142">
      <c r="A142" s="13" t="str">
        <f>IFERROR(__xludf.DUMMYFUNCTION("""COMPUTED_VALUE"""),"Victreebel")</f>
        <v>Victreebel</v>
      </c>
      <c r="B142" s="5" t="str">
        <f>IFERROR(__xludf.DUMMYFUNCTION("""COMPUTED_VALUE"""),"seed")</f>
        <v>seed</v>
      </c>
      <c r="C142" s="5" t="str">
        <f>IFERROR(__xludf.DUMMYFUNCTION("""COMPUTED_VALUE"""),"bottle of poison")</f>
        <v>bottle of poison</v>
      </c>
      <c r="D142" s="5" t="str">
        <f>IFERROR(__xludf.DUMMYFUNCTION("""COMPUTED_VALUE"""),"victreebell tail")</f>
        <v>victreebell tail</v>
      </c>
      <c r="E142" s="5" t="str">
        <f>IFERROR(__xludf.DUMMYFUNCTION("""COMPUTED_VALUE"""),"leaf stone")</f>
        <v>leaf stone</v>
      </c>
      <c r="F142" s="5" t="str">
        <f>IFERROR(__xludf.DUMMYFUNCTION("""COMPUTED_VALUE"""),"venom stone")</f>
        <v>venom stone</v>
      </c>
      <c r="G142" s="11"/>
      <c r="H142" s="11"/>
      <c r="I142" s="11"/>
      <c r="J142" s="11"/>
      <c r="K142" s="11"/>
      <c r="L142" s="11"/>
    </row>
    <row r="143">
      <c r="A143" s="13" t="str">
        <f>IFERROR(__xludf.DUMMYFUNCTION("""COMPUTED_VALUE"""),"Shiny Victreebel")</f>
        <v>Shiny Victreebel</v>
      </c>
      <c r="B143" s="5" t="str">
        <f>IFERROR(__xludf.DUMMYFUNCTION("""COMPUTED_VALUE"""),"seed")</f>
        <v>seed</v>
      </c>
      <c r="C143" s="5" t="str">
        <f>IFERROR(__xludf.DUMMYFUNCTION("""COMPUTED_VALUE"""),"bottle of poison")</f>
        <v>bottle of poison</v>
      </c>
      <c r="D143" s="5" t="str">
        <f>IFERROR(__xludf.DUMMYFUNCTION("""COMPUTED_VALUE"""),"yellow plant tail")</f>
        <v>yellow plant tail</v>
      </c>
      <c r="E143" s="5" t="str">
        <f>IFERROR(__xludf.DUMMYFUNCTION("""COMPUTED_VALUE"""),"leaf stone")</f>
        <v>leaf stone</v>
      </c>
      <c r="F143" s="5" t="str">
        <f>IFERROR(__xludf.DUMMYFUNCTION("""COMPUTED_VALUE"""),"venom stone")</f>
        <v>venom stone</v>
      </c>
      <c r="G143" s="5" t="str">
        <f>IFERROR(__xludf.DUMMYFUNCTION("""COMPUTED_VALUE"""),"arcane grass orb")</f>
        <v>arcane grass orb</v>
      </c>
      <c r="H143" s="11"/>
      <c r="I143" s="11"/>
      <c r="J143" s="11"/>
      <c r="K143" s="11"/>
      <c r="L143" s="11"/>
    </row>
    <row r="144">
      <c r="A144" s="13" t="str">
        <f>IFERROR(__xludf.DUMMYFUNCTION("""COMPUTED_VALUE"""),"Tentacool")</f>
        <v>Tentacool</v>
      </c>
      <c r="B144" s="5" t="str">
        <f>IFERROR(__xludf.DUMMYFUNCTION("""COMPUTED_VALUE"""),"water gem")</f>
        <v>water gem</v>
      </c>
      <c r="C144" s="5" t="str">
        <f>IFERROR(__xludf.DUMMYFUNCTION("""COMPUTED_VALUE"""),"bottle of poison")</f>
        <v>bottle of poison</v>
      </c>
      <c r="D144" s="5" t="str">
        <f>IFERROR(__xludf.DUMMYFUNCTION("""COMPUTED_VALUE"""),"tentacle")</f>
        <v>tentacle</v>
      </c>
      <c r="E144" s="11"/>
      <c r="F144" s="11"/>
      <c r="G144" s="11"/>
      <c r="H144" s="11"/>
      <c r="I144" s="11"/>
      <c r="J144" s="11"/>
      <c r="K144" s="11"/>
      <c r="L144" s="11"/>
    </row>
    <row r="145">
      <c r="A145" s="13" t="str">
        <f>IFERROR(__xludf.DUMMYFUNCTION("""COMPUTED_VALUE"""),"Shiny Tentacool")</f>
        <v>Shiny Tentacool</v>
      </c>
      <c r="B145" s="5" t="str">
        <f>IFERROR(__xludf.DUMMYFUNCTION("""COMPUTED_VALUE"""),"water gem")</f>
        <v>water gem</v>
      </c>
      <c r="C145" s="5" t="str">
        <f>IFERROR(__xludf.DUMMYFUNCTION("""COMPUTED_VALUE"""),"bottle of poison")</f>
        <v>bottle of poison</v>
      </c>
      <c r="D145" s="5" t="str">
        <f>IFERROR(__xludf.DUMMYFUNCTION("""COMPUTED_VALUE"""),"green tetacle")</f>
        <v>green tetacle</v>
      </c>
      <c r="E145" s="5" t="str">
        <f>IFERROR(__xludf.DUMMYFUNCTION("""COMPUTED_VALUE"""),"water stone")</f>
        <v>water stone</v>
      </c>
      <c r="F145" s="5" t="str">
        <f>IFERROR(__xludf.DUMMYFUNCTION("""COMPUTED_VALUE"""),"venom stone")</f>
        <v>venom stone</v>
      </c>
      <c r="G145" s="5" t="str">
        <f>IFERROR(__xludf.DUMMYFUNCTION("""COMPUTED_VALUE"""),"simple water orb")</f>
        <v>simple water orb</v>
      </c>
      <c r="H145" s="11"/>
      <c r="I145" s="11"/>
      <c r="J145" s="11"/>
      <c r="K145" s="11"/>
      <c r="L145" s="11"/>
    </row>
    <row r="146">
      <c r="A146" s="13" t="str">
        <f>IFERROR(__xludf.DUMMYFUNCTION("""COMPUTED_VALUE"""),"Tentacruel")</f>
        <v>Tentacruel</v>
      </c>
      <c r="B146" s="5" t="str">
        <f>IFERROR(__xludf.DUMMYFUNCTION("""COMPUTED_VALUE"""),"water gem")</f>
        <v>water gem</v>
      </c>
      <c r="C146" s="5" t="str">
        <f>IFERROR(__xludf.DUMMYFUNCTION("""COMPUTED_VALUE"""),"bottle of poison")</f>
        <v>bottle of poison</v>
      </c>
      <c r="D146" s="5" t="str">
        <f>IFERROR(__xludf.DUMMYFUNCTION("""COMPUTED_VALUE"""),"giant ruby")</f>
        <v>giant ruby</v>
      </c>
      <c r="E146" s="5" t="str">
        <f>IFERROR(__xludf.DUMMYFUNCTION("""COMPUTED_VALUE"""),"water stone")</f>
        <v>water stone</v>
      </c>
      <c r="F146" s="5" t="str">
        <f>IFERROR(__xludf.DUMMYFUNCTION("""COMPUTED_VALUE"""),"venom stone")</f>
        <v>venom stone</v>
      </c>
      <c r="G146" s="11"/>
      <c r="H146" s="11"/>
      <c r="I146" s="11"/>
      <c r="J146" s="11"/>
      <c r="K146" s="11"/>
      <c r="L146" s="11"/>
    </row>
    <row r="147">
      <c r="A147" s="13" t="str">
        <f>IFERROR(__xludf.DUMMYFUNCTION("""COMPUTED_VALUE"""),"Shiny Tentacruel")</f>
        <v>Shiny Tentacruel</v>
      </c>
      <c r="B147" s="5" t="str">
        <f>IFERROR(__xludf.DUMMYFUNCTION("""COMPUTED_VALUE"""),"water gem")</f>
        <v>water gem</v>
      </c>
      <c r="C147" s="5" t="str">
        <f>IFERROR(__xludf.DUMMYFUNCTION("""COMPUTED_VALUE"""),"bottle of poison")</f>
        <v>bottle of poison</v>
      </c>
      <c r="D147" s="5" t="str">
        <f>IFERROR(__xludf.DUMMYFUNCTION("""COMPUTED_VALUE"""),"emerald")</f>
        <v>emerald</v>
      </c>
      <c r="E147" s="5" t="str">
        <f>IFERROR(__xludf.DUMMYFUNCTION("""COMPUTED_VALUE"""),"water stone")</f>
        <v>water stone</v>
      </c>
      <c r="F147" s="5" t="str">
        <f>IFERROR(__xludf.DUMMYFUNCTION("""COMPUTED_VALUE"""),"venom stone")</f>
        <v>venom stone</v>
      </c>
      <c r="G147" s="5" t="str">
        <f>IFERROR(__xludf.DUMMYFUNCTION("""COMPUTED_VALUE"""),"mythic water orb")</f>
        <v>mythic water orb</v>
      </c>
      <c r="H147" s="11"/>
      <c r="I147" s="11"/>
      <c r="J147" s="11"/>
      <c r="K147" s="11"/>
      <c r="L147" s="11"/>
    </row>
    <row r="148">
      <c r="A148" s="13" t="str">
        <f>IFERROR(__xludf.DUMMYFUNCTION("""COMPUTED_VALUE"""),"Geodude")</f>
        <v>Geodude</v>
      </c>
      <c r="B148" s="11" t="str">
        <f>IFERROR(__xludf.DUMMYFUNCTION("""COMPUTED_VALUE"""),"small stone")</f>
        <v>small stone</v>
      </c>
      <c r="C148" s="11" t="str">
        <f>IFERROR(__xludf.DUMMYFUNCTION("""COMPUTED_VALUE"""),"earth ball")</f>
        <v>earth ball</v>
      </c>
      <c r="D148" s="11" t="str">
        <f>IFERROR(__xludf.DUMMYFUNCTION("""COMPUTED_VALUE"""),"rock fist")</f>
        <v>rock fist</v>
      </c>
      <c r="E148" s="11"/>
      <c r="F148" s="11"/>
      <c r="G148" s="11"/>
      <c r="H148" s="11"/>
      <c r="I148" s="11"/>
      <c r="J148" s="11"/>
      <c r="K148" s="11"/>
      <c r="L148" s="11"/>
    </row>
    <row r="149">
      <c r="A149" s="13" t="str">
        <f>IFERROR(__xludf.DUMMYFUNCTION("""COMPUTED_VALUE"""),"Shiny Geodude")</f>
        <v>Shiny Geodude</v>
      </c>
      <c r="B149" s="11" t="str">
        <f>IFERROR(__xludf.DUMMYFUNCTION("""COMPUTED_VALUE"""),"small stone")</f>
        <v>small stone</v>
      </c>
      <c r="C149" s="11" t="str">
        <f>IFERROR(__xludf.DUMMYFUNCTION("""COMPUTED_VALUE"""),"earth ball")</f>
        <v>earth ball</v>
      </c>
      <c r="D149" s="11" t="str">
        <f>IFERROR(__xludf.DUMMYFUNCTION("""COMPUTED_VALUE"""),"purple fist")</f>
        <v>purple fist</v>
      </c>
      <c r="E149" s="11" t="str">
        <f>IFERROR(__xludf.DUMMYFUNCTION("""COMPUTED_VALUE"""),"rock stone")</f>
        <v>rock stone</v>
      </c>
      <c r="F149" s="11" t="str">
        <f>IFERROR(__xludf.DUMMYFUNCTION("""COMPUTED_VALUE"""),"earth stone")</f>
        <v>earth stone</v>
      </c>
      <c r="G149" s="11" t="str">
        <f>IFERROR(__xludf.DUMMYFUNCTION("""COMPUTED_VALUE"""),"simple rock orb")</f>
        <v>simple rock orb</v>
      </c>
      <c r="H149" s="11"/>
      <c r="I149" s="11"/>
      <c r="J149" s="11"/>
      <c r="K149" s="11"/>
      <c r="L149" s="11"/>
    </row>
    <row r="150">
      <c r="A150" s="13" t="str">
        <f>IFERROR(__xludf.DUMMYFUNCTION("""COMPUTED_VALUE"""),"Graveler")</f>
        <v>Graveler</v>
      </c>
      <c r="B150" s="11" t="str">
        <f>IFERROR(__xludf.DUMMYFUNCTION("""COMPUTED_VALUE"""),"small stone")</f>
        <v>small stone</v>
      </c>
      <c r="C150" s="11" t="str">
        <f>IFERROR(__xludf.DUMMYFUNCTION("""COMPUTED_VALUE"""),"earth ball")</f>
        <v>earth ball</v>
      </c>
      <c r="D150" s="11" t="str">
        <f>IFERROR(__xludf.DUMMYFUNCTION("""COMPUTED_VALUE"""),"rock forehead")</f>
        <v>rock forehead</v>
      </c>
      <c r="E150" s="11" t="str">
        <f>IFERROR(__xludf.DUMMYFUNCTION("""COMPUTED_VALUE"""),"rock stone")</f>
        <v>rock stone</v>
      </c>
      <c r="F150" s="11" t="str">
        <f>IFERROR(__xludf.DUMMYFUNCTION("""COMPUTED_VALUE"""),"earth stone")</f>
        <v>earth stone</v>
      </c>
      <c r="G150" s="11"/>
      <c r="H150" s="11"/>
      <c r="I150" s="11"/>
      <c r="J150" s="11"/>
      <c r="K150" s="11"/>
      <c r="L150" s="11"/>
    </row>
    <row r="151">
      <c r="A151" s="13" t="str">
        <f>IFERROR(__xludf.DUMMYFUNCTION("""COMPUTED_VALUE"""),"Shiny Graveler")</f>
        <v>Shiny Graveler</v>
      </c>
      <c r="B151" s="11" t="str">
        <f>IFERROR(__xludf.DUMMYFUNCTION("""COMPUTED_VALUE"""),"small stone")</f>
        <v>small stone</v>
      </c>
      <c r="C151" s="11" t="str">
        <f>IFERROR(__xludf.DUMMYFUNCTION("""COMPUTED_VALUE"""),"earth ball")</f>
        <v>earth ball</v>
      </c>
      <c r="D151" s="11" t="str">
        <f>IFERROR(__xludf.DUMMYFUNCTION("""COMPUTED_VALUE"""),"purple stone forehead")</f>
        <v>purple stone forehead</v>
      </c>
      <c r="E151" s="11" t="str">
        <f>IFERROR(__xludf.DUMMYFUNCTION("""COMPUTED_VALUE"""),"rock stone")</f>
        <v>rock stone</v>
      </c>
      <c r="F151" s="11" t="str">
        <f>IFERROR(__xludf.DUMMYFUNCTION("""COMPUTED_VALUE"""),"earth stone")</f>
        <v>earth stone</v>
      </c>
      <c r="G151" s="11" t="str">
        <f>IFERROR(__xludf.DUMMYFUNCTION("""COMPUTED_VALUE"""),"arcane rock orb")</f>
        <v>arcane rock orb</v>
      </c>
      <c r="H151" s="11"/>
      <c r="I151" s="11"/>
      <c r="J151" s="11"/>
      <c r="K151" s="11"/>
      <c r="L151" s="11"/>
    </row>
    <row r="152">
      <c r="A152" s="13" t="str">
        <f>IFERROR(__xludf.DUMMYFUNCTION("""COMPUTED_VALUE"""),"Golem")</f>
        <v>Golem</v>
      </c>
      <c r="B152" s="11" t="str">
        <f>IFERROR(__xludf.DUMMYFUNCTION("""COMPUTED_VALUE"""),"small stone")</f>
        <v>small stone</v>
      </c>
      <c r="C152" s="11" t="str">
        <f>IFERROR(__xludf.DUMMYFUNCTION("""COMPUTED_VALUE"""),"earth ball")</f>
        <v>earth ball</v>
      </c>
      <c r="D152" s="11" t="str">
        <f>IFERROR(__xludf.DUMMYFUNCTION("""COMPUTED_VALUE"""),"stone rocks")</f>
        <v>stone rocks</v>
      </c>
      <c r="E152" s="11" t="str">
        <f>IFERROR(__xludf.DUMMYFUNCTION("""COMPUTED_VALUE"""),"rock stone")</f>
        <v>rock stone</v>
      </c>
      <c r="F152" s="11" t="str">
        <f>IFERROR(__xludf.DUMMYFUNCTION("""COMPUTED_VALUE"""),"earth stone")</f>
        <v>earth stone</v>
      </c>
      <c r="G152" s="11"/>
      <c r="H152" s="11"/>
      <c r="I152" s="11"/>
      <c r="J152" s="11"/>
      <c r="K152" s="11"/>
      <c r="L152" s="11"/>
    </row>
    <row r="153">
      <c r="A153" s="13" t="str">
        <f>IFERROR(__xludf.DUMMYFUNCTION("""COMPUTED_VALUE"""),"Shiny Golem")</f>
        <v>Shiny Golem</v>
      </c>
      <c r="B153" s="11" t="str">
        <f>IFERROR(__xludf.DUMMYFUNCTION("""COMPUTED_VALUE"""),"small stone")</f>
        <v>small stone</v>
      </c>
      <c r="C153" s="11" t="str">
        <f>IFERROR(__xludf.DUMMYFUNCTION("""COMPUTED_VALUE"""),"earth ball")</f>
        <v>earth ball</v>
      </c>
      <c r="D153" s="11" t="str">
        <f>IFERROR(__xludf.DUMMYFUNCTION("""COMPUTED_VALUE"""),"black rocks")</f>
        <v>black rocks</v>
      </c>
      <c r="E153" s="11" t="str">
        <f>IFERROR(__xludf.DUMMYFUNCTION("""COMPUTED_VALUE"""),"rock stone")</f>
        <v>rock stone</v>
      </c>
      <c r="F153" s="11" t="str">
        <f>IFERROR(__xludf.DUMMYFUNCTION("""COMPUTED_VALUE"""),"earth stone")</f>
        <v>earth stone</v>
      </c>
      <c r="G153" s="11" t="str">
        <f>IFERROR(__xludf.DUMMYFUNCTION("""COMPUTED_VALUE"""),"mythic rock orb")</f>
        <v>mythic rock orb</v>
      </c>
      <c r="H153" s="11"/>
      <c r="I153" s="11"/>
      <c r="J153" s="11"/>
      <c r="K153" s="11"/>
      <c r="L153" s="11"/>
    </row>
    <row r="154">
      <c r="A154" s="13" t="str">
        <f>IFERROR(__xludf.DUMMYFUNCTION("""COMPUTED_VALUE"""),"Ponyta")</f>
        <v>Ponyta</v>
      </c>
      <c r="B154" s="11" t="str">
        <f>IFERROR(__xludf.DUMMYFUNCTION("""COMPUTED_VALUE"""),"essence of fire")</f>
        <v>essence of fire</v>
      </c>
      <c r="C154" s="11" t="str">
        <f>IFERROR(__xludf.DUMMYFUNCTION("""COMPUTED_VALUE"""),"fire hair")</f>
        <v>fire hair</v>
      </c>
      <c r="D154" s="11"/>
      <c r="E154" s="11"/>
      <c r="F154" s="11"/>
      <c r="G154" s="11"/>
      <c r="H154" s="11"/>
      <c r="I154" s="11"/>
      <c r="J154" s="11"/>
      <c r="K154" s="11"/>
      <c r="L154" s="11"/>
    </row>
    <row r="155">
      <c r="A155" s="13" t="str">
        <f>IFERROR(__xludf.DUMMYFUNCTION("""COMPUTED_VALUE"""),"Shiny Ponyta")</f>
        <v>Shiny Ponyta</v>
      </c>
      <c r="B155" s="11" t="str">
        <f>IFERROR(__xludf.DUMMYFUNCTION("""COMPUTED_VALUE"""),"essence of fire")</f>
        <v>essence of fire</v>
      </c>
      <c r="C155" s="11" t="str">
        <f>IFERROR(__xludf.DUMMYFUNCTION("""COMPUTED_VALUE"""),"blue hair")</f>
        <v>blue hair</v>
      </c>
      <c r="D155" s="11" t="str">
        <f>IFERROR(__xludf.DUMMYFUNCTION("""COMPUTED_VALUE"""),"fire stone")</f>
        <v>fire stone</v>
      </c>
      <c r="E155" s="11" t="str">
        <f>IFERROR(__xludf.DUMMYFUNCTION("""COMPUTED_VALUE"""),"simple fire orb")</f>
        <v>simple fire orb</v>
      </c>
      <c r="F155" s="11"/>
      <c r="G155" s="11"/>
      <c r="H155" s="11"/>
      <c r="I155" s="11"/>
      <c r="J155" s="11"/>
      <c r="K155" s="11"/>
      <c r="L155" s="11"/>
    </row>
    <row r="156">
      <c r="A156" s="13" t="str">
        <f>IFERROR(__xludf.DUMMYFUNCTION("""COMPUTED_VALUE"""),"Rapidash")</f>
        <v>Rapidash</v>
      </c>
      <c r="B156" s="5" t="str">
        <f>IFERROR(__xludf.DUMMYFUNCTION("""COMPUTED_VALUE"""),"essence of fire")</f>
        <v>essence of fire</v>
      </c>
      <c r="C156" s="5" t="str">
        <f>IFERROR(__xludf.DUMMYFUNCTION("""COMPUTED_VALUE"""),"fire hoof")</f>
        <v>fire hoof</v>
      </c>
      <c r="D156" s="5" t="str">
        <f>IFERROR(__xludf.DUMMYFUNCTION("""COMPUTED_VALUE"""),"fire stone")</f>
        <v>fire stone</v>
      </c>
      <c r="E156" s="11"/>
      <c r="F156" s="11"/>
      <c r="G156" s="11"/>
      <c r="H156" s="11"/>
      <c r="I156" s="11"/>
      <c r="J156" s="11"/>
      <c r="K156" s="11"/>
      <c r="L156" s="11"/>
    </row>
    <row r="157">
      <c r="A157" s="13" t="str">
        <f>IFERROR(__xludf.DUMMYFUNCTION("""COMPUTED_VALUE"""),"Shiny Rapidash")</f>
        <v>Shiny Rapidash</v>
      </c>
      <c r="B157" s="5" t="str">
        <f>IFERROR(__xludf.DUMMYFUNCTION("""COMPUTED_VALUE"""),"essence of fire")</f>
        <v>essence of fire</v>
      </c>
      <c r="C157" s="5" t="str">
        <f>IFERROR(__xludf.DUMMYFUNCTION("""COMPUTED_VALUE"""),"blue fire hoof")</f>
        <v>blue fire hoof</v>
      </c>
      <c r="D157" s="5" t="str">
        <f>IFERROR(__xludf.DUMMYFUNCTION("""COMPUTED_VALUE"""),"fire stone")</f>
        <v>fire stone</v>
      </c>
      <c r="E157" s="5" t="str">
        <f>IFERROR(__xludf.DUMMYFUNCTION("""COMPUTED_VALUE"""),"mythic fire orb")</f>
        <v>mythic fire orb</v>
      </c>
      <c r="F157" s="11"/>
      <c r="G157" s="11"/>
      <c r="H157" s="11"/>
      <c r="I157" s="11"/>
      <c r="J157" s="11"/>
      <c r="K157" s="11"/>
      <c r="L157" s="11"/>
    </row>
    <row r="158">
      <c r="A158" s="13" t="str">
        <f>IFERROR(__xludf.DUMMYFUNCTION("""COMPUTED_VALUE"""),"Slowpoke")</f>
        <v>Slowpoke</v>
      </c>
      <c r="B158" s="11" t="str">
        <f>IFERROR(__xludf.DUMMYFUNCTION("""COMPUTED_VALUE"""),"water gem")</f>
        <v>water gem</v>
      </c>
      <c r="C158" s="11" t="str">
        <f>IFERROR(__xludf.DUMMYFUNCTION("""COMPUTED_VALUE"""),"enchanted gem")</f>
        <v>enchanted gem</v>
      </c>
      <c r="D158" s="11" t="str">
        <f>IFERROR(__xludf.DUMMYFUNCTION("""COMPUTED_VALUE"""),"slowpoke tail")</f>
        <v>slowpoke tail</v>
      </c>
      <c r="E158" s="11"/>
      <c r="F158" s="11"/>
      <c r="G158" s="11"/>
      <c r="H158" s="11"/>
      <c r="I158" s="11"/>
      <c r="J158" s="11"/>
      <c r="K158" s="11"/>
      <c r="L158" s="11"/>
    </row>
    <row r="159">
      <c r="A159" s="13" t="str">
        <f>IFERROR(__xludf.DUMMYFUNCTION("""COMPUTED_VALUE"""),"Shiny Slowpoke")</f>
        <v>Shiny Slowpoke</v>
      </c>
      <c r="B159" s="11" t="str">
        <f>IFERROR(__xludf.DUMMYFUNCTION("""COMPUTED_VALUE"""),"water gem")</f>
        <v>water gem</v>
      </c>
      <c r="C159" s="11" t="str">
        <f>IFERROR(__xludf.DUMMYFUNCTION("""COMPUTED_VALUE"""),"enchanted gem")</f>
        <v>enchanted gem</v>
      </c>
      <c r="D159" s="11" t="str">
        <f>IFERROR(__xludf.DUMMYFUNCTION("""COMPUTED_VALUE"""),"purple slowpoke tail")</f>
        <v>purple slowpoke tail</v>
      </c>
      <c r="E159" s="11" t="str">
        <f>IFERROR(__xludf.DUMMYFUNCTION("""COMPUTED_VALUE"""),"water stone")</f>
        <v>water stone</v>
      </c>
      <c r="F159" s="11" t="str">
        <f>IFERROR(__xludf.DUMMYFUNCTION("""COMPUTED_VALUE"""),"enigma stone")</f>
        <v>enigma stone</v>
      </c>
      <c r="G159" s="11" t="str">
        <f>IFERROR(__xludf.DUMMYFUNCTION("""COMPUTED_VALUE"""),"simple psychic orb")</f>
        <v>simple psychic orb</v>
      </c>
      <c r="H159" s="11"/>
      <c r="I159" s="11"/>
      <c r="J159" s="11"/>
      <c r="K159" s="11"/>
      <c r="L159" s="11"/>
    </row>
    <row r="160">
      <c r="A160" s="13" t="str">
        <f>IFERROR(__xludf.DUMMYFUNCTION("""COMPUTED_VALUE"""),"Slowbro")</f>
        <v>Slowbro</v>
      </c>
      <c r="B160" s="11" t="str">
        <f>IFERROR(__xludf.DUMMYFUNCTION("""COMPUTED_VALUE"""),"water gem")</f>
        <v>water gem</v>
      </c>
      <c r="C160" s="11" t="str">
        <f>IFERROR(__xludf.DUMMYFUNCTION("""COMPUTED_VALUE"""),"enchanted gem")</f>
        <v>enchanted gem</v>
      </c>
      <c r="D160" s="11" t="str">
        <f>IFERROR(__xludf.DUMMYFUNCTION("""COMPUTED_VALUE"""),"slowbro shell")</f>
        <v>slowbro shell</v>
      </c>
      <c r="E160" s="11" t="str">
        <f>IFERROR(__xludf.DUMMYFUNCTION("""COMPUTED_VALUE"""),"water stone")</f>
        <v>water stone</v>
      </c>
      <c r="F160" s="11" t="str">
        <f>IFERROR(__xludf.DUMMYFUNCTION("""COMPUTED_VALUE"""),"enigma stone")</f>
        <v>enigma stone</v>
      </c>
      <c r="G160" s="11"/>
      <c r="H160" s="11"/>
      <c r="I160" s="11"/>
      <c r="J160" s="11"/>
      <c r="K160" s="11"/>
      <c r="L160" s="11"/>
    </row>
    <row r="161">
      <c r="A161" s="13" t="str">
        <f>IFERROR(__xludf.DUMMYFUNCTION("""COMPUTED_VALUE"""),"Shiny Slowbro")</f>
        <v>Shiny Slowbro</v>
      </c>
      <c r="B161" s="11" t="str">
        <f>IFERROR(__xludf.DUMMYFUNCTION("""COMPUTED_VALUE"""),"water gem")</f>
        <v>water gem</v>
      </c>
      <c r="C161" s="11" t="str">
        <f>IFERROR(__xludf.DUMMYFUNCTION("""COMPUTED_VALUE"""),"enchanted gem")</f>
        <v>enchanted gem</v>
      </c>
      <c r="D161" s="11" t="str">
        <f>IFERROR(__xludf.DUMMYFUNCTION("""COMPUTED_VALUE"""),"unbreakable shell")</f>
        <v>unbreakable shell</v>
      </c>
      <c r="E161" s="11" t="str">
        <f>IFERROR(__xludf.DUMMYFUNCTION("""COMPUTED_VALUE"""),"water stone")</f>
        <v>water stone</v>
      </c>
      <c r="F161" s="11" t="str">
        <f>IFERROR(__xludf.DUMMYFUNCTION("""COMPUTED_VALUE"""),"enigma stone")</f>
        <v>enigma stone</v>
      </c>
      <c r="G161" s="11" t="str">
        <f>IFERROR(__xludf.DUMMYFUNCTION("""COMPUTED_VALUE"""),"arcane psychic orb")</f>
        <v>arcane psychic orb</v>
      </c>
      <c r="H161" s="11"/>
      <c r="I161" s="11"/>
      <c r="J161" s="11"/>
      <c r="K161" s="11"/>
      <c r="L161" s="11"/>
    </row>
    <row r="162">
      <c r="A162" s="13" t="str">
        <f>IFERROR(__xludf.DUMMYFUNCTION("""COMPUTED_VALUE"""),"Magnemite")</f>
        <v>Magnemite</v>
      </c>
      <c r="B162" s="11" t="str">
        <f>IFERROR(__xludf.DUMMYFUNCTION("""COMPUTED_VALUE"""),"screw")</f>
        <v>screw</v>
      </c>
      <c r="C162" s="11" t="str">
        <f>IFERROR(__xludf.DUMMYFUNCTION("""COMPUTED_VALUE"""),"piece of steel")</f>
        <v>piece of steel</v>
      </c>
      <c r="D162" s="11" t="str">
        <f>IFERROR(__xludf.DUMMYFUNCTION("""COMPUTED_VALUE"""),"electric screws")</f>
        <v>electric screws</v>
      </c>
      <c r="E162" s="11"/>
      <c r="F162" s="11"/>
      <c r="G162" s="11"/>
      <c r="H162" s="11"/>
      <c r="I162" s="11"/>
      <c r="J162" s="11"/>
      <c r="K162" s="11"/>
      <c r="L162" s="11"/>
    </row>
    <row r="163">
      <c r="A163" s="13" t="str">
        <f>IFERROR(__xludf.DUMMYFUNCTION("""COMPUTED_VALUE"""),"Shiny Magnemite")</f>
        <v>Shiny Magnemite</v>
      </c>
      <c r="B163" s="11" t="str">
        <f>IFERROR(__xludf.DUMMYFUNCTION("""COMPUTED_VALUE"""),"screw")</f>
        <v>screw</v>
      </c>
      <c r="C163" s="11" t="str">
        <f>IFERROR(__xludf.DUMMYFUNCTION("""COMPUTED_VALUE"""),"piece of steel")</f>
        <v>piece of steel</v>
      </c>
      <c r="D163" s="11" t="str">
        <f>IFERROR(__xludf.DUMMYFUNCTION("""COMPUTED_VALUE"""),"blue screws")</f>
        <v>blue screws</v>
      </c>
      <c r="E163" s="11" t="str">
        <f>IFERROR(__xludf.DUMMYFUNCTION("""COMPUTED_VALUE"""),"thunder stone")</f>
        <v>thunder stone</v>
      </c>
      <c r="F163" s="11" t="str">
        <f>IFERROR(__xludf.DUMMYFUNCTION("""COMPUTED_VALUE"""),"metal stone")</f>
        <v>metal stone</v>
      </c>
      <c r="G163" s="11" t="str">
        <f>IFERROR(__xludf.DUMMYFUNCTION("""COMPUTED_VALUE"""),"simple metal orb")</f>
        <v>simple metal orb</v>
      </c>
      <c r="H163" s="11"/>
      <c r="I163" s="11"/>
      <c r="J163" s="11"/>
      <c r="K163" s="11"/>
      <c r="L163" s="11"/>
    </row>
    <row r="164">
      <c r="A164" s="13" t="str">
        <f>IFERROR(__xludf.DUMMYFUNCTION("""COMPUTED_VALUE"""),"Magneton")</f>
        <v>Magneton</v>
      </c>
      <c r="B164" s="11" t="str">
        <f>IFERROR(__xludf.DUMMYFUNCTION("""COMPUTED_VALUE"""),"screw")</f>
        <v>screw</v>
      </c>
      <c r="C164" s="11" t="str">
        <f>IFERROR(__xludf.DUMMYFUNCTION("""COMPUTED_VALUE"""),"piece of steel")</f>
        <v>piece of steel</v>
      </c>
      <c r="D164" s="11" t="str">
        <f>IFERROR(__xludf.DUMMYFUNCTION("""COMPUTED_VALUE"""),"magnet")</f>
        <v>magnet</v>
      </c>
      <c r="E164" s="11" t="str">
        <f>IFERROR(__xludf.DUMMYFUNCTION("""COMPUTED_VALUE"""),"thunder stone")</f>
        <v>thunder stone</v>
      </c>
      <c r="F164" s="11" t="str">
        <f>IFERROR(__xludf.DUMMYFUNCTION("""COMPUTED_VALUE"""),"metal stone")</f>
        <v>metal stone</v>
      </c>
      <c r="G164" s="11"/>
      <c r="H164" s="11"/>
      <c r="I164" s="11"/>
      <c r="J164" s="11"/>
      <c r="K164" s="11"/>
      <c r="L164" s="11"/>
    </row>
    <row r="165">
      <c r="A165" s="13" t="str">
        <f>IFERROR(__xludf.DUMMYFUNCTION("""COMPUTED_VALUE"""),"Shiny Magneton")</f>
        <v>Shiny Magneton</v>
      </c>
      <c r="B165" s="11" t="str">
        <f>IFERROR(__xludf.DUMMYFUNCTION("""COMPUTED_VALUE"""),"screw")</f>
        <v>screw</v>
      </c>
      <c r="C165" s="11" t="str">
        <f>IFERROR(__xludf.DUMMYFUNCTION("""COMPUTED_VALUE"""),"piece of steel")</f>
        <v>piece of steel</v>
      </c>
      <c r="D165" s="11" t="str">
        <f>IFERROR(__xludf.DUMMYFUNCTION("""COMPUTED_VALUE"""),"strong magnet")</f>
        <v>strong magnet</v>
      </c>
      <c r="E165" s="11" t="str">
        <f>IFERROR(__xludf.DUMMYFUNCTION("""COMPUTED_VALUE"""),"thunder stone")</f>
        <v>thunder stone</v>
      </c>
      <c r="F165" s="11" t="str">
        <f>IFERROR(__xludf.DUMMYFUNCTION("""COMPUTED_VALUE"""),"metal stone")</f>
        <v>metal stone</v>
      </c>
      <c r="G165" s="11" t="str">
        <f>IFERROR(__xludf.DUMMYFUNCTION("""COMPUTED_VALUE"""),"arcane metal orb")</f>
        <v>arcane metal orb</v>
      </c>
      <c r="H165" s="11"/>
      <c r="I165" s="11"/>
      <c r="J165" s="11"/>
      <c r="K165" s="11"/>
      <c r="L165" s="11"/>
    </row>
    <row r="166">
      <c r="A166" s="13" t="str">
        <f>IFERROR(__xludf.DUMMYFUNCTION("""COMPUTED_VALUE"""),"Farfetch'd")</f>
        <v>Farfetch'd</v>
      </c>
      <c r="B166" s="11" t="str">
        <f>IFERROR(__xludf.DUMMYFUNCTION("""COMPUTED_VALUE"""),"rubber ball")</f>
        <v>rubber ball</v>
      </c>
      <c r="C166" s="11" t="str">
        <f>IFERROR(__xludf.DUMMYFUNCTION("""COMPUTED_VALUE"""),"straw")</f>
        <v>straw</v>
      </c>
      <c r="D166" s="11" t="str">
        <f>IFERROR(__xludf.DUMMYFUNCTION("""COMPUTED_VALUE"""),"farfetch'd wing")</f>
        <v>farfetch'd wing</v>
      </c>
      <c r="E166" s="11" t="str">
        <f>IFERROR(__xludf.DUMMYFUNCTION("""COMPUTED_VALUE"""),"heart stone")</f>
        <v>heart stone</v>
      </c>
      <c r="F166" s="11" t="str">
        <f>IFERROR(__xludf.DUMMYFUNCTION("""COMPUTED_VALUE"""),"feather stone")</f>
        <v>feather stone</v>
      </c>
      <c r="G166" s="11"/>
      <c r="H166" s="11"/>
      <c r="I166" s="11"/>
      <c r="J166" s="11"/>
      <c r="K166" s="11"/>
      <c r="L166" s="11"/>
    </row>
    <row r="167">
      <c r="A167" s="13" t="str">
        <f>IFERROR(__xludf.DUMMYFUNCTION("""COMPUTED_VALUE"""),"Shiny Farfetch'd")</f>
        <v>Shiny Farfetch'd</v>
      </c>
      <c r="B167" s="11" t="str">
        <f>IFERROR(__xludf.DUMMYFUNCTION("""COMPUTED_VALUE"""),"rubber ball")</f>
        <v>rubber ball</v>
      </c>
      <c r="C167" s="11" t="str">
        <f>IFERROR(__xludf.DUMMYFUNCTION("""COMPUTED_VALUE"""),"straw")</f>
        <v>straw</v>
      </c>
      <c r="D167" s="11" t="str">
        <f>IFERROR(__xludf.DUMMYFUNCTION("""COMPUTED_VALUE"""),"dark brown wings")</f>
        <v>dark brown wings</v>
      </c>
      <c r="E167" s="11" t="str">
        <f>IFERROR(__xludf.DUMMYFUNCTION("""COMPUTED_VALUE"""),"heart stone")</f>
        <v>heart stone</v>
      </c>
      <c r="F167" s="11" t="str">
        <f>IFERROR(__xludf.DUMMYFUNCTION("""COMPUTED_VALUE"""),"feather stone")</f>
        <v>feather stone</v>
      </c>
      <c r="G167" s="11" t="str">
        <f>IFERROR(__xludf.DUMMYFUNCTION("""COMPUTED_VALUE"""),"mythic flying orb")</f>
        <v>mythic flying orb</v>
      </c>
      <c r="H167" s="11"/>
      <c r="I167" s="11"/>
      <c r="J167" s="11"/>
      <c r="K167" s="11"/>
      <c r="L167" s="11"/>
    </row>
    <row r="168">
      <c r="A168" s="13" t="str">
        <f>IFERROR(__xludf.DUMMYFUNCTION("""COMPUTED_VALUE"""),"Doduo")</f>
        <v>Doduo</v>
      </c>
      <c r="B168" s="11" t="str">
        <f>IFERROR(__xludf.DUMMYFUNCTION("""COMPUTED_VALUE"""),"rubber ball")</f>
        <v>rubber ball</v>
      </c>
      <c r="C168" s="11" t="str">
        <f>IFERROR(__xludf.DUMMYFUNCTION("""COMPUTED_VALUE"""),"straw")</f>
        <v>straw</v>
      </c>
      <c r="D168" s="11" t="str">
        <f>IFERROR(__xludf.DUMMYFUNCTION("""COMPUTED_VALUE"""),"doduo fur")</f>
        <v>doduo fur</v>
      </c>
      <c r="E168" s="11"/>
      <c r="F168" s="11"/>
      <c r="G168" s="11"/>
      <c r="H168" s="11"/>
      <c r="I168" s="11"/>
      <c r="J168" s="11"/>
      <c r="K168" s="11"/>
      <c r="L168" s="11"/>
    </row>
    <row r="169">
      <c r="A169" s="13" t="str">
        <f>IFERROR(__xludf.DUMMYFUNCTION("""COMPUTED_VALUE"""),"Shiny Doduo")</f>
        <v>Shiny Doduo</v>
      </c>
      <c r="B169" s="11" t="str">
        <f>IFERROR(__xludf.DUMMYFUNCTION("""COMPUTED_VALUE"""),"rubber ball")</f>
        <v>rubber ball</v>
      </c>
      <c r="C169" s="11" t="str">
        <f>IFERROR(__xludf.DUMMYFUNCTION("""COMPUTED_VALUE"""),"straw")</f>
        <v>straw</v>
      </c>
      <c r="D169" s="11" t="str">
        <f>IFERROR(__xludf.DUMMYFUNCTION("""COMPUTED_VALUE"""),"gray fur")</f>
        <v>gray fur</v>
      </c>
      <c r="E169" s="11" t="str">
        <f>IFERROR(__xludf.DUMMYFUNCTION("""COMPUTED_VALUE"""),"heart stone")</f>
        <v>heart stone</v>
      </c>
      <c r="F169" s="11" t="str">
        <f>IFERROR(__xludf.DUMMYFUNCTION("""COMPUTED_VALUE"""),"feather stone")</f>
        <v>feather stone</v>
      </c>
      <c r="G169" s="11" t="str">
        <f>IFERROR(__xludf.DUMMYFUNCTION("""COMPUTED_VALUE"""),"simple flying orb")</f>
        <v>simple flying orb</v>
      </c>
      <c r="H169" s="11"/>
      <c r="I169" s="11"/>
      <c r="J169" s="11"/>
      <c r="K169" s="11"/>
      <c r="L169" s="11"/>
    </row>
    <row r="170">
      <c r="A170" s="13" t="str">
        <f>IFERROR(__xludf.DUMMYFUNCTION("""COMPUTED_VALUE"""),"Dodrio")</f>
        <v>Dodrio</v>
      </c>
      <c r="B170" s="11" t="str">
        <f>IFERROR(__xludf.DUMMYFUNCTION("""COMPUTED_VALUE"""),"rubber ball")</f>
        <v>rubber ball</v>
      </c>
      <c r="C170" s="11" t="str">
        <f>IFERROR(__xludf.DUMMYFUNCTION("""COMPUTED_VALUE"""),"straw")</f>
        <v>straw</v>
      </c>
      <c r="D170" s="11" t="str">
        <f>IFERROR(__xludf.DUMMYFUNCTION("""COMPUTED_VALUE"""),"dodrio feather")</f>
        <v>dodrio feather</v>
      </c>
      <c r="E170" s="11" t="str">
        <f>IFERROR(__xludf.DUMMYFUNCTION("""COMPUTED_VALUE"""),"heart stone")</f>
        <v>heart stone</v>
      </c>
      <c r="F170" s="11" t="str">
        <f>IFERROR(__xludf.DUMMYFUNCTION("""COMPUTED_VALUE"""),"feather stone")</f>
        <v>feather stone</v>
      </c>
      <c r="G170" s="11"/>
      <c r="H170" s="11"/>
      <c r="I170" s="11"/>
      <c r="J170" s="11"/>
      <c r="K170" s="11"/>
      <c r="L170" s="11"/>
    </row>
    <row r="171">
      <c r="A171" s="13" t="str">
        <f>IFERROR(__xludf.DUMMYFUNCTION("""COMPUTED_VALUE"""),"Shiny Dodrio")</f>
        <v>Shiny Dodrio</v>
      </c>
      <c r="B171" s="11" t="str">
        <f>IFERROR(__xludf.DUMMYFUNCTION("""COMPUTED_VALUE"""),"rubber ball")</f>
        <v>rubber ball</v>
      </c>
      <c r="C171" s="11" t="str">
        <f>IFERROR(__xludf.DUMMYFUNCTION("""COMPUTED_VALUE"""),"straw")</f>
        <v>straw</v>
      </c>
      <c r="D171" s="11" t="str">
        <f>IFERROR(__xludf.DUMMYFUNCTION("""COMPUTED_VALUE"""),"black feather")</f>
        <v>black feather</v>
      </c>
      <c r="E171" s="11" t="str">
        <f>IFERROR(__xludf.DUMMYFUNCTION("""COMPUTED_VALUE"""),"heart stone")</f>
        <v>heart stone</v>
      </c>
      <c r="F171" s="11" t="str">
        <f>IFERROR(__xludf.DUMMYFUNCTION("""COMPUTED_VALUE"""),"feather stone")</f>
        <v>feather stone</v>
      </c>
      <c r="G171" s="11" t="str">
        <f>IFERROR(__xludf.DUMMYFUNCTION("""COMPUTED_VALUE"""),"mythic flying orb")</f>
        <v>mythic flying orb</v>
      </c>
      <c r="H171" s="11"/>
      <c r="I171" s="11"/>
      <c r="J171" s="11"/>
      <c r="K171" s="11"/>
      <c r="L171" s="11"/>
    </row>
    <row r="172">
      <c r="A172" s="13" t="str">
        <f>IFERROR(__xludf.DUMMYFUNCTION("""COMPUTED_VALUE"""),"Seel")</f>
        <v>Seel</v>
      </c>
      <c r="B172" s="11" t="str">
        <f>IFERROR(__xludf.DUMMYFUNCTION("""COMPUTED_VALUE"""),"water gem")</f>
        <v>water gem</v>
      </c>
      <c r="C172" s="11" t="str">
        <f>IFERROR(__xludf.DUMMYFUNCTION("""COMPUTED_VALUE"""),"seel tail")</f>
        <v>seel tail</v>
      </c>
      <c r="D172" s="11"/>
      <c r="E172" s="11"/>
      <c r="F172" s="11"/>
      <c r="G172" s="11"/>
      <c r="H172" s="11"/>
      <c r="I172" s="11"/>
      <c r="J172" s="11"/>
      <c r="K172" s="11"/>
      <c r="L172" s="11"/>
    </row>
    <row r="173">
      <c r="A173" s="13" t="str">
        <f>IFERROR(__xludf.DUMMYFUNCTION("""COMPUTED_VALUE"""),"Shiny Seel")</f>
        <v>Shiny Seel</v>
      </c>
      <c r="B173" s="11" t="str">
        <f>IFERROR(__xludf.DUMMYFUNCTION("""COMPUTED_VALUE"""),"water gem")</f>
        <v>water gem</v>
      </c>
      <c r="C173" s="11" t="str">
        <f>IFERROR(__xludf.DUMMYFUNCTION("""COMPUTED_VALUE"""),"blue seel tail")</f>
        <v>blue seel tail</v>
      </c>
      <c r="D173" s="11" t="str">
        <f>IFERROR(__xludf.DUMMYFUNCTION("""COMPUTED_VALUE"""),"water stone")</f>
        <v>water stone</v>
      </c>
      <c r="E173" s="11" t="str">
        <f>IFERROR(__xludf.DUMMYFUNCTION("""COMPUTED_VALUE"""),"simple water orb")</f>
        <v>simple water orb</v>
      </c>
      <c r="F173" s="11"/>
      <c r="G173" s="11"/>
      <c r="H173" s="11"/>
      <c r="I173" s="11"/>
      <c r="J173" s="11"/>
      <c r="K173" s="11"/>
      <c r="L173" s="11"/>
    </row>
    <row r="174">
      <c r="A174" s="13" t="str">
        <f>IFERROR(__xludf.DUMMYFUNCTION("""COMPUTED_VALUE"""),"Dewgong")</f>
        <v>Dewgong</v>
      </c>
      <c r="B174" s="11" t="str">
        <f>IFERROR(__xludf.DUMMYFUNCTION("""COMPUTED_VALUE"""),"water gem")</f>
        <v>water gem</v>
      </c>
      <c r="C174" s="11" t="str">
        <f>IFERROR(__xludf.DUMMYFUNCTION("""COMPUTED_VALUE"""),"snowball")</f>
        <v>snowball</v>
      </c>
      <c r="D174" s="11" t="str">
        <f>IFERROR(__xludf.DUMMYFUNCTION("""COMPUTED_VALUE"""),"dewgong tail")</f>
        <v>dewgong tail</v>
      </c>
      <c r="E174" s="11" t="str">
        <f>IFERROR(__xludf.DUMMYFUNCTION("""COMPUTED_VALUE"""),"water stone")</f>
        <v>water stone</v>
      </c>
      <c r="F174" s="11" t="str">
        <f>IFERROR(__xludf.DUMMYFUNCTION("""COMPUTED_VALUE"""),"ice stone")</f>
        <v>ice stone</v>
      </c>
      <c r="G174" s="11"/>
      <c r="H174" s="11"/>
      <c r="I174" s="11"/>
      <c r="J174" s="11"/>
      <c r="K174" s="11"/>
      <c r="L174" s="11"/>
    </row>
    <row r="175">
      <c r="A175" s="13" t="str">
        <f>IFERROR(__xludf.DUMMYFUNCTION("""COMPUTED_VALUE"""),"Shiny Dewgong")</f>
        <v>Shiny Dewgong</v>
      </c>
      <c r="B175" s="11" t="str">
        <f>IFERROR(__xludf.DUMMYFUNCTION("""COMPUTED_VALUE"""),"water gem")</f>
        <v>water gem</v>
      </c>
      <c r="C175" s="11" t="str">
        <f>IFERROR(__xludf.DUMMYFUNCTION("""COMPUTED_VALUE"""),"snowball")</f>
        <v>snowball</v>
      </c>
      <c r="D175" s="11" t="str">
        <f>IFERROR(__xludf.DUMMYFUNCTION("""COMPUTED_VALUE"""),"blue dewgong tail")</f>
        <v>blue dewgong tail</v>
      </c>
      <c r="E175" s="11" t="str">
        <f>IFERROR(__xludf.DUMMYFUNCTION("""COMPUTED_VALUE"""),"water stone")</f>
        <v>water stone</v>
      </c>
      <c r="F175" s="11" t="str">
        <f>IFERROR(__xludf.DUMMYFUNCTION("""COMPUTED_VALUE"""),"ice stone")</f>
        <v>ice stone</v>
      </c>
      <c r="G175" s="11" t="str">
        <f>IFERROR(__xludf.DUMMYFUNCTION("""COMPUTED_VALUE"""),"arcane ice orb")</f>
        <v>arcane ice orb</v>
      </c>
      <c r="H175" s="11"/>
      <c r="I175" s="11"/>
      <c r="J175" s="11"/>
      <c r="K175" s="11"/>
      <c r="L175" s="11"/>
    </row>
    <row r="176">
      <c r="A176" s="13" t="str">
        <f>IFERROR(__xludf.DUMMYFUNCTION("""COMPUTED_VALUE"""),"Grimer")</f>
        <v>Grimer</v>
      </c>
      <c r="B176" s="11" t="str">
        <f>IFERROR(__xludf.DUMMYFUNCTION("""COMPUTED_VALUE"""),"bottle of poison")</f>
        <v>bottle of poison</v>
      </c>
      <c r="C176" s="11" t="str">
        <f>IFERROR(__xludf.DUMMYFUNCTION("""COMPUTED_VALUE"""),"stinky gosme")</f>
        <v>stinky gosme</v>
      </c>
      <c r="D176" s="11"/>
      <c r="E176" s="11"/>
      <c r="F176" s="11"/>
      <c r="G176" s="11"/>
      <c r="H176" s="11"/>
      <c r="I176" s="11"/>
      <c r="J176" s="11"/>
      <c r="K176" s="11"/>
      <c r="L176" s="11"/>
    </row>
    <row r="177">
      <c r="A177" s="13" t="str">
        <f>IFERROR(__xludf.DUMMYFUNCTION("""COMPUTED_VALUE"""),"Shiny Grimer")</f>
        <v>Shiny Grimer</v>
      </c>
      <c r="B177" s="11" t="str">
        <f>IFERROR(__xludf.DUMMYFUNCTION("""COMPUTED_VALUE"""),"bottle of poison")</f>
        <v>bottle of poison</v>
      </c>
      <c r="C177" s="11" t="str">
        <f>IFERROR(__xludf.DUMMYFUNCTION("""COMPUTED_VALUE"""),"disgusting gosme")</f>
        <v>disgusting gosme</v>
      </c>
      <c r="D177" s="11" t="str">
        <f>IFERROR(__xludf.DUMMYFUNCTION("""COMPUTED_VALUE"""),"venom stone")</f>
        <v>venom stone</v>
      </c>
      <c r="E177" s="11" t="str">
        <f>IFERROR(__xludf.DUMMYFUNCTION("""COMPUTED_VALUE"""),"simple poison orb")</f>
        <v>simple poison orb</v>
      </c>
      <c r="F177" s="11"/>
      <c r="G177" s="11"/>
      <c r="H177" s="11"/>
      <c r="I177" s="11"/>
      <c r="J177" s="11"/>
      <c r="K177" s="11"/>
      <c r="L177" s="11"/>
    </row>
    <row r="178">
      <c r="A178" s="13" t="str">
        <f>IFERROR(__xludf.DUMMYFUNCTION("""COMPUTED_VALUE"""),"Muk")</f>
        <v>Muk</v>
      </c>
      <c r="B178" s="11" t="str">
        <f>IFERROR(__xludf.DUMMYFUNCTION("""COMPUTED_VALUE"""),"bottle of poison")</f>
        <v>bottle of poison</v>
      </c>
      <c r="C178" s="11" t="str">
        <f>IFERROR(__xludf.DUMMYFUNCTION("""COMPUTED_VALUE"""),"stinky hand")</f>
        <v>stinky hand</v>
      </c>
      <c r="D178" s="11" t="str">
        <f>IFERROR(__xludf.DUMMYFUNCTION("""COMPUTED_VALUE"""),"venom stone")</f>
        <v>venom stone</v>
      </c>
      <c r="E178" s="11"/>
      <c r="F178" s="11"/>
      <c r="G178" s="11"/>
      <c r="H178" s="11"/>
      <c r="I178" s="11"/>
      <c r="J178" s="11"/>
      <c r="K178" s="11"/>
      <c r="L178" s="11"/>
    </row>
    <row r="179">
      <c r="A179" s="13" t="str">
        <f>IFERROR(__xludf.DUMMYFUNCTION("""COMPUTED_VALUE"""),"Shiny Muk")</f>
        <v>Shiny Muk</v>
      </c>
      <c r="B179" s="11" t="str">
        <f>IFERROR(__xludf.DUMMYFUNCTION("""COMPUTED_VALUE"""),"bottle of poison")</f>
        <v>bottle of poison</v>
      </c>
      <c r="C179" s="11" t="str">
        <f>IFERROR(__xludf.DUMMYFUNCTION("""COMPUTED_VALUE"""),"disgusting hand")</f>
        <v>disgusting hand</v>
      </c>
      <c r="D179" s="11" t="str">
        <f>IFERROR(__xludf.DUMMYFUNCTION("""COMPUTED_VALUE"""),"venom stone")</f>
        <v>venom stone</v>
      </c>
      <c r="E179" s="11" t="str">
        <f>IFERROR(__xludf.DUMMYFUNCTION("""COMPUTED_VALUE"""),"mythic poison orb")</f>
        <v>mythic poison orb</v>
      </c>
      <c r="F179" s="11"/>
      <c r="G179" s="11"/>
      <c r="H179" s="11"/>
      <c r="I179" s="11"/>
      <c r="J179" s="11"/>
      <c r="K179" s="11"/>
      <c r="L179" s="11"/>
    </row>
    <row r="180">
      <c r="A180" s="13" t="str">
        <f>IFERROR(__xludf.DUMMYFUNCTION("""COMPUTED_VALUE"""),"Shellder")</f>
        <v>Shellder</v>
      </c>
      <c r="B180" s="5" t="str">
        <f>IFERROR(__xludf.DUMMYFUNCTION("""COMPUTED_VALUE"""),"water gem")</f>
        <v>water gem</v>
      </c>
      <c r="C180" s="5" t="str">
        <f>IFERROR(__xludf.DUMMYFUNCTION("""COMPUTED_VALUE"""),"locksmith of shell")</f>
        <v>locksmith of shell</v>
      </c>
      <c r="D180" s="11"/>
      <c r="E180" s="11"/>
      <c r="F180" s="11"/>
      <c r="G180" s="11"/>
      <c r="H180" s="11"/>
      <c r="I180" s="11"/>
      <c r="J180" s="11"/>
      <c r="K180" s="11"/>
      <c r="L180" s="11"/>
    </row>
    <row r="181">
      <c r="A181" s="13" t="str">
        <f>IFERROR(__xludf.DUMMYFUNCTION("""COMPUTED_VALUE"""),"Shiny Shellder")</f>
        <v>Shiny Shellder</v>
      </c>
      <c r="B181" s="5" t="str">
        <f>IFERROR(__xludf.DUMMYFUNCTION("""COMPUTED_VALUE"""),"water gem")</f>
        <v>water gem</v>
      </c>
      <c r="C181" s="5" t="str">
        <f>IFERROR(__xludf.DUMMYFUNCTION("""COMPUTED_VALUE"""),"blue shell")</f>
        <v>blue shell</v>
      </c>
      <c r="D181" s="5" t="str">
        <f>IFERROR(__xludf.DUMMYFUNCTION("""COMPUTED_VALUE"""),"water stone")</f>
        <v>water stone</v>
      </c>
      <c r="E181" s="5" t="str">
        <f>IFERROR(__xludf.DUMMYFUNCTION("""COMPUTED_VALUE"""),"simple water orb")</f>
        <v>simple water orb</v>
      </c>
      <c r="F181" s="11"/>
      <c r="G181" s="11"/>
      <c r="H181" s="11"/>
      <c r="I181" s="11"/>
      <c r="J181" s="11"/>
      <c r="K181" s="11"/>
      <c r="L181" s="11"/>
    </row>
    <row r="182">
      <c r="A182" s="13" t="str">
        <f>IFERROR(__xludf.DUMMYFUNCTION("""COMPUTED_VALUE"""),"Cloyster")</f>
        <v>Cloyster</v>
      </c>
      <c r="B182" s="5" t="str">
        <f>IFERROR(__xludf.DUMMYFUNCTION("""COMPUTED_VALUE"""),"water gem")</f>
        <v>water gem</v>
      </c>
      <c r="C182" s="5" t="str">
        <f>IFERROR(__xludf.DUMMYFUNCTION("""COMPUTED_VALUE"""),"snowball")</f>
        <v>snowball</v>
      </c>
      <c r="D182" s="5" t="str">
        <f>IFERROR(__xludf.DUMMYFUNCTION("""COMPUTED_VALUE"""),"pieces of shell")</f>
        <v>pieces of shell</v>
      </c>
      <c r="E182" s="5" t="str">
        <f>IFERROR(__xludf.DUMMYFUNCTION("""COMPUTED_VALUE"""),"water stone")</f>
        <v>water stone</v>
      </c>
      <c r="F182" s="5" t="str">
        <f>IFERROR(__xludf.DUMMYFUNCTION("""COMPUTED_VALUE"""),"ice stone")</f>
        <v>ice stone</v>
      </c>
      <c r="G182" s="11"/>
      <c r="H182" s="11"/>
      <c r="I182" s="11"/>
      <c r="J182" s="11"/>
      <c r="K182" s="11"/>
      <c r="L182" s="11"/>
    </row>
    <row r="183">
      <c r="A183" s="13" t="str">
        <f>IFERROR(__xludf.DUMMYFUNCTION("""COMPUTED_VALUE"""),"Shiny Cloyster")</f>
        <v>Shiny Cloyster</v>
      </c>
      <c r="B183" s="5" t="str">
        <f>IFERROR(__xludf.DUMMYFUNCTION("""COMPUTED_VALUE"""),"water gem")</f>
        <v>water gem</v>
      </c>
      <c r="C183" s="5" t="str">
        <f>IFERROR(__xludf.DUMMYFUNCTION("""COMPUTED_VALUE"""),"snowball")</f>
        <v>snowball</v>
      </c>
      <c r="D183" s="5" t="str">
        <f>IFERROR(__xludf.DUMMYFUNCTION("""COMPUTED_VALUE"""),"blue pieces of shell")</f>
        <v>blue pieces of shell</v>
      </c>
      <c r="E183" s="5" t="str">
        <f>IFERROR(__xludf.DUMMYFUNCTION("""COMPUTED_VALUE"""),"water stone")</f>
        <v>water stone</v>
      </c>
      <c r="F183" s="5" t="str">
        <f>IFERROR(__xludf.DUMMYFUNCTION("""COMPUTED_VALUE"""),"ice stone")</f>
        <v>ice stone</v>
      </c>
      <c r="G183" s="5" t="str">
        <f>IFERROR(__xludf.DUMMYFUNCTION("""COMPUTED_VALUE"""),"arcane ice orb")</f>
        <v>arcane ice orb</v>
      </c>
      <c r="H183" s="11"/>
      <c r="I183" s="11"/>
      <c r="J183" s="11"/>
      <c r="K183" s="11"/>
      <c r="L183" s="11"/>
    </row>
    <row r="184">
      <c r="A184" s="13" t="str">
        <f>IFERROR(__xludf.DUMMYFUNCTION("""COMPUTED_VALUE"""),"Gastly")</f>
        <v>Gastly</v>
      </c>
      <c r="B184" s="11" t="str">
        <f>IFERROR(__xludf.DUMMYFUNCTION("""COMPUTED_VALUE"""),"ghost essence")</f>
        <v>ghost essence</v>
      </c>
      <c r="C184" s="11" t="str">
        <f>IFERROR(__xludf.DUMMYFUNCTION("""COMPUTED_VALUE"""),"bottle of poison")</f>
        <v>bottle of poison</v>
      </c>
      <c r="D184" s="11" t="str">
        <f>IFERROR(__xludf.DUMMYFUNCTION("""COMPUTED_VALUE"""),"ghost bottle")</f>
        <v>ghost bottle</v>
      </c>
      <c r="E184" s="11"/>
      <c r="F184" s="11"/>
      <c r="G184" s="11"/>
      <c r="H184" s="11"/>
      <c r="I184" s="11"/>
      <c r="J184" s="11"/>
      <c r="K184" s="11"/>
      <c r="L184" s="11"/>
    </row>
    <row r="185">
      <c r="A185" s="13" t="str">
        <f>IFERROR(__xludf.DUMMYFUNCTION("""COMPUTED_VALUE"""),"Shiny Gastly")</f>
        <v>Shiny Gastly</v>
      </c>
      <c r="B185" s="11" t="str">
        <f>IFERROR(__xludf.DUMMYFUNCTION("""COMPUTED_VALUE"""),"ghost essence")</f>
        <v>ghost essence</v>
      </c>
      <c r="C185" s="11" t="str">
        <f>IFERROR(__xludf.DUMMYFUNCTION("""COMPUTED_VALUE"""),"bottle of poison")</f>
        <v>bottle of poison</v>
      </c>
      <c r="D185" s="11" t="str">
        <f>IFERROR(__xludf.DUMMYFUNCTION("""COMPUTED_VALUE"""),"green ghost bottle")</f>
        <v>green ghost bottle</v>
      </c>
      <c r="E185" s="11" t="str">
        <f>IFERROR(__xludf.DUMMYFUNCTION("""COMPUTED_VALUE"""),"ghost stone")</f>
        <v>ghost stone</v>
      </c>
      <c r="F185" s="11" t="str">
        <f>IFERROR(__xludf.DUMMYFUNCTION("""COMPUTED_VALUE"""),"venom stone")</f>
        <v>venom stone</v>
      </c>
      <c r="G185" s="11" t="str">
        <f>IFERROR(__xludf.DUMMYFUNCTION("""COMPUTED_VALUE"""),"simple ghost orb")</f>
        <v>simple ghost orb</v>
      </c>
      <c r="H185" s="11"/>
      <c r="I185" s="11"/>
      <c r="J185" s="11"/>
      <c r="K185" s="11"/>
      <c r="L185" s="11"/>
    </row>
    <row r="186">
      <c r="A186" s="13" t="str">
        <f>IFERROR(__xludf.DUMMYFUNCTION("""COMPUTED_VALUE"""),"Haunter")</f>
        <v>Haunter</v>
      </c>
      <c r="B186" s="5" t="str">
        <f>IFERROR(__xludf.DUMMYFUNCTION("""COMPUTED_VALUE"""),"ghost essence")</f>
        <v>ghost essence</v>
      </c>
      <c r="C186" s="5" t="str">
        <f>IFERROR(__xludf.DUMMYFUNCTION("""COMPUTED_VALUE"""),"bottle of poison")</f>
        <v>bottle of poison</v>
      </c>
      <c r="D186" s="5" t="str">
        <f>IFERROR(__xludf.DUMMYFUNCTION("""COMPUTED_VALUE"""),"ghost claw")</f>
        <v>ghost claw</v>
      </c>
      <c r="E186" s="5" t="str">
        <f>IFERROR(__xludf.DUMMYFUNCTION("""COMPUTED_VALUE"""),"ghost stone")</f>
        <v>ghost stone</v>
      </c>
      <c r="F186" s="5" t="str">
        <f>IFERROR(__xludf.DUMMYFUNCTION("""COMPUTED_VALUE"""),"venom stone")</f>
        <v>venom stone</v>
      </c>
      <c r="G186" s="11"/>
      <c r="H186" s="11"/>
      <c r="I186" s="11"/>
      <c r="J186" s="11"/>
      <c r="K186" s="11"/>
      <c r="L186" s="11"/>
    </row>
    <row r="187">
      <c r="A187" s="13" t="str">
        <f>IFERROR(__xludf.DUMMYFUNCTION("""COMPUTED_VALUE"""),"Shiny Haunter")</f>
        <v>Shiny Haunter</v>
      </c>
      <c r="B187" s="5" t="str">
        <f>IFERROR(__xludf.DUMMYFUNCTION("""COMPUTED_VALUE"""),"ghost essence")</f>
        <v>ghost essence</v>
      </c>
      <c r="C187" s="5" t="str">
        <f>IFERROR(__xludf.DUMMYFUNCTION("""COMPUTED_VALUE"""),"bottle of poison")</f>
        <v>bottle of poison</v>
      </c>
      <c r="D187" s="5" t="str">
        <f>IFERROR(__xludf.DUMMYFUNCTION("""COMPUTED_VALUE"""),"dark claw")</f>
        <v>dark claw</v>
      </c>
      <c r="E187" s="5" t="str">
        <f>IFERROR(__xludf.DUMMYFUNCTION("""COMPUTED_VALUE"""),"ghost stone")</f>
        <v>ghost stone</v>
      </c>
      <c r="F187" s="5" t="str">
        <f>IFERROR(__xludf.DUMMYFUNCTION("""COMPUTED_VALUE"""),"venom stone")</f>
        <v>venom stone</v>
      </c>
      <c r="G187" s="5" t="str">
        <f>IFERROR(__xludf.DUMMYFUNCTION("""COMPUTED_VALUE"""),"arcane ghost orb")</f>
        <v>arcane ghost orb</v>
      </c>
      <c r="H187" s="11"/>
      <c r="I187" s="11"/>
      <c r="J187" s="11"/>
      <c r="K187" s="11"/>
      <c r="L187" s="11"/>
    </row>
    <row r="188">
      <c r="A188" s="13" t="str">
        <f>IFERROR(__xludf.DUMMYFUNCTION("""COMPUTED_VALUE"""),"Gengar")</f>
        <v>Gengar</v>
      </c>
      <c r="B188" s="11" t="str">
        <f>IFERROR(__xludf.DUMMYFUNCTION("""COMPUTED_VALUE"""),"ghost essence")</f>
        <v>ghost essence</v>
      </c>
      <c r="C188" s="11" t="str">
        <f>IFERROR(__xludf.DUMMYFUNCTION("""COMPUTED_VALUE"""),"bottle of poison")</f>
        <v>bottle of poison</v>
      </c>
      <c r="D188" s="11" t="str">
        <f>IFERROR(__xludf.DUMMYFUNCTION("""COMPUTED_VALUE"""),"ectoplasm")</f>
        <v>ectoplasm</v>
      </c>
      <c r="E188" s="11" t="str">
        <f>IFERROR(__xludf.DUMMYFUNCTION("""COMPUTED_VALUE"""),"venom stone")</f>
        <v>venom stone</v>
      </c>
      <c r="F188" s="11" t="str">
        <f>IFERROR(__xludf.DUMMYFUNCTION("""COMPUTED_VALUE"""),"ghost stone")</f>
        <v>ghost stone</v>
      </c>
      <c r="G188" s="11"/>
      <c r="H188" s="11"/>
      <c r="I188" s="11"/>
      <c r="J188" s="11"/>
      <c r="K188" s="11"/>
      <c r="L188" s="11"/>
    </row>
    <row r="189">
      <c r="A189" s="13" t="str">
        <f>IFERROR(__xludf.DUMMYFUNCTION("""COMPUTED_VALUE"""),"Shiny Gengar")</f>
        <v>Shiny Gengar</v>
      </c>
      <c r="B189" s="11" t="str">
        <f>IFERROR(__xludf.DUMMYFUNCTION("""COMPUTED_VALUE"""),"ghost essence")</f>
        <v>ghost essence</v>
      </c>
      <c r="C189" s="11" t="str">
        <f>IFERROR(__xludf.DUMMYFUNCTION("""COMPUTED_VALUE"""),"bottle of poison")</f>
        <v>bottle of poison</v>
      </c>
      <c r="D189" s="11" t="str">
        <f>IFERROR(__xludf.DUMMYFUNCTION("""COMPUTED_VALUE"""),"dark ectoplasm")</f>
        <v>dark ectoplasm</v>
      </c>
      <c r="E189" s="11" t="str">
        <f>IFERROR(__xludf.DUMMYFUNCTION("""COMPUTED_VALUE"""),"darkness stone")</f>
        <v>darkness stone</v>
      </c>
      <c r="F189" s="11" t="str">
        <f>IFERROR(__xludf.DUMMYFUNCTION("""COMPUTED_VALUE"""),"venom stone")</f>
        <v>venom stone</v>
      </c>
      <c r="G189" s="11" t="str">
        <f>IFERROR(__xludf.DUMMYFUNCTION("""COMPUTED_VALUE"""),"mythic ghost orb")</f>
        <v>mythic ghost orb</v>
      </c>
      <c r="H189" s="11"/>
      <c r="I189" s="11"/>
      <c r="J189" s="11"/>
      <c r="K189" s="11"/>
      <c r="L189" s="11"/>
    </row>
    <row r="190">
      <c r="A190" s="13" t="str">
        <f>IFERROR(__xludf.DUMMYFUNCTION("""COMPUTED_VALUE"""),"Onix")</f>
        <v>Onix</v>
      </c>
      <c r="B190" s="11" t="str">
        <f>IFERROR(__xludf.DUMMYFUNCTION("""COMPUTED_VALUE"""),"small stone")</f>
        <v>small stone</v>
      </c>
      <c r="C190" s="11" t="str">
        <f>IFERROR(__xludf.DUMMYFUNCTION("""COMPUTED_VALUE"""),"earth ball")</f>
        <v>earth ball</v>
      </c>
      <c r="D190" s="11" t="str">
        <f>IFERROR(__xludf.DUMMYFUNCTION("""COMPUTED_VALUE"""),"onix tail")</f>
        <v>onix tail</v>
      </c>
      <c r="E190" s="11" t="str">
        <f>IFERROR(__xludf.DUMMYFUNCTION("""COMPUTED_VALUE"""),"rock stone")</f>
        <v>rock stone</v>
      </c>
      <c r="F190" s="11" t="str">
        <f>IFERROR(__xludf.DUMMYFUNCTION("""COMPUTED_VALUE"""),"earth stone")</f>
        <v>earth stone</v>
      </c>
      <c r="G190" s="11"/>
      <c r="H190" s="11"/>
      <c r="I190" s="11"/>
      <c r="J190" s="11"/>
      <c r="K190" s="11"/>
      <c r="L190" s="11"/>
    </row>
    <row r="191">
      <c r="A191" s="13" t="str">
        <f>IFERROR(__xludf.DUMMYFUNCTION("""COMPUTED_VALUE"""),"Shiny Onix")</f>
        <v>Shiny Onix</v>
      </c>
      <c r="B191" s="11" t="str">
        <f>IFERROR(__xludf.DUMMYFUNCTION("""COMPUTED_VALUE"""),"small stone")</f>
        <v>small stone</v>
      </c>
      <c r="C191" s="11" t="str">
        <f>IFERROR(__xludf.DUMMYFUNCTION("""COMPUTED_VALUE"""),"earth ball")</f>
        <v>earth ball</v>
      </c>
      <c r="D191" s="11" t="str">
        <f>IFERROR(__xludf.DUMMYFUNCTION("""COMPUTED_VALUE"""),"gold tail")</f>
        <v>gold tail</v>
      </c>
      <c r="E191" s="11" t="str">
        <f>IFERROR(__xludf.DUMMYFUNCTION("""COMPUTED_VALUE"""),"rock stone")</f>
        <v>rock stone</v>
      </c>
      <c r="F191" s="11" t="str">
        <f>IFERROR(__xludf.DUMMYFUNCTION("""COMPUTED_VALUE"""),"earth stone")</f>
        <v>earth stone</v>
      </c>
      <c r="G191" s="11" t="str">
        <f>IFERROR(__xludf.DUMMYFUNCTION("""COMPUTED_VALUE"""),"arcane rock orb")</f>
        <v>arcane rock orb</v>
      </c>
      <c r="H191" s="11"/>
      <c r="I191" s="11"/>
      <c r="J191" s="11"/>
      <c r="K191" s="11"/>
      <c r="L191" s="11"/>
    </row>
    <row r="192">
      <c r="A192" s="13" t="str">
        <f>IFERROR(__xludf.DUMMYFUNCTION("""COMPUTED_VALUE"""),"Drowzee")</f>
        <v>Drowzee</v>
      </c>
      <c r="B192" s="11" t="str">
        <f>IFERROR(__xludf.DUMMYFUNCTION("""COMPUTED_VALUE"""),"enchanted gem")</f>
        <v>enchanted gem</v>
      </c>
      <c r="C192" s="11" t="str">
        <f>IFERROR(__xludf.DUMMYFUNCTION("""COMPUTED_VALUE"""),"drowzee trunk")</f>
        <v>drowzee trunk</v>
      </c>
      <c r="D192" s="11"/>
      <c r="E192" s="11"/>
      <c r="F192" s="11"/>
      <c r="G192" s="11"/>
      <c r="H192" s="11"/>
      <c r="I192" s="11"/>
      <c r="J192" s="11"/>
      <c r="K192" s="11"/>
      <c r="L192" s="11"/>
    </row>
    <row r="193">
      <c r="A193" s="13" t="str">
        <f>IFERROR(__xludf.DUMMYFUNCTION("""COMPUTED_VALUE"""),"Shiny Drowzee")</f>
        <v>Shiny Drowzee</v>
      </c>
      <c r="B193" s="11" t="str">
        <f>IFERROR(__xludf.DUMMYFUNCTION("""COMPUTED_VALUE"""),"enchanted gem")</f>
        <v>enchanted gem</v>
      </c>
      <c r="C193" s="11" t="str">
        <f>IFERROR(__xludf.DUMMYFUNCTION("""COMPUTED_VALUE"""),"orange trunk")</f>
        <v>orange trunk</v>
      </c>
      <c r="D193" s="11" t="str">
        <f>IFERROR(__xludf.DUMMYFUNCTION("""COMPUTED_VALUE"""),"simple psychic orb")</f>
        <v>simple psychic orb</v>
      </c>
      <c r="E193" s="11"/>
      <c r="F193" s="11"/>
      <c r="G193" s="11"/>
      <c r="H193" s="11"/>
      <c r="I193" s="11"/>
      <c r="J193" s="11"/>
      <c r="K193" s="11"/>
      <c r="L193" s="11"/>
    </row>
    <row r="194">
      <c r="A194" s="13" t="str">
        <f>IFERROR(__xludf.DUMMYFUNCTION("""COMPUTED_VALUE"""),"Hypno")</f>
        <v>Hypno</v>
      </c>
      <c r="B194" s="11" t="str">
        <f>IFERROR(__xludf.DUMMYFUNCTION("""COMPUTED_VALUE"""),"enchanted gem")</f>
        <v>enchanted gem</v>
      </c>
      <c r="C194" s="11" t="str">
        <f>IFERROR(__xludf.DUMMYFUNCTION("""COMPUTED_VALUE"""),"hypnosis pendant")</f>
        <v>hypnosis pendant</v>
      </c>
      <c r="D194" s="11" t="str">
        <f>IFERROR(__xludf.DUMMYFUNCTION("""COMPUTED_VALUE"""),"enigma stone")</f>
        <v>enigma stone</v>
      </c>
      <c r="E194" s="11"/>
      <c r="F194" s="11"/>
      <c r="G194" s="11"/>
      <c r="H194" s="11"/>
      <c r="I194" s="11"/>
      <c r="J194" s="11"/>
      <c r="K194" s="11"/>
      <c r="L194" s="11"/>
    </row>
    <row r="195">
      <c r="A195" s="13" t="str">
        <f>IFERROR(__xludf.DUMMYFUNCTION("""COMPUTED_VALUE"""),"Shiny Hypno")</f>
        <v>Shiny Hypno</v>
      </c>
      <c r="B195" s="11" t="str">
        <f>IFERROR(__xludf.DUMMYFUNCTION("""COMPUTED_VALUE"""),"enchanted gem")</f>
        <v>enchanted gem</v>
      </c>
      <c r="C195" s="11" t="str">
        <f>IFERROR(__xludf.DUMMYFUNCTION("""COMPUTED_VALUE"""),"enchanted pendant")</f>
        <v>enchanted pendant</v>
      </c>
      <c r="D195" s="11" t="str">
        <f>IFERROR(__xludf.DUMMYFUNCTION("""COMPUTED_VALUE"""),"enigma stone")</f>
        <v>enigma stone</v>
      </c>
      <c r="E195" s="11" t="str">
        <f>IFERROR(__xludf.DUMMYFUNCTION("""COMPUTED_VALUE"""),"mythic psychic orb")</f>
        <v>mythic psychic orb</v>
      </c>
      <c r="F195" s="11"/>
      <c r="G195" s="11"/>
      <c r="H195" s="11"/>
      <c r="I195" s="11"/>
      <c r="J195" s="11"/>
      <c r="K195" s="11"/>
      <c r="L195" s="11"/>
    </row>
    <row r="196">
      <c r="A196" s="13" t="str">
        <f>IFERROR(__xludf.DUMMYFUNCTION("""COMPUTED_VALUE"""),"Krabby")</f>
        <v>Krabby</v>
      </c>
      <c r="B196" s="11" t="str">
        <f>IFERROR(__xludf.DUMMYFUNCTION("""COMPUTED_VALUE"""),"water gem")</f>
        <v>water gem</v>
      </c>
      <c r="C196" s="11" t="str">
        <f>IFERROR(__xludf.DUMMYFUNCTION("""COMPUTED_VALUE"""),"crab claw")</f>
        <v>crab claw</v>
      </c>
      <c r="D196" s="11"/>
      <c r="E196" s="11"/>
      <c r="F196" s="11"/>
      <c r="G196" s="11"/>
      <c r="H196" s="11"/>
      <c r="I196" s="11"/>
      <c r="J196" s="11"/>
      <c r="K196" s="11"/>
      <c r="L196" s="11"/>
    </row>
    <row r="197">
      <c r="A197" s="13" t="str">
        <f>IFERROR(__xludf.DUMMYFUNCTION("""COMPUTED_VALUE"""),"Shiny Krabby")</f>
        <v>Shiny Krabby</v>
      </c>
      <c r="B197" s="11" t="str">
        <f>IFERROR(__xludf.DUMMYFUNCTION("""COMPUTED_VALUE"""),"water gem")</f>
        <v>water gem</v>
      </c>
      <c r="C197" s="11" t="str">
        <f>IFERROR(__xludf.DUMMYFUNCTION("""COMPUTED_VALUE"""),"blue claw")</f>
        <v>blue claw</v>
      </c>
      <c r="D197" s="11" t="str">
        <f>IFERROR(__xludf.DUMMYFUNCTION("""COMPUTED_VALUE"""),"water stone")</f>
        <v>water stone</v>
      </c>
      <c r="E197" s="11" t="str">
        <f>IFERROR(__xludf.DUMMYFUNCTION("""COMPUTED_VALUE"""),"simple water orb")</f>
        <v>simple water orb</v>
      </c>
      <c r="F197" s="11"/>
      <c r="G197" s="11"/>
      <c r="H197" s="11"/>
      <c r="I197" s="11"/>
      <c r="J197" s="11"/>
      <c r="K197" s="11"/>
      <c r="L197" s="11"/>
    </row>
    <row r="198">
      <c r="A198" s="13" t="str">
        <f>IFERROR(__xludf.DUMMYFUNCTION("""COMPUTED_VALUE"""),"Kingler")</f>
        <v>Kingler</v>
      </c>
      <c r="B198" s="11" t="str">
        <f>IFERROR(__xludf.DUMMYFUNCTION("""COMPUTED_VALUE"""),"water gem")</f>
        <v>water gem</v>
      </c>
      <c r="C198" s="11" t="str">
        <f>IFERROR(__xludf.DUMMYFUNCTION("""COMPUTED_VALUE"""),"red guillotine")</f>
        <v>red guillotine</v>
      </c>
      <c r="D198" s="11" t="str">
        <f>IFERROR(__xludf.DUMMYFUNCTION("""COMPUTED_VALUE"""),"water stone")</f>
        <v>water stone</v>
      </c>
      <c r="E198" s="11"/>
      <c r="F198" s="11"/>
      <c r="G198" s="11"/>
      <c r="H198" s="11"/>
      <c r="I198" s="11"/>
      <c r="J198" s="11"/>
      <c r="K198" s="11"/>
      <c r="L198" s="11"/>
    </row>
    <row r="199">
      <c r="A199" s="13" t="str">
        <f>IFERROR(__xludf.DUMMYFUNCTION("""COMPUTED_VALUE"""),"Shiny Kingler")</f>
        <v>Shiny Kingler</v>
      </c>
      <c r="B199" s="11" t="str">
        <f>IFERROR(__xludf.DUMMYFUNCTION("""COMPUTED_VALUE"""),"water gem")</f>
        <v>water gem</v>
      </c>
      <c r="C199" s="11" t="str">
        <f>IFERROR(__xludf.DUMMYFUNCTION("""COMPUTED_VALUE"""),"blue guillotine")</f>
        <v>blue guillotine</v>
      </c>
      <c r="D199" s="11" t="str">
        <f>IFERROR(__xludf.DUMMYFUNCTION("""COMPUTED_VALUE"""),"water stone")</f>
        <v>water stone</v>
      </c>
      <c r="E199" s="11" t="str">
        <f>IFERROR(__xludf.DUMMYFUNCTION("""COMPUTED_VALUE"""),"arcane water orb")</f>
        <v>arcane water orb</v>
      </c>
      <c r="F199" s="11"/>
      <c r="G199" s="11"/>
      <c r="H199" s="11"/>
      <c r="I199" s="11"/>
      <c r="J199" s="11"/>
      <c r="K199" s="11"/>
      <c r="L199" s="11"/>
    </row>
    <row r="200">
      <c r="A200" s="13" t="str">
        <f>IFERROR(__xludf.DUMMYFUNCTION("""COMPUTED_VALUE"""),"Voltorb")</f>
        <v>Voltorb</v>
      </c>
      <c r="B200" s="11" t="str">
        <f>IFERROR(__xludf.DUMMYFUNCTION("""COMPUTED_VALUE"""),"screw")</f>
        <v>screw</v>
      </c>
      <c r="C200" s="11" t="str">
        <f>IFERROR(__xludf.DUMMYFUNCTION("""COMPUTED_VALUE"""),"remains of voltorb")</f>
        <v>remains of voltorb</v>
      </c>
      <c r="D200" s="11"/>
      <c r="E200" s="11"/>
      <c r="F200" s="11"/>
      <c r="G200" s="11"/>
      <c r="H200" s="11"/>
      <c r="I200" s="11"/>
      <c r="J200" s="11"/>
      <c r="K200" s="11"/>
      <c r="L200" s="11"/>
    </row>
    <row r="201">
      <c r="A201" s="13" t="str">
        <f>IFERROR(__xludf.DUMMYFUNCTION("""COMPUTED_VALUE"""),"Shiny Voltorb")</f>
        <v>Shiny Voltorb</v>
      </c>
      <c r="B201" s="11" t="str">
        <f>IFERROR(__xludf.DUMMYFUNCTION("""COMPUTED_VALUE"""),"screw")</f>
        <v>screw</v>
      </c>
      <c r="C201" s="11" t="str">
        <f>IFERROR(__xludf.DUMMYFUNCTION("""COMPUTED_VALUE"""),"green remains")</f>
        <v>green remains</v>
      </c>
      <c r="D201" s="11" t="str">
        <f>IFERROR(__xludf.DUMMYFUNCTION("""COMPUTED_VALUE"""),"thunder stone")</f>
        <v>thunder stone</v>
      </c>
      <c r="E201" s="11" t="str">
        <f>IFERROR(__xludf.DUMMYFUNCTION("""COMPUTED_VALUE"""),"simple electric orb")</f>
        <v>simple electric orb</v>
      </c>
      <c r="F201" s="11"/>
      <c r="G201" s="11"/>
      <c r="H201" s="11"/>
      <c r="I201" s="11"/>
      <c r="J201" s="11"/>
      <c r="K201" s="11"/>
      <c r="L201" s="11"/>
    </row>
    <row r="202">
      <c r="A202" s="13" t="str">
        <f>IFERROR(__xludf.DUMMYFUNCTION("""COMPUTED_VALUE"""),"Electrode")</f>
        <v>Electrode</v>
      </c>
      <c r="B202" s="11" t="str">
        <f>IFERROR(__xludf.DUMMYFUNCTION("""COMPUTED_VALUE"""),"screw")</f>
        <v>screw</v>
      </c>
      <c r="C202" s="11" t="str">
        <f>IFERROR(__xludf.DUMMYFUNCTION("""COMPUTED_VALUE"""),"remains of electrode")</f>
        <v>remains of electrode</v>
      </c>
      <c r="D202" s="11" t="str">
        <f>IFERROR(__xludf.DUMMYFUNCTION("""COMPUTED_VALUE"""),"thunder stone")</f>
        <v>thunder stone</v>
      </c>
      <c r="E202" s="11"/>
      <c r="F202" s="11"/>
      <c r="G202" s="11"/>
      <c r="H202" s="11"/>
      <c r="I202" s="11"/>
      <c r="J202" s="11"/>
      <c r="K202" s="11"/>
      <c r="L202" s="11"/>
    </row>
    <row r="203">
      <c r="A203" s="13" t="str">
        <f>IFERROR(__xludf.DUMMYFUNCTION("""COMPUTED_VALUE"""),"Shiny Electrode")</f>
        <v>Shiny Electrode</v>
      </c>
      <c r="B203" s="11" t="str">
        <f>IFERROR(__xludf.DUMMYFUNCTION("""COMPUTED_VALUE"""),"screw")</f>
        <v>screw</v>
      </c>
      <c r="C203" s="11" t="str">
        <f>IFERROR(__xludf.DUMMYFUNCTION("""COMPUTED_VALUE"""),"big green piece")</f>
        <v>big green piece</v>
      </c>
      <c r="D203" s="11" t="str">
        <f>IFERROR(__xludf.DUMMYFUNCTION("""COMPUTED_VALUE"""),"thunder stone")</f>
        <v>thunder stone</v>
      </c>
      <c r="E203" s="11" t="str">
        <f>IFERROR(__xludf.DUMMYFUNCTION("""COMPUTED_VALUE"""),"arcane electric orb")</f>
        <v>arcane electric orb</v>
      </c>
      <c r="F203" s="11"/>
      <c r="G203" s="11"/>
      <c r="H203" s="11"/>
      <c r="I203" s="11"/>
      <c r="J203" s="11"/>
      <c r="K203" s="11"/>
      <c r="L203" s="11"/>
    </row>
    <row r="204">
      <c r="A204" s="13" t="str">
        <f>IFERROR(__xludf.DUMMYFUNCTION("""COMPUTED_VALUE"""),"Exeggcute")</f>
        <v>Exeggcute</v>
      </c>
      <c r="B204" s="11" t="str">
        <f>IFERROR(__xludf.DUMMYFUNCTION("""COMPUTED_VALUE"""),"seed")</f>
        <v>seed</v>
      </c>
      <c r="C204" s="11" t="str">
        <f>IFERROR(__xludf.DUMMYFUNCTION("""COMPUTED_VALUE"""),"enchanted gem")</f>
        <v>enchanted gem</v>
      </c>
      <c r="D204" s="11" t="str">
        <f>IFERROR(__xludf.DUMMYFUNCTION("""COMPUTED_VALUE"""),"exeggcute seed")</f>
        <v>exeggcute seed</v>
      </c>
      <c r="E204" s="11"/>
      <c r="F204" s="11"/>
      <c r="G204" s="11"/>
      <c r="H204" s="11"/>
      <c r="I204" s="11"/>
      <c r="J204" s="11"/>
      <c r="K204" s="11"/>
      <c r="L204" s="11"/>
    </row>
    <row r="205">
      <c r="A205" s="13" t="str">
        <f>IFERROR(__xludf.DUMMYFUNCTION("""COMPUTED_VALUE"""),"Shiny Exeggcute")</f>
        <v>Shiny Exeggcute</v>
      </c>
      <c r="B205" s="11" t="str">
        <f>IFERROR(__xludf.DUMMYFUNCTION("""COMPUTED_VALUE"""),"seed")</f>
        <v>seed</v>
      </c>
      <c r="C205" s="11" t="str">
        <f>IFERROR(__xludf.DUMMYFUNCTION("""COMPUTED_VALUE"""),"enchanted gem")</f>
        <v>enchanted gem</v>
      </c>
      <c r="D205" s="11" t="str">
        <f>IFERROR(__xludf.DUMMYFUNCTION("""COMPUTED_VALUE"""),"green seeds")</f>
        <v>green seeds</v>
      </c>
      <c r="E205" s="11" t="str">
        <f>IFERROR(__xludf.DUMMYFUNCTION("""COMPUTED_VALUE"""),"leaf stone")</f>
        <v>leaf stone</v>
      </c>
      <c r="F205" s="11" t="str">
        <f>IFERROR(__xludf.DUMMYFUNCTION("""COMPUTED_VALUE"""),"enigma stone")</f>
        <v>enigma stone</v>
      </c>
      <c r="G205" s="11" t="str">
        <f>IFERROR(__xludf.DUMMYFUNCTION("""COMPUTED_VALUE"""),"simple grass orb")</f>
        <v>simple grass orb</v>
      </c>
      <c r="H205" s="11"/>
      <c r="I205" s="11"/>
      <c r="J205" s="11"/>
      <c r="K205" s="11"/>
      <c r="L205" s="11"/>
    </row>
    <row r="206">
      <c r="A206" s="13" t="str">
        <f>IFERROR(__xludf.DUMMYFUNCTION("""COMPUTED_VALUE"""),"Exeggutor")</f>
        <v>Exeggutor</v>
      </c>
      <c r="B206" s="11" t="str">
        <f>IFERROR(__xludf.DUMMYFUNCTION("""COMPUTED_VALUE"""),"seed")</f>
        <v>seed</v>
      </c>
      <c r="C206" s="11" t="str">
        <f>IFERROR(__xludf.DUMMYFUNCTION("""COMPUTED_VALUE"""),"enchanted gem")</f>
        <v>enchanted gem</v>
      </c>
      <c r="D206" s="11" t="str">
        <f>IFERROR(__xludf.DUMMYFUNCTION("""COMPUTED_VALUE"""),"coconut leaves")</f>
        <v>coconut leaves</v>
      </c>
      <c r="E206" s="11" t="str">
        <f>IFERROR(__xludf.DUMMYFUNCTION("""COMPUTED_VALUE"""),"leaf stone")</f>
        <v>leaf stone</v>
      </c>
      <c r="F206" s="11" t="str">
        <f>IFERROR(__xludf.DUMMYFUNCTION("""COMPUTED_VALUE"""),"enigma stone")</f>
        <v>enigma stone</v>
      </c>
      <c r="G206" s="11"/>
      <c r="H206" s="11"/>
      <c r="I206" s="11"/>
      <c r="J206" s="11"/>
      <c r="K206" s="11"/>
      <c r="L206" s="11"/>
    </row>
    <row r="207">
      <c r="A207" s="13" t="str">
        <f>IFERROR(__xludf.DUMMYFUNCTION("""COMPUTED_VALUE"""),"Shiny Exeggutor")</f>
        <v>Shiny Exeggutor</v>
      </c>
      <c r="B207" s="11" t="str">
        <f>IFERROR(__xludf.DUMMYFUNCTION("""COMPUTED_VALUE"""),"seed")</f>
        <v>seed</v>
      </c>
      <c r="C207" s="11" t="str">
        <f>IFERROR(__xludf.DUMMYFUNCTION("""COMPUTED_VALUE"""),"enchanted gem")</f>
        <v>enchanted gem</v>
      </c>
      <c r="D207" s="11" t="str">
        <f>IFERROR(__xludf.DUMMYFUNCTION("""COMPUTED_VALUE"""),"blue coconut leaves")</f>
        <v>blue coconut leaves</v>
      </c>
      <c r="E207" s="11" t="str">
        <f>IFERROR(__xludf.DUMMYFUNCTION("""COMPUTED_VALUE"""),"leaf stone")</f>
        <v>leaf stone</v>
      </c>
      <c r="F207" s="11" t="str">
        <f>IFERROR(__xludf.DUMMYFUNCTION("""COMPUTED_VALUE"""),"enigma stone")</f>
        <v>enigma stone</v>
      </c>
      <c r="G207" s="11" t="str">
        <f>IFERROR(__xludf.DUMMYFUNCTION("""COMPUTED_VALUE"""),"mythic grass orb")</f>
        <v>mythic grass orb</v>
      </c>
      <c r="H207" s="11"/>
      <c r="I207" s="11"/>
      <c r="J207" s="11"/>
      <c r="K207" s="11"/>
      <c r="L207" s="11"/>
    </row>
    <row r="208">
      <c r="A208" s="13" t="str">
        <f>IFERROR(__xludf.DUMMYFUNCTION("""COMPUTED_VALUE"""),"Cubone")</f>
        <v>Cubone</v>
      </c>
      <c r="B208" s="11" t="str">
        <f>IFERROR(__xludf.DUMMYFUNCTION("""COMPUTED_VALUE"""),"earth ball")</f>
        <v>earth ball</v>
      </c>
      <c r="C208" s="11" t="str">
        <f>IFERROR(__xludf.DUMMYFUNCTION("""COMPUTED_VALUE"""),"cubone skull")</f>
        <v>cubone skull</v>
      </c>
      <c r="D208" s="11"/>
      <c r="E208" s="11"/>
      <c r="F208" s="11"/>
      <c r="G208" s="11"/>
      <c r="H208" s="11"/>
      <c r="I208" s="11"/>
      <c r="J208" s="11"/>
      <c r="K208" s="11"/>
      <c r="L208" s="11"/>
    </row>
    <row r="209">
      <c r="A209" s="13" t="str">
        <f>IFERROR(__xludf.DUMMYFUNCTION("""COMPUTED_VALUE"""),"Shiny Cubone")</f>
        <v>Shiny Cubone</v>
      </c>
      <c r="B209" s="11" t="str">
        <f>IFERROR(__xludf.DUMMYFUNCTION("""COMPUTED_VALUE"""),"earth ball")</f>
        <v>earth ball</v>
      </c>
      <c r="C209" s="11" t="str">
        <f>IFERROR(__xludf.DUMMYFUNCTION("""COMPUTED_VALUE"""),"cyan skull")</f>
        <v>cyan skull</v>
      </c>
      <c r="D209" s="11" t="str">
        <f>IFERROR(__xludf.DUMMYFUNCTION("""COMPUTED_VALUE"""),"earth stone")</f>
        <v>earth stone</v>
      </c>
      <c r="E209" s="11" t="str">
        <f>IFERROR(__xludf.DUMMYFUNCTION("""COMPUTED_VALUE"""),"simple ground orb")</f>
        <v>simple ground orb</v>
      </c>
      <c r="F209" s="11"/>
      <c r="G209" s="11"/>
      <c r="H209" s="11"/>
      <c r="I209" s="11"/>
      <c r="J209" s="11"/>
      <c r="K209" s="11"/>
      <c r="L209" s="11"/>
    </row>
    <row r="210">
      <c r="A210" s="13" t="str">
        <f>IFERROR(__xludf.DUMMYFUNCTION("""COMPUTED_VALUE"""),"Marowak")</f>
        <v>Marowak</v>
      </c>
      <c r="B210" s="11" t="str">
        <f>IFERROR(__xludf.DUMMYFUNCTION("""COMPUTED_VALUE"""),"earth ball")</f>
        <v>earth ball</v>
      </c>
      <c r="C210" s="11" t="str">
        <f>IFERROR(__xludf.DUMMYFUNCTION("""COMPUTED_VALUE"""),"bone")</f>
        <v>bone</v>
      </c>
      <c r="D210" s="11" t="str">
        <f>IFERROR(__xludf.DUMMYFUNCTION("""COMPUTED_VALUE"""),"earth stone")</f>
        <v>earth stone</v>
      </c>
      <c r="E210" s="11"/>
      <c r="F210" s="11"/>
      <c r="G210" s="11"/>
      <c r="H210" s="11"/>
      <c r="I210" s="11"/>
      <c r="J210" s="11"/>
      <c r="K210" s="11"/>
      <c r="L210" s="11"/>
    </row>
    <row r="211">
      <c r="A211" s="13" t="str">
        <f>IFERROR(__xludf.DUMMYFUNCTION("""COMPUTED_VALUE"""),"Shiny Marowak")</f>
        <v>Shiny Marowak</v>
      </c>
      <c r="B211" s="11" t="str">
        <f>IFERROR(__xludf.DUMMYFUNCTION("""COMPUTED_VALUE"""),"earth ball")</f>
        <v>earth ball</v>
      </c>
      <c r="C211" s="11" t="str">
        <f>IFERROR(__xludf.DUMMYFUNCTION("""COMPUTED_VALUE"""),"blue bone")</f>
        <v>blue bone</v>
      </c>
      <c r="D211" s="11" t="str">
        <f>IFERROR(__xludf.DUMMYFUNCTION("""COMPUTED_VALUE"""),"earth stone")</f>
        <v>earth stone</v>
      </c>
      <c r="E211" s="11" t="str">
        <f>IFERROR(__xludf.DUMMYFUNCTION("""COMPUTED_VALUE"""),"mythic ground orb")</f>
        <v>mythic ground orb</v>
      </c>
      <c r="F211" s="11"/>
      <c r="G211" s="11"/>
      <c r="H211" s="11"/>
      <c r="I211" s="11"/>
      <c r="J211" s="11"/>
      <c r="K211" s="11"/>
      <c r="L211" s="11"/>
    </row>
    <row r="212">
      <c r="A212" s="13" t="str">
        <f>IFERROR(__xludf.DUMMYFUNCTION("""COMPUTED_VALUE"""),"Hitmonlee")</f>
        <v>Hitmonlee</v>
      </c>
      <c r="B212" s="5" t="str">
        <f>IFERROR(__xludf.DUMMYFUNCTION("""COMPUTED_VALUE"""),"band aid")</f>
        <v>band aid</v>
      </c>
      <c r="C212" s="5" t="str">
        <f>IFERROR(__xludf.DUMMYFUNCTION("""COMPUTED_VALUE"""),"power bracer")</f>
        <v>power bracer</v>
      </c>
      <c r="D212" s="5" t="str">
        <f>IFERROR(__xludf.DUMMYFUNCTION("""COMPUTED_VALUE"""),"kick machine")</f>
        <v>kick machine</v>
      </c>
      <c r="E212" s="5" t="str">
        <f>IFERROR(__xludf.DUMMYFUNCTION("""COMPUTED_VALUE"""),"pinch machine")</f>
        <v>pinch machine</v>
      </c>
      <c r="F212" s="11"/>
      <c r="G212" s="11"/>
      <c r="H212" s="11"/>
      <c r="I212" s="11"/>
      <c r="J212" s="11"/>
      <c r="K212" s="11"/>
      <c r="L212" s="11"/>
    </row>
    <row r="213">
      <c r="A213" s="13" t="str">
        <f>IFERROR(__xludf.DUMMYFUNCTION("""COMPUTED_VALUE"""),"Shiny Hitmonlee")</f>
        <v>Shiny Hitmonlee</v>
      </c>
      <c r="B213" s="5" t="str">
        <f>IFERROR(__xludf.DUMMYFUNCTION("""COMPUTED_VALUE"""),"band aid")</f>
        <v>band aid</v>
      </c>
      <c r="C213" s="5" t="str">
        <f>IFERROR(__xludf.DUMMYFUNCTION("""COMPUTED_VALUE"""),"punch stone")</f>
        <v>punch stone</v>
      </c>
      <c r="D213" s="5" t="str">
        <f>IFERROR(__xludf.DUMMYFUNCTION("""COMPUTED_VALUE"""),"power bracer")</f>
        <v>power bracer</v>
      </c>
      <c r="E213" s="5" t="str">
        <f>IFERROR(__xludf.DUMMYFUNCTION("""COMPUTED_VALUE"""),"gray kick machine")</f>
        <v>gray kick machine</v>
      </c>
      <c r="F213" s="5" t="str">
        <f>IFERROR(__xludf.DUMMYFUNCTION("""COMPUTED_VALUE"""),"mythic fighting orb")</f>
        <v>mythic fighting orb</v>
      </c>
      <c r="G213" s="11"/>
      <c r="H213" s="11"/>
      <c r="I213" s="11"/>
      <c r="J213" s="11"/>
      <c r="K213" s="11"/>
      <c r="L213" s="11"/>
    </row>
    <row r="214">
      <c r="A214" s="13" t="str">
        <f>IFERROR(__xludf.DUMMYFUNCTION("""COMPUTED_VALUE"""),"Hitmonchan")</f>
        <v>Hitmonchan</v>
      </c>
      <c r="B214" s="5" t="str">
        <f>IFERROR(__xludf.DUMMYFUNCTION("""COMPUTED_VALUE"""),"band aid")</f>
        <v>band aid</v>
      </c>
      <c r="C214" s="5" t="str">
        <f>IFERROR(__xludf.DUMMYFUNCTION("""COMPUTED_VALUE"""),"power belt")</f>
        <v>power belt</v>
      </c>
      <c r="D214" s="5" t="str">
        <f>IFERROR(__xludf.DUMMYFUNCTION("""COMPUTED_VALUE"""),"punching machine")</f>
        <v>punching machine</v>
      </c>
      <c r="E214" s="5" t="str">
        <f>IFERROR(__xludf.DUMMYFUNCTION("""COMPUTED_VALUE"""),"punch stone")</f>
        <v>punch stone</v>
      </c>
      <c r="F214" s="11"/>
      <c r="G214" s="11"/>
      <c r="H214" s="11"/>
      <c r="I214" s="11"/>
      <c r="J214" s="11"/>
      <c r="K214" s="11"/>
      <c r="L214" s="11"/>
    </row>
    <row r="215">
      <c r="A215" s="13" t="str">
        <f>IFERROR(__xludf.DUMMYFUNCTION("""COMPUTED_VALUE"""),"Shiny Hitmonchan")</f>
        <v>Shiny Hitmonchan</v>
      </c>
      <c r="B215" s="5" t="str">
        <f>IFERROR(__xludf.DUMMYFUNCTION("""COMPUTED_VALUE"""),"band aid")</f>
        <v>band aid</v>
      </c>
      <c r="C215" s="5" t="str">
        <f>IFERROR(__xludf.DUMMYFUNCTION("""COMPUTED_VALUE"""),"punch stone")</f>
        <v>punch stone</v>
      </c>
      <c r="D215" s="5" t="str">
        <f>IFERROR(__xludf.DUMMYFUNCTION("""COMPUTED_VALUE"""),"power belt")</f>
        <v>power belt</v>
      </c>
      <c r="E215" s="5" t="str">
        <f>IFERROR(__xludf.DUMMYFUNCTION("""COMPUTED_VALUE"""),"blue punching machine")</f>
        <v>blue punching machine</v>
      </c>
      <c r="F215" s="5" t="str">
        <f>IFERROR(__xludf.DUMMYFUNCTION("""COMPUTED_VALUE"""),"mythic fighting orb")</f>
        <v>mythic fighting orb</v>
      </c>
      <c r="G215" s="11"/>
      <c r="H215" s="11"/>
      <c r="I215" s="11"/>
      <c r="J215" s="11"/>
      <c r="K215" s="11"/>
      <c r="L215" s="11"/>
    </row>
    <row r="216">
      <c r="A216" s="13" t="str">
        <f>IFERROR(__xludf.DUMMYFUNCTION("""COMPUTED_VALUE"""),"Lickitung")</f>
        <v>Lickitung</v>
      </c>
      <c r="B216" s="11" t="str">
        <f>IFERROR(__xludf.DUMMYFUNCTION("""COMPUTED_VALUE"""),"rubber ball")</f>
        <v>rubber ball</v>
      </c>
      <c r="C216" s="11" t="str">
        <f>IFERROR(__xludf.DUMMYFUNCTION("""COMPUTED_VALUE"""),"big tongue")</f>
        <v>big tongue</v>
      </c>
      <c r="D216" s="11" t="str">
        <f>IFERROR(__xludf.DUMMYFUNCTION("""COMPUTED_VALUE"""),"heart stone")</f>
        <v>heart stone</v>
      </c>
      <c r="E216" s="11"/>
      <c r="F216" s="11"/>
      <c r="G216" s="11"/>
      <c r="H216" s="11"/>
      <c r="I216" s="11"/>
      <c r="J216" s="11"/>
      <c r="K216" s="11"/>
      <c r="L216" s="11"/>
    </row>
    <row r="217">
      <c r="A217" s="13" t="str">
        <f>IFERROR(__xludf.DUMMYFUNCTION("""COMPUTED_VALUE"""),"Shiny Lickitung")</f>
        <v>Shiny Lickitung</v>
      </c>
      <c r="B217" s="11" t="str">
        <f>IFERROR(__xludf.DUMMYFUNCTION("""COMPUTED_VALUE"""),"rubber ball")</f>
        <v>rubber ball</v>
      </c>
      <c r="C217" s="11" t="str">
        <f>IFERROR(__xludf.DUMMYFUNCTION("""COMPUTED_VALUE"""),"yellow tongue")</f>
        <v>yellow tongue</v>
      </c>
      <c r="D217" s="11" t="str">
        <f>IFERROR(__xludf.DUMMYFUNCTION("""COMPUTED_VALUE"""),"heart stone")</f>
        <v>heart stone</v>
      </c>
      <c r="E217" s="11" t="str">
        <f>IFERROR(__xludf.DUMMYFUNCTION("""COMPUTED_VALUE"""),"arcane normal orb")</f>
        <v>arcane normal orb</v>
      </c>
      <c r="F217" s="11"/>
      <c r="G217" s="11"/>
      <c r="H217" s="11"/>
      <c r="I217" s="11"/>
      <c r="J217" s="11"/>
      <c r="K217" s="11"/>
      <c r="L217" s="11"/>
    </row>
    <row r="218">
      <c r="A218" s="13" t="str">
        <f>IFERROR(__xludf.DUMMYFUNCTION("""COMPUTED_VALUE"""),"Koffing")</f>
        <v>Koffing</v>
      </c>
      <c r="B218" s="11" t="str">
        <f>IFERROR(__xludf.DUMMYFUNCTION("""COMPUTED_VALUE"""),"bottle of poison")</f>
        <v>bottle of poison</v>
      </c>
      <c r="C218" s="11" t="str">
        <f>IFERROR(__xludf.DUMMYFUNCTION("""COMPUTED_VALUE"""),"poison pore")</f>
        <v>poison pore</v>
      </c>
      <c r="D218" s="11"/>
      <c r="E218" s="11"/>
      <c r="F218" s="11"/>
      <c r="G218" s="11"/>
      <c r="H218" s="11"/>
      <c r="I218" s="11"/>
      <c r="J218" s="11"/>
      <c r="K218" s="11"/>
      <c r="L218" s="11"/>
    </row>
    <row r="219">
      <c r="A219" s="13" t="str">
        <f>IFERROR(__xludf.DUMMYFUNCTION("""COMPUTED_VALUE"""),"Shiny Koffing")</f>
        <v>Shiny Koffing</v>
      </c>
      <c r="B219" s="11" t="str">
        <f>IFERROR(__xludf.DUMMYFUNCTION("""COMPUTED_VALUE"""),"bottle of poison")</f>
        <v>bottle of poison</v>
      </c>
      <c r="C219" s="11" t="str">
        <f>IFERROR(__xludf.DUMMYFUNCTION("""COMPUTED_VALUE"""),"contagious pore")</f>
        <v>contagious pore</v>
      </c>
      <c r="D219" s="11" t="str">
        <f>IFERROR(__xludf.DUMMYFUNCTION("""COMPUTED_VALUE"""),"venom stone")</f>
        <v>venom stone</v>
      </c>
      <c r="E219" s="11" t="str">
        <f>IFERROR(__xludf.DUMMYFUNCTION("""COMPUTED_VALUE"""),"simple poison orb")</f>
        <v>simple poison orb</v>
      </c>
      <c r="F219" s="11"/>
      <c r="G219" s="11"/>
      <c r="H219" s="11"/>
      <c r="I219" s="11"/>
      <c r="J219" s="11"/>
      <c r="K219" s="11"/>
      <c r="L219" s="11"/>
    </row>
    <row r="220">
      <c r="A220" s="13" t="str">
        <f>IFERROR(__xludf.DUMMYFUNCTION("""COMPUTED_VALUE"""),"Weezing")</f>
        <v>Weezing</v>
      </c>
      <c r="B220" s="11" t="str">
        <f>IFERROR(__xludf.DUMMYFUNCTION("""COMPUTED_VALUE"""),"bottle of poison")</f>
        <v>bottle of poison</v>
      </c>
      <c r="C220" s="11" t="str">
        <f>IFERROR(__xludf.DUMMYFUNCTION("""COMPUTED_VALUE"""),"toxic scale")</f>
        <v>toxic scale</v>
      </c>
      <c r="D220" s="11" t="str">
        <f>IFERROR(__xludf.DUMMYFUNCTION("""COMPUTED_VALUE"""),"venom stone")</f>
        <v>venom stone</v>
      </c>
      <c r="E220" s="11"/>
      <c r="F220" s="11"/>
      <c r="G220" s="11"/>
      <c r="H220" s="11"/>
      <c r="I220" s="11"/>
      <c r="J220" s="11"/>
      <c r="K220" s="11"/>
      <c r="L220" s="11"/>
    </row>
    <row r="221">
      <c r="A221" s="13" t="str">
        <f>IFERROR(__xludf.DUMMYFUNCTION("""COMPUTED_VALUE"""),"Shiny Weezing")</f>
        <v>Shiny Weezing</v>
      </c>
      <c r="B221" s="11" t="str">
        <f>IFERROR(__xludf.DUMMYFUNCTION("""COMPUTED_VALUE"""),"bottle of poison")</f>
        <v>bottle of poison</v>
      </c>
      <c r="C221" s="11" t="str">
        <f>IFERROR(__xludf.DUMMYFUNCTION("""COMPUTED_VALUE"""),"gray toxic scale")</f>
        <v>gray toxic scale</v>
      </c>
      <c r="D221" s="11" t="str">
        <f>IFERROR(__xludf.DUMMYFUNCTION("""COMPUTED_VALUE"""),"venom stone")</f>
        <v>venom stone</v>
      </c>
      <c r="E221" s="11" t="str">
        <f>IFERROR(__xludf.DUMMYFUNCTION("""COMPUTED_VALUE"""),"arcane poison orb")</f>
        <v>arcane poison orb</v>
      </c>
      <c r="F221" s="11"/>
      <c r="G221" s="11"/>
      <c r="H221" s="11"/>
      <c r="I221" s="11"/>
      <c r="J221" s="11"/>
      <c r="K221" s="11"/>
      <c r="L221" s="11"/>
    </row>
    <row r="222">
      <c r="A222" s="13" t="str">
        <f>IFERROR(__xludf.DUMMYFUNCTION("""COMPUTED_VALUE"""),"Rhyhorn")</f>
        <v>Rhyhorn</v>
      </c>
      <c r="B222" s="11" t="str">
        <f>IFERROR(__xludf.DUMMYFUNCTION("""COMPUTED_VALUE"""),"earth ball")</f>
        <v>earth ball</v>
      </c>
      <c r="C222" s="11" t="str">
        <f>IFERROR(__xludf.DUMMYFUNCTION("""COMPUTED_VALUE"""),"small stone")</f>
        <v>small stone</v>
      </c>
      <c r="D222" s="11" t="str">
        <f>IFERROR(__xludf.DUMMYFUNCTION("""COMPUTED_VALUE"""),"hardrock shell")</f>
        <v>hardrock shell</v>
      </c>
      <c r="E222" s="11"/>
      <c r="F222" s="11"/>
      <c r="G222" s="11"/>
      <c r="H222" s="11"/>
      <c r="I222" s="11"/>
      <c r="J222" s="11"/>
      <c r="K222" s="11"/>
      <c r="L222" s="11"/>
    </row>
    <row r="223">
      <c r="A223" s="13" t="str">
        <f>IFERROR(__xludf.DUMMYFUNCTION("""COMPUTED_VALUE"""),"Shiny Rhyhorn")</f>
        <v>Shiny Rhyhorn</v>
      </c>
      <c r="B223" s="11" t="str">
        <f>IFERROR(__xludf.DUMMYFUNCTION("""COMPUTED_VALUE"""),"earth ball")</f>
        <v>earth ball</v>
      </c>
      <c r="C223" s="11" t="str">
        <f>IFERROR(__xludf.DUMMYFUNCTION("""COMPUTED_VALUE"""),"small stone")</f>
        <v>small stone</v>
      </c>
      <c r="D223" s="11" t="str">
        <f>IFERROR(__xludf.DUMMYFUNCTION("""COMPUTED_VALUE"""),"golden shell")</f>
        <v>golden shell</v>
      </c>
      <c r="E223" s="11" t="str">
        <f>IFERROR(__xludf.DUMMYFUNCTION("""COMPUTED_VALUE"""),"earth stone")</f>
        <v>earth stone</v>
      </c>
      <c r="F223" s="11" t="str">
        <f>IFERROR(__xludf.DUMMYFUNCTION("""COMPUTED_VALUE"""),"rock stone")</f>
        <v>rock stone</v>
      </c>
      <c r="G223" s="11" t="str">
        <f>IFERROR(__xludf.DUMMYFUNCTION("""COMPUTED_VALUE"""),"simple rock orb")</f>
        <v>simple rock orb</v>
      </c>
      <c r="H223" s="11"/>
      <c r="I223" s="11"/>
      <c r="J223" s="11"/>
      <c r="K223" s="11"/>
      <c r="L223" s="11"/>
    </row>
    <row r="224">
      <c r="A224" s="13" t="str">
        <f>IFERROR(__xludf.DUMMYFUNCTION("""COMPUTED_VALUE"""),"Rhydon")</f>
        <v>Rhydon</v>
      </c>
      <c r="B224" s="11" t="str">
        <f>IFERROR(__xludf.DUMMYFUNCTION("""COMPUTED_VALUE"""),"earth ball")</f>
        <v>earth ball</v>
      </c>
      <c r="C224" s="11" t="str">
        <f>IFERROR(__xludf.DUMMYFUNCTION("""COMPUTED_VALUE"""),"small stone")</f>
        <v>small stone</v>
      </c>
      <c r="D224" s="11" t="str">
        <f>IFERROR(__xludf.DUMMYFUNCTION("""COMPUTED_VALUE"""),"horn drill")</f>
        <v>horn drill</v>
      </c>
      <c r="E224" s="11" t="str">
        <f>IFERROR(__xludf.DUMMYFUNCTION("""COMPUTED_VALUE"""),"earth stone")</f>
        <v>earth stone</v>
      </c>
      <c r="F224" s="11" t="str">
        <f>IFERROR(__xludf.DUMMYFUNCTION("""COMPUTED_VALUE"""),"rock stone")</f>
        <v>rock stone</v>
      </c>
      <c r="G224" s="11"/>
      <c r="H224" s="11"/>
      <c r="I224" s="11"/>
      <c r="J224" s="11"/>
      <c r="K224" s="11"/>
      <c r="L224" s="11"/>
    </row>
    <row r="225">
      <c r="A225" s="13" t="str">
        <f>IFERROR(__xludf.DUMMYFUNCTION("""COMPUTED_VALUE"""),"Shiny Rhydon")</f>
        <v>Shiny Rhydon</v>
      </c>
      <c r="B225" s="11" t="str">
        <f>IFERROR(__xludf.DUMMYFUNCTION("""COMPUTED_VALUE"""),"earth ball")</f>
        <v>earth ball</v>
      </c>
      <c r="C225" s="11" t="str">
        <f>IFERROR(__xludf.DUMMYFUNCTION("""COMPUTED_VALUE"""),"small stone")</f>
        <v>small stone</v>
      </c>
      <c r="D225" s="11" t="str">
        <f>IFERROR(__xludf.DUMMYFUNCTION("""COMPUTED_VALUE"""),"golden drill")</f>
        <v>golden drill</v>
      </c>
      <c r="E225" s="11" t="str">
        <f>IFERROR(__xludf.DUMMYFUNCTION("""COMPUTED_VALUE"""),"earth stone")</f>
        <v>earth stone</v>
      </c>
      <c r="F225" s="11" t="str">
        <f>IFERROR(__xludf.DUMMYFUNCTION("""COMPUTED_VALUE"""),"rock stone")</f>
        <v>rock stone</v>
      </c>
      <c r="G225" s="11" t="str">
        <f>IFERROR(__xludf.DUMMYFUNCTION("""COMPUTED_VALUE"""),"arcane ground orb")</f>
        <v>arcane ground orb</v>
      </c>
      <c r="H225" s="11"/>
      <c r="I225" s="11"/>
      <c r="J225" s="11"/>
      <c r="K225" s="11"/>
      <c r="L225" s="11"/>
    </row>
    <row r="226">
      <c r="A226" s="13" t="str">
        <f>IFERROR(__xludf.DUMMYFUNCTION("""COMPUTED_VALUE"""),"Chansey")</f>
        <v>Chansey</v>
      </c>
      <c r="B226" s="5" t="str">
        <f>IFERROR(__xludf.DUMMYFUNCTION("""COMPUTED_VALUE"""),"rubber ball")</f>
        <v>rubber ball</v>
      </c>
      <c r="C226" s="5" t="str">
        <f>IFERROR(__xludf.DUMMYFUNCTION("""COMPUTED_VALUE"""),"lucky egg")</f>
        <v>lucky egg</v>
      </c>
      <c r="D226" s="5" t="str">
        <f>IFERROR(__xludf.DUMMYFUNCTION("""COMPUTED_VALUE"""),"heart stone")</f>
        <v>heart stone</v>
      </c>
      <c r="E226" s="11"/>
      <c r="F226" s="11"/>
      <c r="G226" s="11"/>
      <c r="H226" s="11"/>
      <c r="I226" s="11"/>
      <c r="J226" s="11"/>
      <c r="K226" s="11"/>
      <c r="L226" s="11"/>
    </row>
    <row r="227">
      <c r="A227" s="13" t="str">
        <f>IFERROR(__xludf.DUMMYFUNCTION("""COMPUTED_VALUE"""),"Shiny Chansey")</f>
        <v>Shiny Chansey</v>
      </c>
      <c r="B227" s="5" t="str">
        <f>IFERROR(__xludf.DUMMYFUNCTION("""COMPUTED_VALUE"""),"rubber ball")</f>
        <v>rubber ball</v>
      </c>
      <c r="C227" s="5" t="str">
        <f>IFERROR(__xludf.DUMMYFUNCTION("""COMPUTED_VALUE"""),"purple egg")</f>
        <v>purple egg</v>
      </c>
      <c r="D227" s="5" t="str">
        <f>IFERROR(__xludf.DUMMYFUNCTION("""COMPUTED_VALUE"""),"heart stone")</f>
        <v>heart stone</v>
      </c>
      <c r="E227" s="5" t="str">
        <f>IFERROR(__xludf.DUMMYFUNCTION("""COMPUTED_VALUE"""),"arcane normal orb")</f>
        <v>arcane normal orb</v>
      </c>
      <c r="F227" s="11"/>
      <c r="G227" s="11"/>
      <c r="H227" s="11"/>
      <c r="I227" s="11"/>
      <c r="J227" s="11"/>
      <c r="K227" s="11"/>
      <c r="L227" s="11"/>
    </row>
    <row r="228">
      <c r="A228" s="13" t="str">
        <f>IFERROR(__xludf.DUMMYFUNCTION("""COMPUTED_VALUE"""),"Tangela")</f>
        <v>Tangela</v>
      </c>
      <c r="B228" s="11" t="str">
        <f>IFERROR(__xludf.DUMMYFUNCTION("""COMPUTED_VALUE"""),"seed")</f>
        <v>seed</v>
      </c>
      <c r="C228" s="11" t="str">
        <f>IFERROR(__xludf.DUMMYFUNCTION("""COMPUTED_VALUE"""),"vine hair")</f>
        <v>vine hair</v>
      </c>
      <c r="D228" s="11" t="str">
        <f>IFERROR(__xludf.DUMMYFUNCTION("""COMPUTED_VALUE"""),"leaf stone")</f>
        <v>leaf stone</v>
      </c>
      <c r="E228" s="11"/>
      <c r="F228" s="11"/>
      <c r="G228" s="11"/>
      <c r="H228" s="11"/>
      <c r="I228" s="11"/>
      <c r="J228" s="11"/>
      <c r="K228" s="11"/>
      <c r="L228" s="11"/>
    </row>
    <row r="229">
      <c r="A229" s="13" t="str">
        <f>IFERROR(__xludf.DUMMYFUNCTION("""COMPUTED_VALUE"""),"Shiny Tangela")</f>
        <v>Shiny Tangela</v>
      </c>
      <c r="B229" s="11" t="str">
        <f>IFERROR(__xludf.DUMMYFUNCTION("""COMPUTED_VALUE"""),"seed")</f>
        <v>seed</v>
      </c>
      <c r="C229" s="11" t="str">
        <f>IFERROR(__xludf.DUMMYFUNCTION("""COMPUTED_VALUE"""),"green vine")</f>
        <v>green vine</v>
      </c>
      <c r="D229" s="11" t="str">
        <f>IFERROR(__xludf.DUMMYFUNCTION("""COMPUTED_VALUE"""),"leaf stone")</f>
        <v>leaf stone</v>
      </c>
      <c r="E229" s="11" t="str">
        <f>IFERROR(__xludf.DUMMYFUNCTION("""COMPUTED_VALUE"""),"arcane grass orb")</f>
        <v>arcane grass orb</v>
      </c>
      <c r="F229" s="11"/>
      <c r="G229" s="11"/>
      <c r="H229" s="11"/>
      <c r="I229" s="11"/>
      <c r="J229" s="11"/>
      <c r="K229" s="11"/>
      <c r="L229" s="11"/>
    </row>
    <row r="230">
      <c r="A230" s="13" t="str">
        <f>IFERROR(__xludf.DUMMYFUNCTION("""COMPUTED_VALUE"""),"Kangaskhan")</f>
        <v>Kangaskhan</v>
      </c>
      <c r="B230" s="11" t="str">
        <f>IFERROR(__xludf.DUMMYFUNCTION("""COMPUTED_VALUE"""),"rubber ball")</f>
        <v>rubber ball</v>
      </c>
      <c r="C230" s="11" t="str">
        <f>IFERROR(__xludf.DUMMYFUNCTION("""COMPUTED_VALUE"""),"kangaskhan ear")</f>
        <v>kangaskhan ear</v>
      </c>
      <c r="D230" s="11" t="str">
        <f>IFERROR(__xludf.DUMMYFUNCTION("""COMPUTED_VALUE"""),"heart stone")</f>
        <v>heart stone</v>
      </c>
      <c r="E230" s="11"/>
      <c r="F230" s="11"/>
      <c r="G230" s="11"/>
      <c r="H230" s="11"/>
      <c r="I230" s="11"/>
      <c r="J230" s="11"/>
      <c r="K230" s="11"/>
      <c r="L230" s="11"/>
    </row>
    <row r="231">
      <c r="A231" s="13" t="str">
        <f>IFERROR(__xludf.DUMMYFUNCTION("""COMPUTED_VALUE"""),"Shiny Kangaskhan")</f>
        <v>Shiny Kangaskhan</v>
      </c>
      <c r="B231" s="11" t="str">
        <f>IFERROR(__xludf.DUMMYFUNCTION("""COMPUTED_VALUE"""),"rubber ball")</f>
        <v>rubber ball</v>
      </c>
      <c r="C231" s="11" t="str">
        <f>IFERROR(__xludf.DUMMYFUNCTION("""COMPUTED_VALUE"""),"kangaskhan blue ear")</f>
        <v>kangaskhan blue ear</v>
      </c>
      <c r="D231" s="11" t="str">
        <f>IFERROR(__xludf.DUMMYFUNCTION("""COMPUTED_VALUE"""),"heart stone")</f>
        <v>heart stone</v>
      </c>
      <c r="E231" s="11" t="str">
        <f>IFERROR(__xludf.DUMMYFUNCTION("""COMPUTED_VALUE"""),"mychic normal orb")</f>
        <v>mychic normal orb</v>
      </c>
      <c r="F231" s="11"/>
      <c r="G231" s="11"/>
      <c r="H231" s="11"/>
      <c r="I231" s="11"/>
      <c r="J231" s="11"/>
      <c r="K231" s="11"/>
      <c r="L231" s="11"/>
    </row>
    <row r="232">
      <c r="A232" s="13" t="str">
        <f>IFERROR(__xludf.DUMMYFUNCTION("""COMPUTED_VALUE"""),"Horsea")</f>
        <v>Horsea</v>
      </c>
      <c r="B232" s="5" t="str">
        <f>IFERROR(__xludf.DUMMYFUNCTION("""COMPUTED_VALUE"""),"water gem")</f>
        <v>water gem</v>
      </c>
      <c r="C232" s="5" t="str">
        <f>IFERROR(__xludf.DUMMYFUNCTION("""COMPUTED_VALUE"""),"horsea tail")</f>
        <v>horsea tail</v>
      </c>
      <c r="D232" s="11"/>
      <c r="E232" s="11"/>
      <c r="F232" s="11"/>
      <c r="G232" s="11"/>
      <c r="H232" s="11"/>
      <c r="I232" s="11"/>
      <c r="J232" s="11"/>
      <c r="K232" s="11"/>
      <c r="L232" s="11"/>
    </row>
    <row r="233">
      <c r="A233" s="13" t="str">
        <f>IFERROR(__xludf.DUMMYFUNCTION("""COMPUTED_VALUE"""),"Shiny Horsea")</f>
        <v>Shiny Horsea</v>
      </c>
      <c r="B233" s="5" t="str">
        <f>IFERROR(__xludf.DUMMYFUNCTION("""COMPUTED_VALUE"""),"water gem")</f>
        <v>water gem</v>
      </c>
      <c r="C233" s="5" t="str">
        <f>IFERROR(__xludf.DUMMYFUNCTION("""COMPUTED_VALUE"""),"white tail")</f>
        <v>white tail</v>
      </c>
      <c r="D233" s="5" t="str">
        <f>IFERROR(__xludf.DUMMYFUNCTION("""COMPUTED_VALUE"""),"water stone")</f>
        <v>water stone</v>
      </c>
      <c r="E233" s="5" t="str">
        <f>IFERROR(__xludf.DUMMYFUNCTION("""COMPUTED_VALUE"""),"simple water orb")</f>
        <v>simple water orb</v>
      </c>
      <c r="F233" s="11"/>
      <c r="G233" s="11"/>
      <c r="H233" s="11"/>
      <c r="I233" s="11"/>
      <c r="J233" s="11"/>
      <c r="K233" s="11"/>
      <c r="L233" s="11"/>
    </row>
    <row r="234">
      <c r="A234" s="13" t="str">
        <f>IFERROR(__xludf.DUMMYFUNCTION("""COMPUTED_VALUE"""),"Seadra")</f>
        <v>Seadra</v>
      </c>
      <c r="B234" s="5" t="str">
        <f>IFERROR(__xludf.DUMMYFUNCTION("""COMPUTED_VALUE"""),"water gem")</f>
        <v>water gem</v>
      </c>
      <c r="C234" s="5" t="str">
        <f>IFERROR(__xludf.DUMMYFUNCTION("""COMPUTED_VALUE"""),"seadra fin")</f>
        <v>seadra fin</v>
      </c>
      <c r="D234" s="5" t="str">
        <f>IFERROR(__xludf.DUMMYFUNCTION("""COMPUTED_VALUE"""),"water stone")</f>
        <v>water stone</v>
      </c>
      <c r="E234" s="11"/>
      <c r="F234" s="11"/>
      <c r="G234" s="11"/>
      <c r="H234" s="11"/>
      <c r="I234" s="11"/>
      <c r="J234" s="11"/>
      <c r="K234" s="11"/>
      <c r="L234" s="11"/>
    </row>
    <row r="235">
      <c r="A235" s="13" t="str">
        <f>IFERROR(__xludf.DUMMYFUNCTION("""COMPUTED_VALUE"""),"Shiny Seadra")</f>
        <v>Shiny Seadra</v>
      </c>
      <c r="B235" s="5" t="str">
        <f>IFERROR(__xludf.DUMMYFUNCTION("""COMPUTED_VALUE"""),"water gem")</f>
        <v>water gem</v>
      </c>
      <c r="C235" s="5" t="str">
        <f>IFERROR(__xludf.DUMMYFUNCTION("""COMPUTED_VALUE"""),"white fin")</f>
        <v>white fin</v>
      </c>
      <c r="D235" s="5" t="str">
        <f>IFERROR(__xludf.DUMMYFUNCTION("""COMPUTED_VALUE"""),"water stone")</f>
        <v>water stone</v>
      </c>
      <c r="E235" s="5" t="str">
        <f>IFERROR(__xludf.DUMMYFUNCTION("""COMPUTED_VALUE"""),"arcane water orb")</f>
        <v>arcane water orb</v>
      </c>
      <c r="F235" s="11"/>
      <c r="G235" s="11"/>
      <c r="H235" s="11"/>
      <c r="I235" s="11"/>
      <c r="J235" s="11"/>
      <c r="K235" s="11"/>
      <c r="L235" s="11"/>
    </row>
    <row r="236">
      <c r="A236" s="37" t="str">
        <f>IFERROR(__xludf.DUMMYFUNCTION("""COMPUTED_VALUE"""),"Goldeen")</f>
        <v>Goldeen</v>
      </c>
      <c r="B236" s="5" t="str">
        <f>IFERROR(__xludf.DUMMYFUNCTION("""COMPUTED_VALUE"""),"water gem")</f>
        <v>water gem</v>
      </c>
      <c r="C236" s="5" t="str">
        <f>IFERROR(__xludf.DUMMYFUNCTION("""COMPUTED_VALUE"""),"goldeen tail")</f>
        <v>goldeen tail</v>
      </c>
      <c r="D236" s="11"/>
      <c r="E236" s="11"/>
      <c r="F236" s="11"/>
      <c r="G236" s="11"/>
      <c r="H236" s="11"/>
      <c r="I236" s="11"/>
      <c r="J236" s="11"/>
      <c r="K236" s="11"/>
      <c r="L236" s="11"/>
    </row>
    <row r="237">
      <c r="A237" s="37" t="str">
        <f>IFERROR(__xludf.DUMMYFUNCTION("""COMPUTED_VALUE"""),"Shiny Goldeen")</f>
        <v>Shiny Goldeen</v>
      </c>
      <c r="B237" s="5" t="str">
        <f>IFERROR(__xludf.DUMMYFUNCTION("""COMPUTED_VALUE"""),"water gem")</f>
        <v>water gem</v>
      </c>
      <c r="C237" s="5" t="str">
        <f>IFERROR(__xludf.DUMMYFUNCTION("""COMPUTED_VALUE"""),"blue tail")</f>
        <v>blue tail</v>
      </c>
      <c r="D237" s="5" t="str">
        <f>IFERROR(__xludf.DUMMYFUNCTION("""COMPUTED_VALUE"""),"water stone")</f>
        <v>water stone</v>
      </c>
      <c r="E237" s="5" t="str">
        <f>IFERROR(__xludf.DUMMYFUNCTION("""COMPUTED_VALUE"""),"simple water orb")</f>
        <v>simple water orb</v>
      </c>
      <c r="F237" s="11"/>
      <c r="G237" s="11"/>
      <c r="H237" s="11"/>
      <c r="I237" s="11"/>
      <c r="J237" s="11"/>
      <c r="K237" s="11"/>
      <c r="L237" s="11"/>
    </row>
    <row r="238">
      <c r="A238" s="13" t="str">
        <f>IFERROR(__xludf.DUMMYFUNCTION("""COMPUTED_VALUE"""),"Seaking")</f>
        <v>Seaking</v>
      </c>
      <c r="B238" s="5" t="str">
        <f>IFERROR(__xludf.DUMMYFUNCTION("""COMPUTED_VALUE"""),"water gem")</f>
        <v>water gem</v>
      </c>
      <c r="C238" s="5" t="str">
        <f>IFERROR(__xludf.DUMMYFUNCTION("""COMPUTED_VALUE"""),"seaking tail")</f>
        <v>seaking tail</v>
      </c>
      <c r="D238" s="5" t="str">
        <f>IFERROR(__xludf.DUMMYFUNCTION("""COMPUTED_VALUE"""),"water stone")</f>
        <v>water stone</v>
      </c>
      <c r="E238" s="11"/>
      <c r="F238" s="11"/>
      <c r="G238" s="11"/>
      <c r="H238" s="11"/>
      <c r="I238" s="11"/>
      <c r="J238" s="11"/>
      <c r="K238" s="11"/>
      <c r="L238" s="11"/>
    </row>
    <row r="239">
      <c r="A239" s="13" t="str">
        <f>IFERROR(__xludf.DUMMYFUNCTION("""COMPUTED_VALUE"""),"Shiny Seaking")</f>
        <v>Shiny Seaking</v>
      </c>
      <c r="B239" s="5" t="str">
        <f>IFERROR(__xludf.DUMMYFUNCTION("""COMPUTED_VALUE"""),"water gem")</f>
        <v>water gem</v>
      </c>
      <c r="C239" s="5" t="str">
        <f>IFERROR(__xludf.DUMMYFUNCTION("""COMPUTED_VALUE"""),"purple big tail")</f>
        <v>purple big tail</v>
      </c>
      <c r="D239" s="5" t="str">
        <f>IFERROR(__xludf.DUMMYFUNCTION("""COMPUTED_VALUE"""),"water stone")</f>
        <v>water stone</v>
      </c>
      <c r="E239" s="5" t="str">
        <f>IFERROR(__xludf.DUMMYFUNCTION("""COMPUTED_VALUE"""),"arcane water orb")</f>
        <v>arcane water orb</v>
      </c>
      <c r="F239" s="11"/>
      <c r="G239" s="11"/>
      <c r="H239" s="11"/>
      <c r="I239" s="11"/>
      <c r="J239" s="11"/>
      <c r="K239" s="11"/>
      <c r="L239" s="11"/>
    </row>
    <row r="240">
      <c r="A240" s="13" t="str">
        <f>IFERROR(__xludf.DUMMYFUNCTION("""COMPUTED_VALUE"""),"Staryu")</f>
        <v>Staryu</v>
      </c>
      <c r="B240" s="11" t="str">
        <f>IFERROR(__xludf.DUMMYFUNCTION("""COMPUTED_VALUE"""),"water gem")</f>
        <v>water gem</v>
      </c>
      <c r="C240" s="11" t="str">
        <f>IFERROR(__xludf.DUMMYFUNCTION("""COMPUTED_VALUE"""),"star core")</f>
        <v>star core</v>
      </c>
      <c r="D240" s="11"/>
      <c r="E240" s="11"/>
      <c r="F240" s="11"/>
      <c r="G240" s="11"/>
      <c r="H240" s="11"/>
      <c r="I240" s="11"/>
      <c r="J240" s="11"/>
      <c r="K240" s="11"/>
      <c r="L240" s="11"/>
    </row>
    <row r="241">
      <c r="A241" s="13" t="str">
        <f>IFERROR(__xludf.DUMMYFUNCTION("""COMPUTED_VALUE"""),"Shiny Staryu")</f>
        <v>Shiny Staryu</v>
      </c>
      <c r="B241" s="11" t="str">
        <f>IFERROR(__xludf.DUMMYFUNCTION("""COMPUTED_VALUE"""),"water gem")</f>
        <v>water gem</v>
      </c>
      <c r="C241" s="11" t="str">
        <f>IFERROR(__xludf.DUMMYFUNCTION("""COMPUTED_VALUE"""),"glowing core")</f>
        <v>glowing core</v>
      </c>
      <c r="D241" s="11" t="str">
        <f>IFERROR(__xludf.DUMMYFUNCTION("""COMPUTED_VALUE"""),"water stone")</f>
        <v>water stone</v>
      </c>
      <c r="E241" s="11" t="str">
        <f>IFERROR(__xludf.DUMMYFUNCTION("""COMPUTED_VALUE"""),"simple water orb")</f>
        <v>simple water orb</v>
      </c>
      <c r="F241" s="11"/>
      <c r="G241" s="11"/>
      <c r="H241" s="11"/>
      <c r="I241" s="11"/>
      <c r="J241" s="11"/>
      <c r="K241" s="11"/>
      <c r="L241" s="11"/>
    </row>
    <row r="242">
      <c r="A242" s="13" t="str">
        <f>IFERROR(__xludf.DUMMYFUNCTION("""COMPUTED_VALUE"""),"Starmie")</f>
        <v>Starmie</v>
      </c>
      <c r="B242" s="11" t="str">
        <f>IFERROR(__xludf.DUMMYFUNCTION("""COMPUTED_VALUE"""),"water gem")</f>
        <v>water gem</v>
      </c>
      <c r="C242" s="11" t="str">
        <f>IFERROR(__xludf.DUMMYFUNCTION("""COMPUTED_VALUE"""),"enchanted gem")</f>
        <v>enchanted gem</v>
      </c>
      <c r="D242" s="11" t="str">
        <f>IFERROR(__xludf.DUMMYFUNCTION("""COMPUTED_VALUE"""),"star jewel")</f>
        <v>star jewel</v>
      </c>
      <c r="E242" s="11" t="str">
        <f>IFERROR(__xludf.DUMMYFUNCTION("""COMPUTED_VALUE"""),"water stone")</f>
        <v>water stone</v>
      </c>
      <c r="F242" s="11" t="str">
        <f>IFERROR(__xludf.DUMMYFUNCTION("""COMPUTED_VALUE"""),"enigma stone")</f>
        <v>enigma stone</v>
      </c>
      <c r="G242" s="11"/>
      <c r="H242" s="11"/>
      <c r="I242" s="11"/>
      <c r="J242" s="11"/>
      <c r="K242" s="11"/>
      <c r="L242" s="11"/>
    </row>
    <row r="243">
      <c r="A243" s="13" t="str">
        <f>IFERROR(__xludf.DUMMYFUNCTION("""COMPUTED_VALUE"""),"Shiny Starmie")</f>
        <v>Shiny Starmie</v>
      </c>
      <c r="B243" s="11" t="str">
        <f>IFERROR(__xludf.DUMMYFUNCTION("""COMPUTED_VALUE"""),"water gem")</f>
        <v>water gem</v>
      </c>
      <c r="C243" s="11" t="str">
        <f>IFERROR(__xludf.DUMMYFUNCTION("""COMPUTED_VALUE"""),"enchanted gem")</f>
        <v>enchanted gem</v>
      </c>
      <c r="D243" s="11" t="str">
        <f>IFERROR(__xludf.DUMMYFUNCTION("""COMPUTED_VALUE"""),"malfunctioning core")</f>
        <v>malfunctioning core</v>
      </c>
      <c r="E243" s="11" t="str">
        <f>IFERROR(__xludf.DUMMYFUNCTION("""COMPUTED_VALUE"""),"water stone")</f>
        <v>water stone</v>
      </c>
      <c r="F243" s="11" t="str">
        <f>IFERROR(__xludf.DUMMYFUNCTION("""COMPUTED_VALUE"""),"enigma stone")</f>
        <v>enigma stone</v>
      </c>
      <c r="G243" s="11" t="str">
        <f>IFERROR(__xludf.DUMMYFUNCTION("""COMPUTED_VALUE"""),"mythic water orb")</f>
        <v>mythic water orb</v>
      </c>
      <c r="H243" s="11"/>
      <c r="I243" s="11"/>
      <c r="J243" s="11"/>
      <c r="K243" s="11"/>
      <c r="L243" s="11"/>
    </row>
    <row r="244">
      <c r="A244" s="13" t="str">
        <f>IFERROR(__xludf.DUMMYFUNCTION("""COMPUTED_VALUE"""),"Mr. Mime")</f>
        <v>Mr. Mime</v>
      </c>
      <c r="B244" s="11" t="str">
        <f>IFERROR(__xludf.DUMMYFUNCTION("""COMPUTED_VALUE"""),"enchanted gem")</f>
        <v>enchanted gem</v>
      </c>
      <c r="C244" s="11" t="str">
        <f>IFERROR(__xludf.DUMMYFUNCTION("""COMPUTED_VALUE"""),"fairy essence")</f>
        <v>fairy essence</v>
      </c>
      <c r="D244" s="11" t="str">
        <f>IFERROR(__xludf.DUMMYFUNCTION("""COMPUTED_VALUE"""),"mimic clothes")</f>
        <v>mimic clothes</v>
      </c>
      <c r="E244" s="11" t="str">
        <f>IFERROR(__xludf.DUMMYFUNCTION("""COMPUTED_VALUE"""),"enigma stone")</f>
        <v>enigma stone</v>
      </c>
      <c r="F244" s="11" t="str">
        <f>IFERROR(__xludf.DUMMYFUNCTION("""COMPUTED_VALUE"""),"heart stone")</f>
        <v>heart stone</v>
      </c>
      <c r="G244" s="11"/>
      <c r="H244" s="11"/>
      <c r="I244" s="11"/>
      <c r="J244" s="11"/>
      <c r="K244" s="11"/>
      <c r="L244" s="11"/>
    </row>
    <row r="245">
      <c r="A245" s="13" t="str">
        <f>IFERROR(__xludf.DUMMYFUNCTION("""COMPUTED_VALUE"""),"Shiny Mr. Mime")</f>
        <v>Shiny Mr. Mime</v>
      </c>
      <c r="B245" s="11" t="str">
        <f>IFERROR(__xludf.DUMMYFUNCTION("""COMPUTED_VALUE"""),"enchanted gem")</f>
        <v>enchanted gem</v>
      </c>
      <c r="C245" s="11" t="str">
        <f>IFERROR(__xludf.DUMMYFUNCTION("""COMPUTED_VALUE"""),"fairy essence")</f>
        <v>fairy essence</v>
      </c>
      <c r="D245" s="11" t="str">
        <f>IFERROR(__xludf.DUMMYFUNCTION("""COMPUTED_VALUE"""),"mimic blue clothes")</f>
        <v>mimic blue clothes</v>
      </c>
      <c r="E245" s="11" t="str">
        <f>IFERROR(__xludf.DUMMYFUNCTION("""COMPUTED_VALUE"""),"enigma stone")</f>
        <v>enigma stone</v>
      </c>
      <c r="F245" s="11" t="str">
        <f>IFERROR(__xludf.DUMMYFUNCTION("""COMPUTED_VALUE"""),"heart stone")</f>
        <v>heart stone</v>
      </c>
      <c r="G245" s="11" t="str">
        <f>IFERROR(__xludf.DUMMYFUNCTION("""COMPUTED_VALUE"""),"mythic psychic orb")</f>
        <v>mythic psychic orb</v>
      </c>
      <c r="H245" s="11"/>
      <c r="I245" s="11"/>
      <c r="J245" s="11"/>
      <c r="K245" s="11"/>
      <c r="L245" s="11"/>
    </row>
    <row r="246">
      <c r="A246" s="13" t="str">
        <f>IFERROR(__xludf.DUMMYFUNCTION("""COMPUTED_VALUE"""),"Scyther")</f>
        <v>Scyther</v>
      </c>
      <c r="B246" s="5" t="str">
        <f>IFERROR(__xludf.DUMMYFUNCTION("""COMPUTED_VALUE"""),"bug gosme")</f>
        <v>bug gosme</v>
      </c>
      <c r="C246" s="5" t="str">
        <f>IFERROR(__xludf.DUMMYFUNCTION("""COMPUTED_VALUE"""),"straw")</f>
        <v>straw</v>
      </c>
      <c r="D246" s="5" t="str">
        <f>IFERROR(__xludf.DUMMYFUNCTION("""COMPUTED_VALUE"""),"scythe")</f>
        <v>scythe</v>
      </c>
      <c r="E246" s="5" t="str">
        <f>IFERROR(__xludf.DUMMYFUNCTION("""COMPUTED_VALUE"""),"cocoon stone")</f>
        <v>cocoon stone</v>
      </c>
      <c r="F246" s="5" t="str">
        <f>IFERROR(__xludf.DUMMYFUNCTION("""COMPUTED_VALUE"""),"feather stone")</f>
        <v>feather stone</v>
      </c>
      <c r="G246" s="11"/>
      <c r="H246" s="11"/>
      <c r="I246" s="11"/>
      <c r="J246" s="11"/>
      <c r="K246" s="11"/>
      <c r="L246" s="11"/>
    </row>
    <row r="247">
      <c r="A247" s="13" t="str">
        <f>IFERROR(__xludf.DUMMYFUNCTION("""COMPUTED_VALUE"""),"Shiny Scyther")</f>
        <v>Shiny Scyther</v>
      </c>
      <c r="B247" s="5" t="str">
        <f>IFERROR(__xludf.DUMMYFUNCTION("""COMPUTED_VALUE"""),"bug gosme")</f>
        <v>bug gosme</v>
      </c>
      <c r="C247" s="5" t="str">
        <f>IFERROR(__xludf.DUMMYFUNCTION("""COMPUTED_VALUE"""),"straw")</f>
        <v>straw</v>
      </c>
      <c r="D247" s="5" t="str">
        <f>IFERROR(__xludf.DUMMYFUNCTION("""COMPUTED_VALUE"""),"blue scythe")</f>
        <v>blue scythe</v>
      </c>
      <c r="E247" s="5" t="str">
        <f>IFERROR(__xludf.DUMMYFUNCTION("""COMPUTED_VALUE"""),"cocoon stone")</f>
        <v>cocoon stone</v>
      </c>
      <c r="F247" s="5" t="str">
        <f>IFERROR(__xludf.DUMMYFUNCTION("""COMPUTED_VALUE"""),"feather stone")</f>
        <v>feather stone</v>
      </c>
      <c r="G247" s="5" t="str">
        <f>IFERROR(__xludf.DUMMYFUNCTION("""COMPUTED_VALUE"""),"arcane bug orb")</f>
        <v>arcane bug orb</v>
      </c>
      <c r="H247" s="5" t="str">
        <f>IFERROR(__xludf.DUMMYFUNCTION("""COMPUTED_VALUE"""),"mythic bug orb")</f>
        <v>mythic bug orb</v>
      </c>
      <c r="I247" s="11"/>
      <c r="J247" s="11"/>
      <c r="K247" s="11"/>
      <c r="L247" s="11"/>
    </row>
    <row r="248">
      <c r="A248" s="13" t="str">
        <f>IFERROR(__xludf.DUMMYFUNCTION("""COMPUTED_VALUE"""),"Jynx")</f>
        <v>Jynx</v>
      </c>
      <c r="B248" s="5" t="str">
        <f>IFERROR(__xludf.DUMMYFUNCTION("""COMPUTED_VALUE"""),"snowball")</f>
        <v>snowball</v>
      </c>
      <c r="C248" s="5" t="str">
        <f>IFERROR(__xludf.DUMMYFUNCTION("""COMPUTED_VALUE"""),"enchanted gem")</f>
        <v>enchanted gem</v>
      </c>
      <c r="D248" s="5" t="str">
        <f>IFERROR(__xludf.DUMMYFUNCTION("""COMPUTED_VALUE"""),"psychic wig")</f>
        <v>psychic wig</v>
      </c>
      <c r="E248" s="5" t="str">
        <f>IFERROR(__xludf.DUMMYFUNCTION("""COMPUTED_VALUE"""),"ice stone")</f>
        <v>ice stone</v>
      </c>
      <c r="F248" s="5" t="str">
        <f>IFERROR(__xludf.DUMMYFUNCTION("""COMPUTED_VALUE"""),"enigma stone")</f>
        <v>enigma stone</v>
      </c>
      <c r="G248" s="11"/>
      <c r="H248" s="11"/>
      <c r="I248" s="11"/>
      <c r="J248" s="11"/>
      <c r="K248" s="11"/>
      <c r="L248" s="11"/>
    </row>
    <row r="249">
      <c r="A249" s="13" t="str">
        <f>IFERROR(__xludf.DUMMYFUNCTION("""COMPUTED_VALUE"""),"Shiny Jynx")</f>
        <v>Shiny Jynx</v>
      </c>
      <c r="B249" s="5" t="str">
        <f>IFERROR(__xludf.DUMMYFUNCTION("""COMPUTED_VALUE"""),"snowball")</f>
        <v>snowball</v>
      </c>
      <c r="C249" s="5" t="str">
        <f>IFERROR(__xludf.DUMMYFUNCTION("""COMPUTED_VALUE"""),"enchanted gem")</f>
        <v>enchanted gem</v>
      </c>
      <c r="D249" s="5" t="str">
        <f>IFERROR(__xludf.DUMMYFUNCTION("""COMPUTED_VALUE"""),"white wig")</f>
        <v>white wig</v>
      </c>
      <c r="E249" s="5" t="str">
        <f>IFERROR(__xludf.DUMMYFUNCTION("""COMPUTED_VALUE"""),"ice stone")</f>
        <v>ice stone</v>
      </c>
      <c r="F249" s="5" t="str">
        <f>IFERROR(__xludf.DUMMYFUNCTION("""COMPUTED_VALUE"""),"enigma stone")</f>
        <v>enigma stone</v>
      </c>
      <c r="G249" s="5" t="str">
        <f>IFERROR(__xludf.DUMMYFUNCTION("""COMPUTED_VALUE"""),"mythic ice orb")</f>
        <v>mythic ice orb</v>
      </c>
      <c r="H249" s="11"/>
      <c r="I249" s="11"/>
      <c r="J249" s="11"/>
      <c r="K249" s="11"/>
      <c r="L249" s="11"/>
    </row>
    <row r="250">
      <c r="A250" s="13" t="str">
        <f>IFERROR(__xludf.DUMMYFUNCTION("""COMPUTED_VALUE"""),"Electabuzz")</f>
        <v>Electabuzz</v>
      </c>
      <c r="B250" s="11" t="str">
        <f>IFERROR(__xludf.DUMMYFUNCTION("""COMPUTED_VALUE"""),"screw")</f>
        <v>screw</v>
      </c>
      <c r="C250" s="11" t="str">
        <f>IFERROR(__xludf.DUMMYFUNCTION("""COMPUTED_VALUE"""),"electric tail")</f>
        <v>electric tail</v>
      </c>
      <c r="D250" s="11" t="str">
        <f>IFERROR(__xludf.DUMMYFUNCTION("""COMPUTED_VALUE"""),"thunder stone")</f>
        <v>thunder stone</v>
      </c>
      <c r="E250" s="11"/>
      <c r="F250" s="11"/>
      <c r="G250" s="11"/>
      <c r="H250" s="11"/>
      <c r="I250" s="11"/>
      <c r="J250" s="11"/>
      <c r="K250" s="11"/>
      <c r="L250" s="11"/>
    </row>
    <row r="251">
      <c r="A251" s="13" t="str">
        <f>IFERROR(__xludf.DUMMYFUNCTION("""COMPUTED_VALUE"""),"Shiny Electabuzz")</f>
        <v>Shiny Electabuzz</v>
      </c>
      <c r="B251" s="11" t="str">
        <f>IFERROR(__xludf.DUMMYFUNCTION("""COMPUTED_VALUE"""),"screw")</f>
        <v>screw</v>
      </c>
      <c r="C251" s="11" t="str">
        <f>IFERROR(__xludf.DUMMYFUNCTION("""COMPUTED_VALUE"""),"electric white tail")</f>
        <v>electric white tail</v>
      </c>
      <c r="D251" s="11" t="str">
        <f>IFERROR(__xludf.DUMMYFUNCTION("""COMPUTED_VALUE"""),"thunder stone")</f>
        <v>thunder stone</v>
      </c>
      <c r="E251" s="11" t="str">
        <f>IFERROR(__xludf.DUMMYFUNCTION("""COMPUTED_VALUE"""),"mythic electric orb")</f>
        <v>mythic electric orb</v>
      </c>
      <c r="F251" s="11"/>
      <c r="G251" s="11"/>
      <c r="H251" s="11"/>
      <c r="I251" s="11"/>
      <c r="J251" s="11"/>
      <c r="K251" s="11"/>
      <c r="L251" s="11"/>
    </row>
    <row r="252">
      <c r="A252" s="13" t="str">
        <f>IFERROR(__xludf.DUMMYFUNCTION("""COMPUTED_VALUE"""),"Magmar")</f>
        <v>Magmar</v>
      </c>
      <c r="B252" s="11" t="str">
        <f>IFERROR(__xludf.DUMMYFUNCTION("""COMPUTED_VALUE"""),"essence of fire")</f>
        <v>essence of fire</v>
      </c>
      <c r="C252" s="11" t="str">
        <f>IFERROR(__xludf.DUMMYFUNCTION("""COMPUTED_VALUE"""),"magma foot")</f>
        <v>magma foot</v>
      </c>
      <c r="D252" s="11" t="str">
        <f>IFERROR(__xludf.DUMMYFUNCTION("""COMPUTED_VALUE"""),"fire stone")</f>
        <v>fire stone</v>
      </c>
      <c r="E252" s="11"/>
      <c r="F252" s="11"/>
      <c r="G252" s="11"/>
      <c r="H252" s="11"/>
      <c r="I252" s="11"/>
      <c r="J252" s="11"/>
      <c r="K252" s="11"/>
      <c r="L252" s="11"/>
    </row>
    <row r="253">
      <c r="A253" s="13" t="str">
        <f>IFERROR(__xludf.DUMMYFUNCTION("""COMPUTED_VALUE"""),"Shiny Magmar")</f>
        <v>Shiny Magmar</v>
      </c>
      <c r="B253" s="11" t="str">
        <f>IFERROR(__xludf.DUMMYFUNCTION("""COMPUTED_VALUE"""),"essence of fire")</f>
        <v>essence of fire</v>
      </c>
      <c r="C253" s="11" t="str">
        <f>IFERROR(__xludf.DUMMYFUNCTION("""COMPUTED_VALUE"""),"magma red foot")</f>
        <v>magma red foot</v>
      </c>
      <c r="D253" s="11" t="str">
        <f>IFERROR(__xludf.DUMMYFUNCTION("""COMPUTED_VALUE"""),"fire stone")</f>
        <v>fire stone</v>
      </c>
      <c r="E253" s="11" t="str">
        <f>IFERROR(__xludf.DUMMYFUNCTION("""COMPUTED_VALUE"""),"mythic fire orb")</f>
        <v>mythic fire orb</v>
      </c>
      <c r="F253" s="11"/>
      <c r="G253" s="11"/>
      <c r="H253" s="11"/>
      <c r="I253" s="11"/>
      <c r="J253" s="11"/>
      <c r="K253" s="11"/>
      <c r="L253" s="11"/>
    </row>
    <row r="254">
      <c r="A254" s="13" t="str">
        <f>IFERROR(__xludf.DUMMYFUNCTION("""COMPUTED_VALUE"""),"Pinsir")</f>
        <v>Pinsir</v>
      </c>
      <c r="B254" s="11" t="str">
        <f>IFERROR(__xludf.DUMMYFUNCTION("""COMPUTED_VALUE"""),"bug gosme")</f>
        <v>bug gosme</v>
      </c>
      <c r="C254" s="11" t="str">
        <f>IFERROR(__xludf.DUMMYFUNCTION("""COMPUTED_VALUE"""),"pinsir horn")</f>
        <v>pinsir horn</v>
      </c>
      <c r="D254" s="11" t="str">
        <f>IFERROR(__xludf.DUMMYFUNCTION("""COMPUTED_VALUE"""),"cocoon stone")</f>
        <v>cocoon stone</v>
      </c>
      <c r="E254" s="11"/>
      <c r="F254" s="11"/>
      <c r="G254" s="11"/>
      <c r="H254" s="11"/>
      <c r="I254" s="11"/>
      <c r="J254" s="11"/>
      <c r="K254" s="11"/>
      <c r="L254" s="11"/>
    </row>
    <row r="255">
      <c r="A255" s="13" t="str">
        <f>IFERROR(__xludf.DUMMYFUNCTION("""COMPUTED_VALUE"""),"Shiny Pinsir")</f>
        <v>Shiny Pinsir</v>
      </c>
      <c r="B255" s="11" t="str">
        <f>IFERROR(__xludf.DUMMYFUNCTION("""COMPUTED_VALUE"""),"bug gosme")</f>
        <v>bug gosme</v>
      </c>
      <c r="C255" s="11" t="str">
        <f>IFERROR(__xludf.DUMMYFUNCTION("""COMPUTED_VALUE"""),"white bug horn")</f>
        <v>white bug horn</v>
      </c>
      <c r="D255" s="11" t="str">
        <f>IFERROR(__xludf.DUMMYFUNCTION("""COMPUTED_VALUE"""),"cocoon stone")</f>
        <v>cocoon stone</v>
      </c>
      <c r="E255" s="11" t="str">
        <f>IFERROR(__xludf.DUMMYFUNCTION("""COMPUTED_VALUE"""),"mythic bug orb")</f>
        <v>mythic bug orb</v>
      </c>
      <c r="F255" s="11"/>
      <c r="G255" s="11"/>
      <c r="H255" s="11"/>
      <c r="I255" s="11"/>
      <c r="J255" s="11"/>
      <c r="K255" s="11"/>
      <c r="L255" s="11"/>
    </row>
    <row r="256">
      <c r="A256" s="13" t="str">
        <f>IFERROR(__xludf.DUMMYFUNCTION("""COMPUTED_VALUE"""),"Tauros")</f>
        <v>Tauros</v>
      </c>
      <c r="B256" s="11" t="str">
        <f>IFERROR(__xludf.DUMMYFUNCTION("""COMPUTED_VALUE"""),"rubber ball")</f>
        <v>rubber ball</v>
      </c>
      <c r="C256" s="11" t="str">
        <f>IFERROR(__xludf.DUMMYFUNCTION("""COMPUTED_VALUE"""),"bull tail")</f>
        <v>bull tail</v>
      </c>
      <c r="D256" s="11" t="str">
        <f>IFERROR(__xludf.DUMMYFUNCTION("""COMPUTED_VALUE"""),"heart stone")</f>
        <v>heart stone</v>
      </c>
      <c r="E256" s="11"/>
      <c r="F256" s="11"/>
      <c r="G256" s="11"/>
      <c r="H256" s="11"/>
      <c r="I256" s="11"/>
      <c r="J256" s="11"/>
      <c r="K256" s="11"/>
      <c r="L256" s="11"/>
    </row>
    <row r="257">
      <c r="A257" s="13" t="str">
        <f>IFERROR(__xludf.DUMMYFUNCTION("""COMPUTED_VALUE"""),"Shiny Tauros")</f>
        <v>Shiny Tauros</v>
      </c>
      <c r="B257" s="11" t="str">
        <f>IFERROR(__xludf.DUMMYFUNCTION("""COMPUTED_VALUE"""),"rubber ball")</f>
        <v>rubber ball</v>
      </c>
      <c r="C257" s="11" t="str">
        <f>IFERROR(__xludf.DUMMYFUNCTION("""COMPUTED_VALUE"""),"green bull tail")</f>
        <v>green bull tail</v>
      </c>
      <c r="D257" s="11" t="str">
        <f>IFERROR(__xludf.DUMMYFUNCTION("""COMPUTED_VALUE"""),"heart stone")</f>
        <v>heart stone</v>
      </c>
      <c r="E257" s="11" t="str">
        <f>IFERROR(__xludf.DUMMYFUNCTION("""COMPUTED_VALUE"""),"mythic normal orb")</f>
        <v>mythic normal orb</v>
      </c>
      <c r="F257" s="11"/>
      <c r="G257" s="11"/>
      <c r="H257" s="11"/>
      <c r="I257" s="11"/>
      <c r="J257" s="11"/>
      <c r="K257" s="11"/>
      <c r="L257" s="11"/>
    </row>
    <row r="258">
      <c r="A258" s="13" t="str">
        <f>IFERROR(__xludf.DUMMYFUNCTION("""COMPUTED_VALUE"""),"Magikarp")</f>
        <v>Magikarp</v>
      </c>
      <c r="B258" s="11" t="str">
        <f>IFERROR(__xludf.DUMMYFUNCTION("""COMPUTED_VALUE"""),"water gem")</f>
        <v>water gem</v>
      </c>
      <c r="C258" s="11" t="str">
        <f>IFERROR(__xludf.DUMMYFUNCTION("""COMPUTED_VALUE"""),"magikarp fin")</f>
        <v>magikarp fin</v>
      </c>
      <c r="D258" s="11"/>
      <c r="E258" s="11"/>
      <c r="F258" s="11"/>
      <c r="G258" s="11"/>
      <c r="H258" s="11"/>
      <c r="I258" s="11"/>
      <c r="J258" s="11"/>
      <c r="K258" s="11"/>
      <c r="L258" s="11"/>
    </row>
    <row r="259">
      <c r="A259" s="13" t="str">
        <f>IFERROR(__xludf.DUMMYFUNCTION("""COMPUTED_VALUE"""),"Shiny Magikarp")</f>
        <v>Shiny Magikarp</v>
      </c>
      <c r="B259" s="11" t="str">
        <f>IFERROR(__xludf.DUMMYFUNCTION("""COMPUTED_VALUE"""),"water gem")</f>
        <v>water gem</v>
      </c>
      <c r="C259" s="11" t="str">
        <f>IFERROR(__xludf.DUMMYFUNCTION("""COMPUTED_VALUE"""),"shiny magikarp fin")</f>
        <v>shiny magikarp fin</v>
      </c>
      <c r="D259" s="11" t="str">
        <f>IFERROR(__xludf.DUMMYFUNCTION("""COMPUTED_VALUE"""),"simple water orb")</f>
        <v>simple water orb</v>
      </c>
      <c r="E259" s="11"/>
      <c r="F259" s="11"/>
      <c r="G259" s="11"/>
      <c r="H259" s="11"/>
      <c r="I259" s="11"/>
      <c r="J259" s="11"/>
      <c r="K259" s="11"/>
      <c r="L259" s="11"/>
    </row>
    <row r="260">
      <c r="A260" s="13" t="str">
        <f>IFERROR(__xludf.DUMMYFUNCTION("""COMPUTED_VALUE"""),"Gyarados")</f>
        <v>Gyarados</v>
      </c>
      <c r="B260" s="11" t="str">
        <f>IFERROR(__xludf.DUMMYFUNCTION("""COMPUTED_VALUE"""),"water gem")</f>
        <v>water gem</v>
      </c>
      <c r="C260" s="11" t="str">
        <f>IFERROR(__xludf.DUMMYFUNCTION("""COMPUTED_VALUE"""),"straw")</f>
        <v>straw</v>
      </c>
      <c r="D260" s="11" t="str">
        <f>IFERROR(__xludf.DUMMYFUNCTION("""COMPUTED_VALUE"""),"gyarados tail")</f>
        <v>gyarados tail</v>
      </c>
      <c r="E260" s="11" t="str">
        <f>IFERROR(__xludf.DUMMYFUNCTION("""COMPUTED_VALUE"""),"water stone")</f>
        <v>water stone</v>
      </c>
      <c r="F260" s="11" t="str">
        <f>IFERROR(__xludf.DUMMYFUNCTION("""COMPUTED_VALUE"""),"crystal stone")</f>
        <v>crystal stone</v>
      </c>
      <c r="G260" s="11"/>
      <c r="H260" s="11"/>
      <c r="I260" s="11"/>
      <c r="J260" s="11"/>
      <c r="K260" s="11"/>
      <c r="L260" s="11"/>
    </row>
    <row r="261">
      <c r="A261" s="13" t="str">
        <f>IFERROR(__xludf.DUMMYFUNCTION("""COMPUTED_VALUE"""),"Shiny Gyarados")</f>
        <v>Shiny Gyarados</v>
      </c>
      <c r="B261" s="11" t="str">
        <f>IFERROR(__xludf.DUMMYFUNCTION("""COMPUTED_VALUE"""),"water gem")</f>
        <v>water gem</v>
      </c>
      <c r="C261" s="11" t="str">
        <f>IFERROR(__xludf.DUMMYFUNCTION("""COMPUTED_VALUE"""),"straw")</f>
        <v>straw</v>
      </c>
      <c r="D261" s="11" t="str">
        <f>IFERROR(__xludf.DUMMYFUNCTION("""COMPUTED_VALUE"""),"red gyarados tail")</f>
        <v>red gyarados tail</v>
      </c>
      <c r="E261" s="11" t="str">
        <f>IFERROR(__xludf.DUMMYFUNCTION("""COMPUTED_VALUE"""),"water stone")</f>
        <v>water stone</v>
      </c>
      <c r="F261" s="11" t="str">
        <f>IFERROR(__xludf.DUMMYFUNCTION("""COMPUTED_VALUE"""),"crystal stone")</f>
        <v>crystal stone</v>
      </c>
      <c r="G261" s="11" t="str">
        <f>IFERROR(__xludf.DUMMYFUNCTION("""COMPUTED_VALUE"""),"mythic water orb")</f>
        <v>mythic water orb</v>
      </c>
      <c r="H261" s="11"/>
      <c r="I261" s="11"/>
      <c r="J261" s="11"/>
      <c r="K261" s="11"/>
      <c r="L261" s="11"/>
    </row>
    <row r="262">
      <c r="A262" s="13" t="str">
        <f>IFERROR(__xludf.DUMMYFUNCTION("""COMPUTED_VALUE"""),"Lapras")</f>
        <v>Lapras</v>
      </c>
      <c r="B262" s="5" t="str">
        <f>IFERROR(__xludf.DUMMYFUNCTION("""COMPUTED_VALUE"""),"water gem")</f>
        <v>water gem</v>
      </c>
      <c r="C262" s="5" t="str">
        <f>IFERROR(__xludf.DUMMYFUNCTION("""COMPUTED_VALUE"""),"snowball")</f>
        <v>snowball</v>
      </c>
      <c r="D262" s="5" t="str">
        <f>IFERROR(__xludf.DUMMYFUNCTION("""COMPUTED_VALUE"""),"lapras fin")</f>
        <v>lapras fin</v>
      </c>
      <c r="E262" s="5" t="str">
        <f>IFERROR(__xludf.DUMMYFUNCTION("""COMPUTED_VALUE"""),"water stone")</f>
        <v>water stone</v>
      </c>
      <c r="F262" s="5" t="str">
        <f>IFERROR(__xludf.DUMMYFUNCTION("""COMPUTED_VALUE"""),"ice stone")</f>
        <v>ice stone</v>
      </c>
      <c r="G262" s="11"/>
      <c r="H262" s="11"/>
      <c r="I262" s="11"/>
      <c r="J262" s="11"/>
      <c r="K262" s="11"/>
      <c r="L262" s="11"/>
    </row>
    <row r="263">
      <c r="A263" s="13" t="str">
        <f>IFERROR(__xludf.DUMMYFUNCTION("""COMPUTED_VALUE"""),"Shiny Lapras")</f>
        <v>Shiny Lapras</v>
      </c>
      <c r="B263" s="5" t="str">
        <f>IFERROR(__xludf.DUMMYFUNCTION("""COMPUTED_VALUE"""),"water gem")</f>
        <v>water gem</v>
      </c>
      <c r="C263" s="5" t="str">
        <f>IFERROR(__xludf.DUMMYFUNCTION("""COMPUTED_VALUE"""),"snowball")</f>
        <v>snowball</v>
      </c>
      <c r="D263" s="5" t="str">
        <f>IFERROR(__xludf.DUMMYFUNCTION("""COMPUTED_VALUE"""),"purple fin")</f>
        <v>purple fin</v>
      </c>
      <c r="E263" s="5" t="str">
        <f>IFERROR(__xludf.DUMMYFUNCTION("""COMPUTED_VALUE"""),"water stone")</f>
        <v>water stone</v>
      </c>
      <c r="F263" s="5" t="str">
        <f>IFERROR(__xludf.DUMMYFUNCTION("""COMPUTED_VALUE"""),"ice stone")</f>
        <v>ice stone</v>
      </c>
      <c r="G263" s="5" t="str">
        <f>IFERROR(__xludf.DUMMYFUNCTION("""COMPUTED_VALUE"""),"mythic ice orb")</f>
        <v>mythic ice orb</v>
      </c>
      <c r="H263" s="11"/>
      <c r="I263" s="11"/>
      <c r="J263" s="11"/>
      <c r="K263" s="11"/>
      <c r="L263" s="11"/>
    </row>
    <row r="264">
      <c r="A264" s="13" t="str">
        <f>IFERROR(__xludf.DUMMYFUNCTION("""COMPUTED_VALUE"""),"Ditto")</f>
        <v>Ditto</v>
      </c>
      <c r="B264" s="11" t="str">
        <f>IFERROR(__xludf.DUMMYFUNCTION("""COMPUTED_VALUE"""),"rubber ball")</f>
        <v>rubber ball</v>
      </c>
      <c r="C264" s="11" t="str">
        <f>IFERROR(__xludf.DUMMYFUNCTION("""COMPUTED_VALUE"""),"dna gosme")</f>
        <v>dna gosme</v>
      </c>
      <c r="D264" s="11"/>
      <c r="E264" s="11"/>
      <c r="F264" s="11"/>
      <c r="G264" s="11"/>
      <c r="H264" s="11"/>
      <c r="I264" s="11"/>
      <c r="J264" s="11"/>
      <c r="K264" s="11"/>
      <c r="L264" s="11"/>
    </row>
    <row r="265">
      <c r="A265" s="13" t="str">
        <f>IFERROR(__xludf.DUMMYFUNCTION("""COMPUTED_VALUE"""),"Shiny Ditto")</f>
        <v>Shiny Ditto</v>
      </c>
      <c r="B265" s="11" t="str">
        <f>IFERROR(__xludf.DUMMYFUNCTION("""COMPUTED_VALUE"""),"rubber ball")</f>
        <v>rubber ball</v>
      </c>
      <c r="C265" s="11" t="str">
        <f>IFERROR(__xludf.DUMMYFUNCTION("""COMPUTED_VALUE"""),"mutant gosme")</f>
        <v>mutant gosme</v>
      </c>
      <c r="D265" s="11" t="str">
        <f>IFERROR(__xludf.DUMMYFUNCTION("""COMPUTED_VALUE"""),"heart stone")</f>
        <v>heart stone</v>
      </c>
      <c r="E265" s="11" t="str">
        <f>IFERROR(__xludf.DUMMYFUNCTION("""COMPUTED_VALUE"""),"simple normal orb")</f>
        <v>simple normal orb</v>
      </c>
      <c r="F265" s="11"/>
      <c r="G265" s="11"/>
      <c r="H265" s="11"/>
      <c r="I265" s="11"/>
      <c r="J265" s="11"/>
      <c r="K265" s="11"/>
      <c r="L265" s="11"/>
    </row>
    <row r="266">
      <c r="A266" s="13" t="str">
        <f>IFERROR(__xludf.DUMMYFUNCTION("""COMPUTED_VALUE"""),"Eevee")</f>
        <v>Eevee</v>
      </c>
      <c r="B266" s="11" t="str">
        <f>IFERROR(__xludf.DUMMYFUNCTION("""COMPUTED_VALUE"""),"rubber ball")</f>
        <v>rubber ball</v>
      </c>
      <c r="C266" s="11" t="str">
        <f>IFERROR(__xludf.DUMMYFUNCTION("""COMPUTED_VALUE"""),"furry tail")</f>
        <v>furry tail</v>
      </c>
      <c r="D266" s="11"/>
      <c r="E266" s="11"/>
      <c r="F266" s="11"/>
      <c r="G266" s="11"/>
      <c r="H266" s="11"/>
      <c r="I266" s="11"/>
      <c r="J266" s="11"/>
      <c r="K266" s="11"/>
      <c r="L266" s="11"/>
    </row>
    <row r="267">
      <c r="A267" s="13" t="str">
        <f>IFERROR(__xludf.DUMMYFUNCTION("""COMPUTED_VALUE"""),"Shiny Eevee")</f>
        <v>Shiny Eevee</v>
      </c>
      <c r="B267" s="11" t="str">
        <f>IFERROR(__xludf.DUMMYFUNCTION("""COMPUTED_VALUE"""),"rubber ball")</f>
        <v>rubber ball</v>
      </c>
      <c r="C267" s="11" t="str">
        <f>IFERROR(__xludf.DUMMYFUNCTION("""COMPUTED_VALUE"""),"furry pretty tail")</f>
        <v>furry pretty tail</v>
      </c>
      <c r="D267" s="11" t="str">
        <f>IFERROR(__xludf.DUMMYFUNCTION("""COMPUTED_VALUE"""),"heart stone")</f>
        <v>heart stone</v>
      </c>
      <c r="E267" s="11" t="str">
        <f>IFERROR(__xludf.DUMMYFUNCTION("""COMPUTED_VALUE"""),"simple normal orb")</f>
        <v>simple normal orb</v>
      </c>
      <c r="F267" s="11"/>
      <c r="G267" s="11"/>
      <c r="H267" s="11"/>
      <c r="I267" s="11"/>
      <c r="J267" s="11"/>
      <c r="K267" s="11"/>
      <c r="L267" s="11"/>
    </row>
    <row r="268">
      <c r="A268" s="13" t="str">
        <f>IFERROR(__xludf.DUMMYFUNCTION("""COMPUTED_VALUE"""),"Vaporeon")</f>
        <v>Vaporeon</v>
      </c>
      <c r="B268" s="5" t="str">
        <f>IFERROR(__xludf.DUMMYFUNCTION("""COMPUTED_VALUE"""),"water gem")</f>
        <v>water gem</v>
      </c>
      <c r="C268" s="5" t="str">
        <f>IFERROR(__xludf.DUMMYFUNCTION("""COMPUTED_VALUE"""),"aquatic tail")</f>
        <v>aquatic tail</v>
      </c>
      <c r="D268" s="5" t="str">
        <f>IFERROR(__xludf.DUMMYFUNCTION("""COMPUTED_VALUE"""),"water stone")</f>
        <v>water stone</v>
      </c>
      <c r="E268" s="11"/>
      <c r="F268" s="11"/>
      <c r="G268" s="11"/>
      <c r="H268" s="11"/>
      <c r="I268" s="11"/>
      <c r="J268" s="11"/>
      <c r="K268" s="11"/>
      <c r="L268" s="11"/>
    </row>
    <row r="269">
      <c r="A269" s="13" t="str">
        <f>IFERROR(__xludf.DUMMYFUNCTION("""COMPUTED_VALUE"""),"Shiny Vaporeon")</f>
        <v>Shiny Vaporeon</v>
      </c>
      <c r="B269" s="5" t="str">
        <f>IFERROR(__xludf.DUMMYFUNCTION("""COMPUTED_VALUE"""),"water gem")</f>
        <v>water gem</v>
      </c>
      <c r="C269" s="5" t="str">
        <f>IFERROR(__xludf.DUMMYFUNCTION("""COMPUTED_VALUE"""),"aquatic long tail")</f>
        <v>aquatic long tail</v>
      </c>
      <c r="D269" s="5" t="str">
        <f>IFERROR(__xludf.DUMMYFUNCTION("""COMPUTED_VALUE"""),"mythic water orb")</f>
        <v>mythic water orb</v>
      </c>
      <c r="E269" s="11"/>
      <c r="F269" s="11"/>
      <c r="G269" s="11"/>
      <c r="H269" s="11"/>
      <c r="I269" s="11"/>
      <c r="J269" s="11"/>
      <c r="K269" s="11"/>
      <c r="L269" s="11"/>
    </row>
    <row r="270">
      <c r="A270" s="13" t="str">
        <f>IFERROR(__xludf.DUMMYFUNCTION("""COMPUTED_VALUE"""),"Jolteon")</f>
        <v>Jolteon</v>
      </c>
      <c r="B270" s="11" t="str">
        <f>IFERROR(__xludf.DUMMYFUNCTION("""COMPUTED_VALUE"""),"screw")</f>
        <v>screw</v>
      </c>
      <c r="C270" s="11" t="str">
        <f>IFERROR(__xludf.DUMMYFUNCTION("""COMPUTED_VALUE"""),"electric collar")</f>
        <v>electric collar</v>
      </c>
      <c r="D270" s="11" t="str">
        <f>IFERROR(__xludf.DUMMYFUNCTION("""COMPUTED_VALUE"""),"thunder stone")</f>
        <v>thunder stone</v>
      </c>
      <c r="E270" s="11"/>
      <c r="F270" s="11"/>
      <c r="G270" s="11"/>
      <c r="H270" s="11"/>
      <c r="I270" s="11"/>
      <c r="J270" s="11"/>
      <c r="K270" s="11"/>
      <c r="L270" s="11"/>
    </row>
    <row r="271">
      <c r="A271" s="13" t="str">
        <f>IFERROR(__xludf.DUMMYFUNCTION("""COMPUTED_VALUE"""),"Shiny Jolteon")</f>
        <v>Shiny Jolteon</v>
      </c>
      <c r="B271" s="5" t="str">
        <f>IFERROR(__xludf.DUMMYFUNCTION("""COMPUTED_VALUE"""),"screw")</f>
        <v>screw</v>
      </c>
      <c r="C271" s="5" t="str">
        <f>IFERROR(__xludf.DUMMYFUNCTION("""COMPUTED_VALUE"""),"electric yellow collar")</f>
        <v>electric yellow collar</v>
      </c>
      <c r="D271" s="5" t="str">
        <f>IFERROR(__xludf.DUMMYFUNCTION("""COMPUTED_VALUE"""),"thunder stone")</f>
        <v>thunder stone</v>
      </c>
      <c r="E271" s="5" t="str">
        <f>IFERROR(__xludf.DUMMYFUNCTION("""COMPUTED_VALUE"""),"mythic electric orb")</f>
        <v>mythic electric orb</v>
      </c>
      <c r="F271" s="11"/>
      <c r="G271" s="11"/>
      <c r="H271" s="11"/>
      <c r="I271" s="11"/>
      <c r="J271" s="11"/>
      <c r="K271" s="11"/>
      <c r="L271" s="11"/>
    </row>
    <row r="272">
      <c r="A272" s="13" t="str">
        <f>IFERROR(__xludf.DUMMYFUNCTION("""COMPUTED_VALUE"""),"Flareon")</f>
        <v>Flareon</v>
      </c>
      <c r="B272" s="5" t="str">
        <f>IFERROR(__xludf.DUMMYFUNCTION("""COMPUTED_VALUE"""),"essence of fire")</f>
        <v>essence of fire</v>
      </c>
      <c r="C272" s="5" t="str">
        <f>IFERROR(__xludf.DUMMYFUNCTION("""COMPUTED_VALUE"""),"blaze tail")</f>
        <v>blaze tail</v>
      </c>
      <c r="D272" s="5" t="str">
        <f>IFERROR(__xludf.DUMMYFUNCTION("""COMPUTED_VALUE"""),"fire stone")</f>
        <v>fire stone</v>
      </c>
      <c r="E272" s="11"/>
      <c r="F272" s="11"/>
      <c r="G272" s="11"/>
      <c r="H272" s="11"/>
      <c r="I272" s="11"/>
      <c r="J272" s="11"/>
      <c r="K272" s="11"/>
      <c r="L272" s="11"/>
    </row>
    <row r="273">
      <c r="A273" s="13" t="str">
        <f>IFERROR(__xludf.DUMMYFUNCTION("""COMPUTED_VALUE"""),"Shiny Flareon")</f>
        <v>Shiny Flareon</v>
      </c>
      <c r="B273" s="5" t="str">
        <f>IFERROR(__xludf.DUMMYFUNCTION("""COMPUTED_VALUE"""),"essence of fire")</f>
        <v>essence of fire</v>
      </c>
      <c r="C273" s="5" t="str">
        <f>IFERROR(__xludf.DUMMYFUNCTION("""COMPUTED_VALUE"""),"blaze red tail")</f>
        <v>blaze red tail</v>
      </c>
      <c r="D273" s="5" t="str">
        <f>IFERROR(__xludf.DUMMYFUNCTION("""COMPUTED_VALUE"""),"fire stone")</f>
        <v>fire stone</v>
      </c>
      <c r="E273" s="5" t="str">
        <f>IFERROR(__xludf.DUMMYFUNCTION("""COMPUTED_VALUE"""),"mythic fire orb")</f>
        <v>mythic fire orb</v>
      </c>
      <c r="F273" s="11"/>
      <c r="G273" s="11"/>
      <c r="H273" s="11"/>
      <c r="I273" s="11"/>
      <c r="J273" s="11"/>
      <c r="K273" s="11"/>
      <c r="L273" s="11"/>
    </row>
    <row r="274">
      <c r="A274" s="13" t="str">
        <f>IFERROR(__xludf.DUMMYFUNCTION("""COMPUTED_VALUE"""),"Porygon")</f>
        <v>Porygon</v>
      </c>
      <c r="B274" s="11" t="str">
        <f>IFERROR(__xludf.DUMMYFUNCTION("""COMPUTED_VALUE"""),"rubber ball")</f>
        <v>rubber ball</v>
      </c>
      <c r="C274" s="11" t="str">
        <f>IFERROR(__xludf.DUMMYFUNCTION("""COMPUTED_VALUE"""),"virtual head")</f>
        <v>virtual head</v>
      </c>
      <c r="D274" s="11" t="str">
        <f>IFERROR(__xludf.DUMMYFUNCTION("""COMPUTED_VALUE"""),"heart stone")</f>
        <v>heart stone</v>
      </c>
      <c r="E274" s="11"/>
      <c r="F274" s="11"/>
      <c r="G274" s="11"/>
      <c r="H274" s="11"/>
      <c r="I274" s="11"/>
      <c r="J274" s="11"/>
      <c r="K274" s="11"/>
      <c r="L274" s="11"/>
    </row>
    <row r="275">
      <c r="A275" s="13" t="str">
        <f>IFERROR(__xludf.DUMMYFUNCTION("""COMPUTED_VALUE"""),"Shiny Porygon")</f>
        <v>Shiny Porygon</v>
      </c>
      <c r="B275" s="11" t="str">
        <f>IFERROR(__xludf.DUMMYFUNCTION("""COMPUTED_VALUE"""),"rubber ball")</f>
        <v>rubber ball</v>
      </c>
      <c r="C275" s="11" t="str">
        <f>IFERROR(__xludf.DUMMYFUNCTION("""COMPUTED_VALUE"""),"cyber head")</f>
        <v>cyber head</v>
      </c>
      <c r="D275" s="11" t="str">
        <f>IFERROR(__xludf.DUMMYFUNCTION("""COMPUTED_VALUE"""),"heart stone")</f>
        <v>heart stone</v>
      </c>
      <c r="E275" s="11" t="str">
        <f>IFERROR(__xludf.DUMMYFUNCTION("""COMPUTED_VALUE"""),"arcane normal orb")</f>
        <v>arcane normal orb</v>
      </c>
      <c r="F275" s="11"/>
      <c r="G275" s="11"/>
      <c r="H275" s="11"/>
      <c r="I275" s="11"/>
      <c r="J275" s="11"/>
      <c r="K275" s="11"/>
      <c r="L275" s="11"/>
    </row>
    <row r="276">
      <c r="A276" s="13" t="str">
        <f>IFERROR(__xludf.DUMMYFUNCTION("""COMPUTED_VALUE"""),"Omanyte")</f>
        <v>Omanyte</v>
      </c>
      <c r="B276" s="5" t="str">
        <f>IFERROR(__xludf.DUMMYFUNCTION("""COMPUTED_VALUE"""),"small stone")</f>
        <v>small stone</v>
      </c>
      <c r="C276" s="5" t="str">
        <f>IFERROR(__xludf.DUMMYFUNCTION("""COMPUTED_VALUE"""),"water gem")</f>
        <v>water gem</v>
      </c>
      <c r="D276" s="5" t="str">
        <f>IFERROR(__xludf.DUMMYFUNCTION("""COMPUTED_VALUE"""),"helix shell")</f>
        <v>helix shell</v>
      </c>
      <c r="E276" s="11"/>
      <c r="F276" s="11"/>
      <c r="G276" s="11"/>
      <c r="H276" s="11"/>
      <c r="I276" s="11"/>
      <c r="J276" s="11"/>
      <c r="K276" s="11"/>
      <c r="L276" s="11"/>
    </row>
    <row r="277">
      <c r="A277" s="13" t="str">
        <f>IFERROR(__xludf.DUMMYFUNCTION("""COMPUTED_VALUE"""),"Shiny Omanyte")</f>
        <v>Shiny Omanyte</v>
      </c>
      <c r="B277" s="5" t="str">
        <f>IFERROR(__xludf.DUMMYFUNCTION("""COMPUTED_VALUE"""),"small stone")</f>
        <v>small stone</v>
      </c>
      <c r="C277" s="5" t="str">
        <f>IFERROR(__xludf.DUMMYFUNCTION("""COMPUTED_VALUE"""),"water gem")</f>
        <v>water gem</v>
      </c>
      <c r="D277" s="5" t="str">
        <f>IFERROR(__xludf.DUMMYFUNCTION("""COMPUTED_VALUE"""),"silver helix shell")</f>
        <v>silver helix shell</v>
      </c>
      <c r="E277" s="5" t="str">
        <f>IFERROR(__xludf.DUMMYFUNCTION("""COMPUTED_VALUE"""),"rock stone")</f>
        <v>rock stone</v>
      </c>
      <c r="F277" s="5" t="str">
        <f>IFERROR(__xludf.DUMMYFUNCTION("""COMPUTED_VALUE"""),"water stone")</f>
        <v>water stone</v>
      </c>
      <c r="G277" s="5" t="str">
        <f>IFERROR(__xludf.DUMMYFUNCTION("""COMPUTED_VALUE"""),"simple rock orb")</f>
        <v>simple rock orb</v>
      </c>
      <c r="H277" s="11"/>
      <c r="I277" s="11"/>
      <c r="J277" s="11"/>
      <c r="K277" s="11"/>
      <c r="L277" s="11"/>
    </row>
    <row r="278">
      <c r="A278" s="13" t="str">
        <f>IFERROR(__xludf.DUMMYFUNCTION("""COMPUTED_VALUE"""),"Omastar")</f>
        <v>Omastar</v>
      </c>
      <c r="B278" s="5" t="str">
        <f>IFERROR(__xludf.DUMMYFUNCTION("""COMPUTED_VALUE"""),"small stone")</f>
        <v>small stone</v>
      </c>
      <c r="C278" s="5" t="str">
        <f>IFERROR(__xludf.DUMMYFUNCTION("""COMPUTED_VALUE"""),"water gem")</f>
        <v>water gem</v>
      </c>
      <c r="D278" s="5" t="str">
        <f>IFERROR(__xludf.DUMMYFUNCTION("""COMPUTED_VALUE"""),"spike shell")</f>
        <v>spike shell</v>
      </c>
      <c r="E278" s="5" t="str">
        <f>IFERROR(__xludf.DUMMYFUNCTION("""COMPUTED_VALUE"""),"rock stone")</f>
        <v>rock stone</v>
      </c>
      <c r="F278" s="5" t="str">
        <f>IFERROR(__xludf.DUMMYFUNCTION("""COMPUTED_VALUE"""),"water stone")</f>
        <v>water stone</v>
      </c>
      <c r="G278" s="11"/>
      <c r="H278" s="11"/>
      <c r="I278" s="11"/>
      <c r="J278" s="11"/>
      <c r="K278" s="11"/>
      <c r="L278" s="11"/>
    </row>
    <row r="279">
      <c r="A279" s="13" t="str">
        <f>IFERROR(__xludf.DUMMYFUNCTION("""COMPUTED_VALUE"""),"Shiny Omastar")</f>
        <v>Shiny Omastar</v>
      </c>
      <c r="B279" s="5" t="str">
        <f>IFERROR(__xludf.DUMMYFUNCTION("""COMPUTED_VALUE"""),"small stone")</f>
        <v>small stone</v>
      </c>
      <c r="C279" s="5" t="str">
        <f>IFERROR(__xludf.DUMMYFUNCTION("""COMPUTED_VALUE"""),"water gem")</f>
        <v>water gem</v>
      </c>
      <c r="D279" s="5" t="str">
        <f>IFERROR(__xludf.DUMMYFUNCTION("""COMPUTED_VALUE"""),"silver spike shell")</f>
        <v>silver spike shell</v>
      </c>
      <c r="E279" s="5" t="str">
        <f>IFERROR(__xludf.DUMMYFUNCTION("""COMPUTED_VALUE"""),"rock stone")</f>
        <v>rock stone</v>
      </c>
      <c r="F279" s="5" t="str">
        <f>IFERROR(__xludf.DUMMYFUNCTION("""COMPUTED_VALUE"""),"water stone")</f>
        <v>water stone</v>
      </c>
      <c r="G279" s="5" t="str">
        <f>IFERROR(__xludf.DUMMYFUNCTION("""COMPUTED_VALUE"""),"mythic rock orb")</f>
        <v>mythic rock orb</v>
      </c>
      <c r="H279" s="11"/>
      <c r="I279" s="11"/>
      <c r="J279" s="11"/>
      <c r="K279" s="11"/>
      <c r="L279" s="11"/>
    </row>
    <row r="280">
      <c r="A280" s="13" t="str">
        <f>IFERROR(__xludf.DUMMYFUNCTION("""COMPUTED_VALUE"""),"Kabuto")</f>
        <v>Kabuto</v>
      </c>
      <c r="B280" s="5" t="str">
        <f>IFERROR(__xludf.DUMMYFUNCTION("""COMPUTED_VALUE"""),"small stone")</f>
        <v>small stone</v>
      </c>
      <c r="C280" s="5" t="str">
        <f>IFERROR(__xludf.DUMMYFUNCTION("""COMPUTED_VALUE"""),"water gem")</f>
        <v>water gem</v>
      </c>
      <c r="D280" s="5" t="str">
        <f>IFERROR(__xludf.DUMMYFUNCTION("""COMPUTED_VALUE"""),"dome shell")</f>
        <v>dome shell</v>
      </c>
      <c r="E280" s="11"/>
      <c r="F280" s="11"/>
      <c r="G280" s="11"/>
      <c r="H280" s="11"/>
      <c r="I280" s="11"/>
      <c r="J280" s="11"/>
      <c r="K280" s="11"/>
      <c r="L280" s="11"/>
    </row>
    <row r="281">
      <c r="A281" s="13" t="str">
        <f>IFERROR(__xludf.DUMMYFUNCTION("""COMPUTED_VALUE"""),"Shiny Kabuto")</f>
        <v>Shiny Kabuto</v>
      </c>
      <c r="B281" s="5" t="str">
        <f>IFERROR(__xludf.DUMMYFUNCTION("""COMPUTED_VALUE"""),"small stone")</f>
        <v>small stone</v>
      </c>
      <c r="C281" s="5" t="str">
        <f>IFERROR(__xludf.DUMMYFUNCTION("""COMPUTED_VALUE"""),"water gem")</f>
        <v>water gem</v>
      </c>
      <c r="D281" s="5" t="str">
        <f>IFERROR(__xludf.DUMMYFUNCTION("""COMPUTED_VALUE"""),"golden dome shell")</f>
        <v>golden dome shell</v>
      </c>
      <c r="E281" s="5" t="str">
        <f>IFERROR(__xludf.DUMMYFUNCTION("""COMPUTED_VALUE"""),"rock stone")</f>
        <v>rock stone</v>
      </c>
      <c r="F281" s="5" t="str">
        <f>IFERROR(__xludf.DUMMYFUNCTION("""COMPUTED_VALUE"""),"water stone")</f>
        <v>water stone</v>
      </c>
      <c r="G281" s="5" t="str">
        <f>IFERROR(__xludf.DUMMYFUNCTION("""COMPUTED_VALUE"""),"simple rock orb")</f>
        <v>simple rock orb</v>
      </c>
      <c r="H281" s="11"/>
      <c r="I281" s="11"/>
      <c r="J281" s="11"/>
      <c r="K281" s="11"/>
      <c r="L281" s="11"/>
    </row>
    <row r="282">
      <c r="A282" s="13" t="str">
        <f>IFERROR(__xludf.DUMMYFUNCTION("""COMPUTED_VALUE"""),"Kabutops")</f>
        <v>Kabutops</v>
      </c>
      <c r="B282" s="5" t="str">
        <f>IFERROR(__xludf.DUMMYFUNCTION("""COMPUTED_VALUE"""),"small stone")</f>
        <v>small stone</v>
      </c>
      <c r="C282" s="5" t="str">
        <f>IFERROR(__xludf.DUMMYFUNCTION("""COMPUTED_VALUE"""),"water gem")</f>
        <v>water gem</v>
      </c>
      <c r="D282" s="5" t="str">
        <f>IFERROR(__xludf.DUMMYFUNCTION("""COMPUTED_VALUE"""),"gray scythe")</f>
        <v>gray scythe</v>
      </c>
      <c r="E282" s="5" t="str">
        <f>IFERROR(__xludf.DUMMYFUNCTION("""COMPUTED_VALUE"""),"rock stone")</f>
        <v>rock stone</v>
      </c>
      <c r="F282" s="5" t="str">
        <f>IFERROR(__xludf.DUMMYFUNCTION("""COMPUTED_VALUE"""),"water stone")</f>
        <v>water stone</v>
      </c>
      <c r="G282" s="11"/>
      <c r="H282" s="11"/>
      <c r="I282" s="11"/>
      <c r="J282" s="11"/>
      <c r="K282" s="11"/>
      <c r="L282" s="11"/>
    </row>
    <row r="283">
      <c r="A283" s="13" t="str">
        <f>IFERROR(__xludf.DUMMYFUNCTION("""COMPUTED_VALUE"""),"Shiny Kabutops")</f>
        <v>Shiny Kabutops</v>
      </c>
      <c r="B283" s="5" t="str">
        <f>IFERROR(__xludf.DUMMYFUNCTION("""COMPUTED_VALUE"""),"small stone")</f>
        <v>small stone</v>
      </c>
      <c r="C283" s="5" t="str">
        <f>IFERROR(__xludf.DUMMYFUNCTION("""COMPUTED_VALUE"""),"water gem")</f>
        <v>water gem</v>
      </c>
      <c r="D283" s="5" t="str">
        <f>IFERROR(__xludf.DUMMYFUNCTION("""COMPUTED_VALUE"""),"blood scythe")</f>
        <v>blood scythe</v>
      </c>
      <c r="E283" s="5" t="str">
        <f>IFERROR(__xludf.DUMMYFUNCTION("""COMPUTED_VALUE"""),"rock stone")</f>
        <v>rock stone</v>
      </c>
      <c r="F283" s="5" t="str">
        <f>IFERROR(__xludf.DUMMYFUNCTION("""COMPUTED_VALUE"""),"water stone")</f>
        <v>water stone</v>
      </c>
      <c r="G283" s="5" t="str">
        <f>IFERROR(__xludf.DUMMYFUNCTION("""COMPUTED_VALUE"""),"mythic rock orb")</f>
        <v>mythic rock orb</v>
      </c>
      <c r="H283" s="11"/>
      <c r="I283" s="11"/>
      <c r="J283" s="11"/>
      <c r="K283" s="11"/>
      <c r="L283" s="11"/>
    </row>
    <row r="284">
      <c r="A284" s="13" t="str">
        <f>IFERROR(__xludf.DUMMYFUNCTION("""COMPUTED_VALUE"""),"Aerodactyl")</f>
        <v>Aerodactyl</v>
      </c>
      <c r="B284" s="5" t="str">
        <f>IFERROR(__xludf.DUMMYFUNCTION("""COMPUTED_VALUE"""),"small stone")</f>
        <v>small stone</v>
      </c>
      <c r="C284" s="5" t="str">
        <f>IFERROR(__xludf.DUMMYFUNCTION("""COMPUTED_VALUE"""),"straw")</f>
        <v>straw</v>
      </c>
      <c r="D284" s="5" t="str">
        <f>IFERROR(__xludf.DUMMYFUNCTION("""COMPUTED_VALUE"""),"membranous wing")</f>
        <v>membranous wing</v>
      </c>
      <c r="E284" s="5" t="str">
        <f>IFERROR(__xludf.DUMMYFUNCTION("""COMPUTED_VALUE"""),"rock stone")</f>
        <v>rock stone</v>
      </c>
      <c r="F284" s="5" t="str">
        <f>IFERROR(__xludf.DUMMYFUNCTION("""COMPUTED_VALUE"""),"feather stone")</f>
        <v>feather stone</v>
      </c>
      <c r="G284" s="11"/>
      <c r="H284" s="11"/>
      <c r="I284" s="11"/>
      <c r="J284" s="11"/>
      <c r="K284" s="11"/>
      <c r="L284" s="11"/>
    </row>
    <row r="285">
      <c r="A285" s="13" t="str">
        <f>IFERROR(__xludf.DUMMYFUNCTION("""COMPUTED_VALUE"""),"Shiny Aerodactyl")</f>
        <v>Shiny Aerodactyl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>
      <c r="A286" s="13" t="str">
        <f>IFERROR(__xludf.DUMMYFUNCTION("""COMPUTED_VALUE"""),"Snorlax")</f>
        <v>Snorlax</v>
      </c>
      <c r="B286" s="11" t="str">
        <f>IFERROR(__xludf.DUMMYFUNCTION("""COMPUTED_VALUE"""),"rubber ball")</f>
        <v>rubber ball</v>
      </c>
      <c r="C286" s="11" t="str">
        <f>IFERROR(__xludf.DUMMYFUNCTION("""COMPUTED_VALUE"""),"snorlax paw")</f>
        <v>snorlax paw</v>
      </c>
      <c r="D286" s="11" t="str">
        <f>IFERROR(__xludf.DUMMYFUNCTION("""COMPUTED_VALUE"""),"heart stone")</f>
        <v>heart stone</v>
      </c>
      <c r="E286" s="11"/>
      <c r="F286" s="11"/>
      <c r="G286" s="11"/>
      <c r="H286" s="11"/>
      <c r="I286" s="11"/>
      <c r="J286" s="11"/>
      <c r="K286" s="11"/>
      <c r="L286" s="11"/>
    </row>
    <row r="287">
      <c r="A287" s="13" t="str">
        <f>IFERROR(__xludf.DUMMYFUNCTION("""COMPUTED_VALUE"""),"Shiny Snorlax")</f>
        <v>Shiny Snorlax</v>
      </c>
      <c r="B287" s="11" t="str">
        <f>IFERROR(__xludf.DUMMYFUNCTION("""COMPUTED_VALUE"""),"rubber ball")</f>
        <v>rubber ball</v>
      </c>
      <c r="C287" s="11" t="str">
        <f>IFERROR(__xludf.DUMMYFUNCTION("""COMPUTED_VALUE"""),"sleepyhead paw")</f>
        <v>sleepyhead paw</v>
      </c>
      <c r="D287" s="11" t="str">
        <f>IFERROR(__xludf.DUMMYFUNCTION("""COMPUTED_VALUE"""),"heart stone")</f>
        <v>heart stone</v>
      </c>
      <c r="E287" s="11" t="str">
        <f>IFERROR(__xludf.DUMMYFUNCTION("""COMPUTED_VALUE"""),"mythic normal orb")</f>
        <v>mythic normal orb</v>
      </c>
      <c r="F287" s="11"/>
      <c r="G287" s="11"/>
      <c r="H287" s="11"/>
      <c r="I287" s="11"/>
      <c r="J287" s="11"/>
      <c r="K287" s="11"/>
      <c r="L287" s="11"/>
    </row>
    <row r="288">
      <c r="A288" s="13" t="str">
        <f>IFERROR(__xludf.DUMMYFUNCTION("""COMPUTED_VALUE"""),"Articuno")</f>
        <v>Articuno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>
      <c r="A289" s="13" t="str">
        <f>IFERROR(__xludf.DUMMYFUNCTION("""COMPUTED_VALUE"""),"Shiny Articuno")</f>
        <v>Shiny Articuno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>
      <c r="A290" s="13" t="str">
        <f>IFERROR(__xludf.DUMMYFUNCTION("""COMPUTED_VALUE"""),"Zapdos")</f>
        <v>Zapdos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>
      <c r="A291" s="13" t="str">
        <f>IFERROR(__xludf.DUMMYFUNCTION("""COMPUTED_VALUE"""),"Shiny Zapdos")</f>
        <v>Shiny Zapdos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>
      <c r="A292" s="13" t="str">
        <f>IFERROR(__xludf.DUMMYFUNCTION("""COMPUTED_VALUE"""),"Moltres")</f>
        <v>Moltres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>
      <c r="A293" s="13" t="str">
        <f>IFERROR(__xludf.DUMMYFUNCTION("""COMPUTED_VALUE"""),"Shiny Moltres")</f>
        <v>Shiny Moltres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>
      <c r="A294" s="13" t="str">
        <f>IFERROR(__xludf.DUMMYFUNCTION("""COMPUTED_VALUE"""),"Dratini")</f>
        <v>Dratini</v>
      </c>
      <c r="B294" s="5" t="str">
        <f>IFERROR(__xludf.DUMMYFUNCTION("""COMPUTED_VALUE"""),"dragon scale")</f>
        <v>dragon scale</v>
      </c>
      <c r="C294" s="5" t="str">
        <f>IFERROR(__xludf.DUMMYFUNCTION("""COMPUTED_VALUE"""),"dratini ear")</f>
        <v>dratini ear</v>
      </c>
      <c r="D294" s="11"/>
      <c r="E294" s="11"/>
      <c r="F294" s="11"/>
      <c r="G294" s="11"/>
      <c r="H294" s="11"/>
      <c r="I294" s="11"/>
      <c r="J294" s="11"/>
      <c r="K294" s="11"/>
      <c r="L294" s="11"/>
    </row>
    <row r="295">
      <c r="A295" s="13" t="str">
        <f>IFERROR(__xludf.DUMMYFUNCTION("""COMPUTED_VALUE"""),"Shiny Dratini")</f>
        <v>Shiny Dratini</v>
      </c>
      <c r="B295" s="5" t="str">
        <f>IFERROR(__xludf.DUMMYFUNCTION("""COMPUTED_VALUE"""),"dragon scale")</f>
        <v>dragon scale</v>
      </c>
      <c r="C295" s="5" t="str">
        <f>IFERROR(__xludf.DUMMYFUNCTION("""COMPUTED_VALUE"""),"shiny dragon ears")</f>
        <v>shiny dragon ears</v>
      </c>
      <c r="D295" s="5" t="str">
        <f>IFERROR(__xludf.DUMMYFUNCTION("""COMPUTED_VALUE"""),"crystal stone")</f>
        <v>crystal stone</v>
      </c>
      <c r="E295" s="5" t="str">
        <f>IFERROR(__xludf.DUMMYFUNCTION("""COMPUTED_VALUE"""),"simple dragon orb")</f>
        <v>simple dragon orb</v>
      </c>
      <c r="F295" s="11"/>
      <c r="G295" s="11"/>
      <c r="H295" s="11"/>
      <c r="I295" s="11"/>
      <c r="J295" s="11"/>
      <c r="K295" s="11"/>
      <c r="L295" s="11"/>
    </row>
    <row r="296">
      <c r="A296" s="13" t="str">
        <f>IFERROR(__xludf.DUMMYFUNCTION("""COMPUTED_VALUE"""),"Dragonair")</f>
        <v>Dragonair</v>
      </c>
      <c r="B296" s="11" t="str">
        <f>IFERROR(__xludf.DUMMYFUNCTION("""COMPUTED_VALUE"""),"dragon scale")</f>
        <v>dragon scale</v>
      </c>
      <c r="C296" s="11" t="str">
        <f>IFERROR(__xludf.DUMMYFUNCTION("""COMPUTED_VALUE"""),"dragonair tail")</f>
        <v>dragonair tail</v>
      </c>
      <c r="D296" s="11" t="str">
        <f>IFERROR(__xludf.DUMMYFUNCTION("""COMPUTED_VALUE"""),"crystal stone")</f>
        <v>crystal stone</v>
      </c>
      <c r="E296" s="11"/>
      <c r="F296" s="11"/>
      <c r="G296" s="11"/>
      <c r="H296" s="11"/>
      <c r="I296" s="11"/>
      <c r="J296" s="11"/>
      <c r="K296" s="11"/>
      <c r="L296" s="11"/>
    </row>
    <row r="297">
      <c r="A297" s="13" t="str">
        <f>IFERROR(__xludf.DUMMYFUNCTION("""COMPUTED_VALUE"""),"Shiny Dragonair")</f>
        <v>Shiny Dragonair</v>
      </c>
      <c r="B297" s="11" t="str">
        <f>IFERROR(__xludf.DUMMYFUNCTION("""COMPUTED_VALUE"""),"dragon scale")</f>
        <v>dragon scale</v>
      </c>
      <c r="C297" s="11" t="str">
        <f>IFERROR(__xludf.DUMMYFUNCTION("""COMPUTED_VALUE"""),"yellow dragon tail")</f>
        <v>yellow dragon tail</v>
      </c>
      <c r="D297" s="11" t="str">
        <f>IFERROR(__xludf.DUMMYFUNCTION("""COMPUTED_VALUE"""),"crystal stone")</f>
        <v>crystal stone</v>
      </c>
      <c r="E297" s="11" t="str">
        <f>IFERROR(__xludf.DUMMYFUNCTION("""COMPUTED_VALUE"""),"arcane dragon orb")</f>
        <v>arcane dragon orb</v>
      </c>
      <c r="F297" s="11" t="str">
        <f>IFERROR(__xludf.DUMMYFUNCTION("""COMPUTED_VALUE"""),"mythic dragon orb")</f>
        <v>mythic dragon orb</v>
      </c>
      <c r="G297" s="11"/>
      <c r="H297" s="11"/>
      <c r="I297" s="11"/>
      <c r="J297" s="11"/>
      <c r="K297" s="11"/>
      <c r="L297" s="11"/>
    </row>
    <row r="298">
      <c r="A298" s="13" t="str">
        <f>IFERROR(__xludf.DUMMYFUNCTION("""COMPUTED_VALUE"""),"Dragonite")</f>
        <v>Dragonite</v>
      </c>
      <c r="B298" s="11" t="str">
        <f>IFERROR(__xludf.DUMMYFUNCTION("""COMPUTED_VALUE"""),"dragon scale")</f>
        <v>dragon scale</v>
      </c>
      <c r="C298" s="11" t="str">
        <f>IFERROR(__xludf.DUMMYFUNCTION("""COMPUTED_VALUE"""),"straw")</f>
        <v>straw</v>
      </c>
      <c r="D298" s="11" t="str">
        <f>IFERROR(__xludf.DUMMYFUNCTION("""COMPUTED_VALUE"""),"dragonite tail")</f>
        <v>dragonite tail</v>
      </c>
      <c r="E298" s="11" t="str">
        <f>IFERROR(__xludf.DUMMYFUNCTION("""COMPUTED_VALUE"""),"crystal stone")</f>
        <v>crystal stone</v>
      </c>
      <c r="F298" s="11"/>
      <c r="G298" s="11"/>
      <c r="H298" s="11"/>
      <c r="I298" s="11"/>
      <c r="J298" s="11"/>
      <c r="K298" s="11"/>
      <c r="L298" s="11"/>
    </row>
    <row r="299">
      <c r="A299" s="13" t="str">
        <f>IFERROR(__xludf.DUMMYFUNCTION("""COMPUTED_VALUE"""),"Shiny Dragonite")</f>
        <v>Shiny Dragonite</v>
      </c>
      <c r="B299" s="11" t="str">
        <f>IFERROR(__xludf.DUMMYFUNCTION("""COMPUTED_VALUE"""),"dragon scale")</f>
        <v>dragon scale</v>
      </c>
      <c r="C299" s="11" t="str">
        <f>IFERROR(__xludf.DUMMYFUNCTION("""COMPUTED_VALUE"""),"straw")</f>
        <v>straw</v>
      </c>
      <c r="D299" s="11" t="str">
        <f>IFERROR(__xludf.DUMMYFUNCTION("""COMPUTED_VALUE"""),"golden dragon tail")</f>
        <v>golden dragon tail</v>
      </c>
      <c r="E299" s="11" t="str">
        <f>IFERROR(__xludf.DUMMYFUNCTION("""COMPUTED_VALUE"""),"crystal stone")</f>
        <v>crystal stone</v>
      </c>
      <c r="F299" s="11" t="str">
        <f>IFERROR(__xludf.DUMMYFUNCTION("""COMPUTED_VALUE"""),"feather stone")</f>
        <v>feather stone</v>
      </c>
      <c r="G299" s="11" t="str">
        <f>IFERROR(__xludf.DUMMYFUNCTION("""COMPUTED_VALUE"""),"mythic dragon orb")</f>
        <v>mythic dragon orb</v>
      </c>
      <c r="H299" s="11"/>
      <c r="I299" s="11"/>
      <c r="J299" s="11"/>
      <c r="K299" s="11"/>
      <c r="L299" s="11"/>
    </row>
    <row r="300">
      <c r="A300" s="13" t="str">
        <f>IFERROR(__xludf.DUMMYFUNCTION("""COMPUTED_VALUE"""),"Mewtwo")</f>
        <v>Mewtwo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>
      <c r="A301" s="13" t="str">
        <f>IFERROR(__xludf.DUMMYFUNCTION("""COMPUTED_VALUE"""),"Shiny Mewtwo")</f>
        <v>Shiny Mewtwo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>
      <c r="A302" s="13" t="str">
        <f>IFERROR(__xludf.DUMMYFUNCTION("""COMPUTED_VALUE"""),"Mew")</f>
        <v>Mew</v>
      </c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>
      <c r="A303" s="13" t="str">
        <f>IFERROR(__xludf.DUMMYFUNCTION("""COMPUTED_VALUE"""),"Shiny Mew")</f>
        <v>Shiny Mew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>
      <c r="A304" s="13" t="str">
        <f>IFERROR(__xludf.DUMMYFUNCTION("""COMPUTED_VALUE"""),"Chikorita")</f>
        <v>Chikorita</v>
      </c>
      <c r="B304" s="11" t="str">
        <f>IFERROR(__xludf.DUMMYFUNCTION("""COMPUTED_VALUE"""),"seed")</f>
        <v>seed</v>
      </c>
      <c r="C304" s="11" t="str">
        <f>IFERROR(__xludf.DUMMYFUNCTION("""COMPUTED_VALUE"""),"chicory")</f>
        <v>chicory</v>
      </c>
      <c r="D304" s="11"/>
      <c r="E304" s="11"/>
      <c r="F304" s="11"/>
      <c r="G304" s="11"/>
      <c r="H304" s="11"/>
      <c r="I304" s="11"/>
      <c r="J304" s="11"/>
      <c r="K304" s="11"/>
      <c r="L304" s="11"/>
    </row>
    <row r="305">
      <c r="A305" s="13" t="str">
        <f>IFERROR(__xludf.DUMMYFUNCTION("""COMPUTED_VALUE"""),"Shiny Chikorita")</f>
        <v>Shiny Chikorita</v>
      </c>
      <c r="B305" s="11" t="str">
        <f>IFERROR(__xludf.DUMMYFUNCTION("""COMPUTED_VALUE"""),"seed")</f>
        <v>seed</v>
      </c>
      <c r="C305" s="11" t="str">
        <f>IFERROR(__xludf.DUMMYFUNCTION("""COMPUTED_VALUE"""),"purple chicory")</f>
        <v>purple chicory</v>
      </c>
      <c r="D305" s="11" t="str">
        <f>IFERROR(__xludf.DUMMYFUNCTION("""COMPUTED_VALUE"""),"leaf stone")</f>
        <v>leaf stone</v>
      </c>
      <c r="E305" s="11" t="str">
        <f>IFERROR(__xludf.DUMMYFUNCTION("""COMPUTED_VALUE"""),"simple grass orb")</f>
        <v>simple grass orb</v>
      </c>
      <c r="F305" s="11"/>
      <c r="G305" s="11"/>
      <c r="H305" s="11"/>
      <c r="I305" s="11"/>
      <c r="J305" s="11"/>
      <c r="K305" s="11"/>
      <c r="L305" s="11"/>
    </row>
    <row r="306">
      <c r="A306" s="13" t="str">
        <f>IFERROR(__xludf.DUMMYFUNCTION("""COMPUTED_VALUE"""),"Bayleef")</f>
        <v>Bayleef</v>
      </c>
      <c r="B306" s="11" t="str">
        <f>IFERROR(__xludf.DUMMYFUNCTION("""COMPUTED_VALUE"""),"seed")</f>
        <v>seed</v>
      </c>
      <c r="C306" s="11" t="str">
        <f>IFERROR(__xludf.DUMMYFUNCTION("""COMPUTED_VALUE"""),"big leaf")</f>
        <v>big leaf</v>
      </c>
      <c r="D306" s="11" t="str">
        <f>IFERROR(__xludf.DUMMYFUNCTION("""COMPUTED_VALUE"""),"leaf stone")</f>
        <v>leaf stone</v>
      </c>
      <c r="E306" s="11"/>
      <c r="F306" s="11"/>
      <c r="G306" s="11"/>
      <c r="H306" s="11"/>
      <c r="I306" s="11"/>
      <c r="J306" s="11"/>
      <c r="K306" s="11"/>
      <c r="L306" s="11"/>
    </row>
    <row r="307">
      <c r="A307" s="13" t="str">
        <f>IFERROR(__xludf.DUMMYFUNCTION("""COMPUTED_VALUE"""),"Shiny Bayleef")</f>
        <v>Shiny Bayleef</v>
      </c>
      <c r="B307" s="11" t="str">
        <f>IFERROR(__xludf.DUMMYFUNCTION("""COMPUTED_VALUE"""),"seed")</f>
        <v>seed</v>
      </c>
      <c r="C307" s="11" t="str">
        <f>IFERROR(__xludf.DUMMYFUNCTION("""COMPUTED_VALUE"""),"purple big leaf")</f>
        <v>purple big leaf</v>
      </c>
      <c r="D307" s="11" t="str">
        <f>IFERROR(__xludf.DUMMYFUNCTION("""COMPUTED_VALUE"""),"leaf stone")</f>
        <v>leaf stone</v>
      </c>
      <c r="E307" s="11" t="str">
        <f>IFERROR(__xludf.DUMMYFUNCTION("""COMPUTED_VALUE"""),"arcane grass orb")</f>
        <v>arcane grass orb</v>
      </c>
      <c r="F307" s="11"/>
      <c r="G307" s="11"/>
      <c r="H307" s="11"/>
      <c r="I307" s="11"/>
      <c r="J307" s="11"/>
      <c r="K307" s="11"/>
      <c r="L307" s="11"/>
    </row>
    <row r="308">
      <c r="A308" s="13" t="str">
        <f>IFERROR(__xludf.DUMMYFUNCTION("""COMPUTED_VALUE"""),"Meganium")</f>
        <v>Meganium</v>
      </c>
      <c r="B308" s="11" t="str">
        <f>IFERROR(__xludf.DUMMYFUNCTION("""COMPUTED_VALUE"""),"seed")</f>
        <v>seed</v>
      </c>
      <c r="C308" s="11" t="str">
        <f>IFERROR(__xludf.DUMMYFUNCTION("""COMPUTED_VALUE"""),"big petal")</f>
        <v>big petal</v>
      </c>
      <c r="D308" s="11" t="str">
        <f>IFERROR(__xludf.DUMMYFUNCTION("""COMPUTED_VALUE"""),"leaf stone")</f>
        <v>leaf stone</v>
      </c>
      <c r="E308" s="11"/>
      <c r="F308" s="11"/>
      <c r="G308" s="11"/>
      <c r="H308" s="11"/>
      <c r="I308" s="11"/>
      <c r="J308" s="11"/>
      <c r="K308" s="11"/>
      <c r="L308" s="11"/>
    </row>
    <row r="309">
      <c r="A309" s="13" t="str">
        <f>IFERROR(__xludf.DUMMYFUNCTION("""COMPUTED_VALUE"""),"Shiny Meganium")</f>
        <v>Shiny Meganium</v>
      </c>
      <c r="B309" s="11" t="str">
        <f>IFERROR(__xludf.DUMMYFUNCTION("""COMPUTED_VALUE"""),"seed")</f>
        <v>seed</v>
      </c>
      <c r="C309" s="11" t="str">
        <f>IFERROR(__xludf.DUMMYFUNCTION("""COMPUTED_VALUE"""),"purple petal")</f>
        <v>purple petal</v>
      </c>
      <c r="D309" s="11" t="str">
        <f>IFERROR(__xludf.DUMMYFUNCTION("""COMPUTED_VALUE"""),"leaf stone")</f>
        <v>leaf stone</v>
      </c>
      <c r="E309" s="11" t="str">
        <f>IFERROR(__xludf.DUMMYFUNCTION("""COMPUTED_VALUE"""),"mythic grass orb")</f>
        <v>mythic grass orb</v>
      </c>
      <c r="F309" s="11"/>
      <c r="G309" s="11"/>
      <c r="H309" s="11"/>
      <c r="I309" s="11"/>
      <c r="J309" s="11"/>
      <c r="K309" s="11"/>
      <c r="L309" s="11"/>
    </row>
    <row r="310">
      <c r="A310" s="13" t="str">
        <f>IFERROR(__xludf.DUMMYFUNCTION("""COMPUTED_VALUE"""),"Cyndaquil")</f>
        <v>Cyndaquil</v>
      </c>
      <c r="B310" s="11" t="str">
        <f>IFERROR(__xludf.DUMMYFUNCTION("""COMPUTED_VALUE"""),"essence of fire")</f>
        <v>essence of fire</v>
      </c>
      <c r="C310" s="11" t="str">
        <f>IFERROR(__xludf.DUMMYFUNCTION("""COMPUTED_VALUE"""),"cyndaquil nose")</f>
        <v>cyndaquil nose</v>
      </c>
      <c r="D310" s="11"/>
      <c r="E310" s="11"/>
      <c r="F310" s="11"/>
      <c r="G310" s="11"/>
      <c r="H310" s="11"/>
      <c r="I310" s="11"/>
      <c r="J310" s="11"/>
      <c r="K310" s="11"/>
      <c r="L310" s="11"/>
    </row>
    <row r="311">
      <c r="A311" s="13" t="str">
        <f>IFERROR(__xludf.DUMMYFUNCTION("""COMPUTED_VALUE"""),"Shiny Cyndaquil")</f>
        <v>Shiny Cyndaquil</v>
      </c>
      <c r="B311" s="11" t="str">
        <f>IFERROR(__xludf.DUMMYFUNCTION("""COMPUTED_VALUE"""),"essence of fire")</f>
        <v>essence of fire</v>
      </c>
      <c r="C311" s="11" t="str">
        <f>IFERROR(__xludf.DUMMYFUNCTION("""COMPUTED_VALUE"""),"red nose")</f>
        <v>red nose</v>
      </c>
      <c r="D311" s="11" t="str">
        <f>IFERROR(__xludf.DUMMYFUNCTION("""COMPUTED_VALUE"""),"fire stone")</f>
        <v>fire stone</v>
      </c>
      <c r="E311" s="11" t="str">
        <f>IFERROR(__xludf.DUMMYFUNCTION("""COMPUTED_VALUE"""),"simple fire orb")</f>
        <v>simple fire orb</v>
      </c>
      <c r="F311" s="11"/>
      <c r="G311" s="11"/>
      <c r="H311" s="11"/>
      <c r="I311" s="11"/>
      <c r="J311" s="11"/>
      <c r="K311" s="11"/>
      <c r="L311" s="11"/>
    </row>
    <row r="312">
      <c r="A312" s="13" t="str">
        <f>IFERROR(__xludf.DUMMYFUNCTION("""COMPUTED_VALUE"""),"Quilava")</f>
        <v>Quilava</v>
      </c>
      <c r="B312" s="11" t="str">
        <f>IFERROR(__xludf.DUMMYFUNCTION("""COMPUTED_VALUE"""),"essence of fire")</f>
        <v>essence of fire</v>
      </c>
      <c r="C312" s="11" t="str">
        <f>IFERROR(__xludf.DUMMYFUNCTION("""COMPUTED_VALUE"""),"quilava fur")</f>
        <v>quilava fur</v>
      </c>
      <c r="D312" s="11" t="str">
        <f>IFERROR(__xludf.DUMMYFUNCTION("""COMPUTED_VALUE"""),"fire stone")</f>
        <v>fire stone</v>
      </c>
      <c r="E312" s="11"/>
      <c r="F312" s="11"/>
      <c r="G312" s="11"/>
      <c r="H312" s="11"/>
      <c r="I312" s="11"/>
      <c r="J312" s="11"/>
      <c r="K312" s="11"/>
      <c r="L312" s="11"/>
    </row>
    <row r="313">
      <c r="A313" s="13" t="str">
        <f>IFERROR(__xludf.DUMMYFUNCTION("""COMPUTED_VALUE"""),"Shiny Quilava")</f>
        <v>Shiny Quilava</v>
      </c>
      <c r="B313" s="11" t="str">
        <f>IFERROR(__xludf.DUMMYFUNCTION("""COMPUTED_VALUE"""),"essence of fire")</f>
        <v>essence of fire</v>
      </c>
      <c r="C313" s="11" t="str">
        <f>IFERROR(__xludf.DUMMYFUNCTION("""COMPUTED_VALUE"""),"blaze fur")</f>
        <v>blaze fur</v>
      </c>
      <c r="D313" s="11" t="str">
        <f>IFERROR(__xludf.DUMMYFUNCTION("""COMPUTED_VALUE"""),"fire stone")</f>
        <v>fire stone</v>
      </c>
      <c r="E313" s="11" t="str">
        <f>IFERROR(__xludf.DUMMYFUNCTION("""COMPUTED_VALUE"""),"arcane fire orb")</f>
        <v>arcane fire orb</v>
      </c>
      <c r="F313" s="11"/>
      <c r="G313" s="11"/>
      <c r="H313" s="11"/>
      <c r="I313" s="11"/>
      <c r="J313" s="11"/>
      <c r="K313" s="11"/>
      <c r="L313" s="11"/>
    </row>
    <row r="314">
      <c r="A314" s="13" t="str">
        <f>IFERROR(__xludf.DUMMYFUNCTION("""COMPUTED_VALUE"""),"Typhlosion")</f>
        <v>Typhlosion</v>
      </c>
      <c r="B314" s="11" t="str">
        <f>IFERROR(__xludf.DUMMYFUNCTION("""COMPUTED_VALUE"""),"essence of fire")</f>
        <v>essence of fire</v>
      </c>
      <c r="C314" s="11" t="str">
        <f>IFERROR(__xludf.DUMMYFUNCTION("""COMPUTED_VALUE"""),"typhlosion fur")</f>
        <v>typhlosion fur</v>
      </c>
      <c r="D314" s="11" t="str">
        <f>IFERROR(__xludf.DUMMYFUNCTION("""COMPUTED_VALUE"""),"fire stone")</f>
        <v>fire stone</v>
      </c>
      <c r="E314" s="11"/>
      <c r="F314" s="11"/>
      <c r="G314" s="11"/>
      <c r="H314" s="11"/>
      <c r="I314" s="11"/>
      <c r="J314" s="11"/>
      <c r="K314" s="11"/>
      <c r="L314" s="11"/>
    </row>
    <row r="315">
      <c r="A315" s="13" t="str">
        <f>IFERROR(__xludf.DUMMYFUNCTION("""COMPUTED_VALUE"""),"Shiny Typhlosion")</f>
        <v>Shiny Typhlosion</v>
      </c>
      <c r="B315" s="11" t="str">
        <f>IFERROR(__xludf.DUMMYFUNCTION("""COMPUTED_VALUE"""),"essence of fire")</f>
        <v>essence of fire</v>
      </c>
      <c r="C315" s="11" t="str">
        <f>IFERROR(__xludf.DUMMYFUNCTION("""COMPUTED_VALUE"""),"volcano fur")</f>
        <v>volcano fur</v>
      </c>
      <c r="D315" s="11" t="str">
        <f>IFERROR(__xludf.DUMMYFUNCTION("""COMPUTED_VALUE"""),"fire stone")</f>
        <v>fire stone</v>
      </c>
      <c r="E315" s="11" t="str">
        <f>IFERROR(__xludf.DUMMYFUNCTION("""COMPUTED_VALUE"""),"mythic fire orb")</f>
        <v>mythic fire orb</v>
      </c>
      <c r="F315" s="11"/>
      <c r="G315" s="11"/>
      <c r="H315" s="11"/>
      <c r="I315" s="11"/>
      <c r="J315" s="11"/>
      <c r="K315" s="11"/>
      <c r="L315" s="11"/>
    </row>
    <row r="316">
      <c r="A316" s="13" t="str">
        <f>IFERROR(__xludf.DUMMYFUNCTION("""COMPUTED_VALUE"""),"Totodile")</f>
        <v>Totodile</v>
      </c>
      <c r="B316" s="11" t="str">
        <f>IFERROR(__xludf.DUMMYFUNCTION("""COMPUTED_VALUE"""),"water gem")</f>
        <v>water gem</v>
      </c>
      <c r="C316" s="11" t="str">
        <f>IFERROR(__xludf.DUMMYFUNCTION("""COMPUTED_VALUE"""),"totodile tail")</f>
        <v>totodile tail</v>
      </c>
      <c r="D316" s="11"/>
      <c r="E316" s="11"/>
      <c r="F316" s="11"/>
      <c r="G316" s="11"/>
      <c r="H316" s="11"/>
      <c r="I316" s="11"/>
      <c r="J316" s="11"/>
      <c r="K316" s="11"/>
      <c r="L316" s="11"/>
    </row>
    <row r="317">
      <c r="A317" s="13" t="str">
        <f>IFERROR(__xludf.DUMMYFUNCTION("""COMPUTED_VALUE"""),"Shiny Totodile")</f>
        <v>Shiny Totodile</v>
      </c>
      <c r="B317" s="11" t="str">
        <f>IFERROR(__xludf.DUMMYFUNCTION("""COMPUTED_VALUE"""),"water gem")</f>
        <v>water gem</v>
      </c>
      <c r="C317" s="11" t="str">
        <f>IFERROR(__xludf.DUMMYFUNCTION("""COMPUTED_VALUE"""),"cyan tail")</f>
        <v>cyan tail</v>
      </c>
      <c r="D317" s="11" t="str">
        <f>IFERROR(__xludf.DUMMYFUNCTION("""COMPUTED_VALUE"""),"water stone")</f>
        <v>water stone</v>
      </c>
      <c r="E317" s="11" t="str">
        <f>IFERROR(__xludf.DUMMYFUNCTION("""COMPUTED_VALUE"""),"simple water orb")</f>
        <v>simple water orb</v>
      </c>
      <c r="F317" s="11"/>
      <c r="G317" s="11"/>
      <c r="H317" s="11"/>
      <c r="I317" s="11"/>
      <c r="J317" s="11"/>
      <c r="K317" s="11"/>
      <c r="L317" s="11"/>
    </row>
    <row r="318">
      <c r="A318" s="13" t="str">
        <f>IFERROR(__xludf.DUMMYFUNCTION("""COMPUTED_VALUE"""),"Croconaw")</f>
        <v>Croconaw</v>
      </c>
      <c r="B318" s="11" t="str">
        <f>IFERROR(__xludf.DUMMYFUNCTION("""COMPUTED_VALUE"""),"water gem")</f>
        <v>water gem</v>
      </c>
      <c r="C318" s="11" t="str">
        <f>IFERROR(__xludf.DUMMYFUNCTION("""COMPUTED_VALUE"""),"crocodile hair")</f>
        <v>crocodile hair</v>
      </c>
      <c r="D318" s="11" t="str">
        <f>IFERROR(__xludf.DUMMYFUNCTION("""COMPUTED_VALUE"""),"water stone")</f>
        <v>water stone</v>
      </c>
      <c r="E318" s="11"/>
      <c r="F318" s="11"/>
      <c r="G318" s="11"/>
      <c r="H318" s="11"/>
      <c r="I318" s="11"/>
      <c r="J318" s="11"/>
      <c r="K318" s="11"/>
      <c r="L318" s="11"/>
    </row>
    <row r="319">
      <c r="A319" s="13" t="str">
        <f>IFERROR(__xludf.DUMMYFUNCTION("""COMPUTED_VALUE"""),"Shiny Croconaw")</f>
        <v>Shiny Croconaw</v>
      </c>
      <c r="B319" s="11" t="str">
        <f>IFERROR(__xludf.DUMMYFUNCTION("""COMPUTED_VALUE"""),"water gem")</f>
        <v>water gem</v>
      </c>
      <c r="C319" s="11" t="str">
        <f>IFERROR(__xludf.DUMMYFUNCTION("""COMPUTED_VALUE"""),"blue mohawk")</f>
        <v>blue mohawk</v>
      </c>
      <c r="D319" s="11" t="str">
        <f>IFERROR(__xludf.DUMMYFUNCTION("""COMPUTED_VALUE"""),"water stone")</f>
        <v>water stone</v>
      </c>
      <c r="E319" s="11" t="str">
        <f>IFERROR(__xludf.DUMMYFUNCTION("""COMPUTED_VALUE"""),"arcane water orb")</f>
        <v>arcane water orb</v>
      </c>
      <c r="F319" s="11"/>
      <c r="G319" s="11"/>
      <c r="H319" s="11"/>
      <c r="I319" s="11"/>
      <c r="J319" s="11"/>
      <c r="K319" s="11"/>
      <c r="L319" s="11"/>
    </row>
    <row r="320">
      <c r="A320" s="13" t="str">
        <f>IFERROR(__xludf.DUMMYFUNCTION("""COMPUTED_VALUE"""),"Feraligatr")</f>
        <v>Feraligatr</v>
      </c>
      <c r="B320" s="11" t="str">
        <f>IFERROR(__xludf.DUMMYFUNCTION("""COMPUTED_VALUE"""),"water gem")</f>
        <v>water gem</v>
      </c>
      <c r="C320" s="11" t="str">
        <f>IFERROR(__xludf.DUMMYFUNCTION("""COMPUTED_VALUE"""),"red hair")</f>
        <v>red hair</v>
      </c>
      <c r="D320" s="11" t="str">
        <f>IFERROR(__xludf.DUMMYFUNCTION("""COMPUTED_VALUE"""),"water stone")</f>
        <v>water stone</v>
      </c>
      <c r="E320" s="11"/>
      <c r="F320" s="11"/>
      <c r="G320" s="11"/>
      <c r="H320" s="11"/>
      <c r="I320" s="11"/>
      <c r="J320" s="11"/>
      <c r="K320" s="11"/>
      <c r="L320" s="11"/>
    </row>
    <row r="321">
      <c r="A321" s="13" t="str">
        <f>IFERROR(__xludf.DUMMYFUNCTION("""COMPUTED_VALUE"""),"Shiny Feraligatr")</f>
        <v>Shiny Feraligatr</v>
      </c>
      <c r="B321" s="11" t="str">
        <f>IFERROR(__xludf.DUMMYFUNCTION("""COMPUTED_VALUE"""),"water gem")</f>
        <v>water gem</v>
      </c>
      <c r="C321" s="11" t="str">
        <f>IFERROR(__xludf.DUMMYFUNCTION("""COMPUTED_VALUE"""),"big blue mohawk")</f>
        <v>big blue mohawk</v>
      </c>
      <c r="D321" s="11" t="str">
        <f>IFERROR(__xludf.DUMMYFUNCTION("""COMPUTED_VALUE"""),"water stone")</f>
        <v>water stone</v>
      </c>
      <c r="E321" s="11" t="str">
        <f>IFERROR(__xludf.DUMMYFUNCTION("""COMPUTED_VALUE"""),"mythic water orb")</f>
        <v>mythic water orb</v>
      </c>
      <c r="F321" s="11"/>
      <c r="G321" s="11"/>
      <c r="H321" s="11"/>
      <c r="I321" s="11"/>
      <c r="J321" s="11"/>
      <c r="K321" s="11"/>
      <c r="L321" s="11"/>
    </row>
    <row r="322">
      <c r="A322" s="13" t="str">
        <f>IFERROR(__xludf.DUMMYFUNCTION("""COMPUTED_VALUE"""),"Sentret")</f>
        <v>Sentret</v>
      </c>
      <c r="B322" s="11" t="str">
        <f>IFERROR(__xludf.DUMMYFUNCTION("""COMPUTED_VALUE"""),"rubber ball")</f>
        <v>rubber ball</v>
      </c>
      <c r="C322" s="11" t="str">
        <f>IFERROR(__xludf.DUMMYFUNCTION("""COMPUTED_VALUE"""),"furry tail")</f>
        <v>furry tail</v>
      </c>
      <c r="D322" s="11"/>
      <c r="E322" s="11"/>
      <c r="F322" s="11"/>
      <c r="G322" s="11"/>
      <c r="H322" s="11"/>
      <c r="I322" s="11"/>
      <c r="J322" s="11"/>
      <c r="K322" s="11"/>
      <c r="L322" s="11"/>
    </row>
    <row r="323">
      <c r="A323" s="13" t="str">
        <f>IFERROR(__xludf.DUMMYFUNCTION("""COMPUTED_VALUE"""),"Shiny Sentret")</f>
        <v>Shiny Sentret</v>
      </c>
      <c r="B323" s="11" t="str">
        <f>IFERROR(__xludf.DUMMYFUNCTION("""COMPUTED_VALUE"""),"rubber ball")</f>
        <v>rubber ball</v>
      </c>
      <c r="C323" s="11" t="str">
        <f>IFERROR(__xludf.DUMMYFUNCTION("""COMPUTED_VALUE"""),"yellow furry tail")</f>
        <v>yellow furry tail</v>
      </c>
      <c r="D323" s="11" t="str">
        <f>IFERROR(__xludf.DUMMYFUNCTION("""COMPUTED_VALUE"""),"heart stone")</f>
        <v>heart stone</v>
      </c>
      <c r="E323" s="11" t="str">
        <f>IFERROR(__xludf.DUMMYFUNCTION("""COMPUTED_VALUE"""),"simple normal orb")</f>
        <v>simple normal orb</v>
      </c>
      <c r="F323" s="11"/>
      <c r="G323" s="11"/>
      <c r="H323" s="11"/>
      <c r="I323" s="11"/>
      <c r="J323" s="11"/>
      <c r="K323" s="11"/>
      <c r="L323" s="11"/>
    </row>
    <row r="324">
      <c r="A324" s="13" t="str">
        <f>IFERROR(__xludf.DUMMYFUNCTION("""COMPUTED_VALUE"""),"Furret")</f>
        <v>Furret</v>
      </c>
      <c r="B324" s="11" t="str">
        <f>IFERROR(__xludf.DUMMYFUNCTION("""COMPUTED_VALUE"""),"rubber ball")</f>
        <v>rubber ball</v>
      </c>
      <c r="C324" s="11" t="str">
        <f>IFERROR(__xludf.DUMMYFUNCTION("""COMPUTED_VALUE"""),"furret tail")</f>
        <v>furret tail</v>
      </c>
      <c r="D324" s="11" t="str">
        <f>IFERROR(__xludf.DUMMYFUNCTION("""COMPUTED_VALUE"""),"heart stone")</f>
        <v>heart stone</v>
      </c>
      <c r="E324" s="11"/>
      <c r="F324" s="11"/>
      <c r="G324" s="11"/>
      <c r="H324" s="11"/>
      <c r="I324" s="11"/>
      <c r="J324" s="11"/>
      <c r="K324" s="11"/>
      <c r="L324" s="11"/>
    </row>
    <row r="325">
      <c r="A325" s="13" t="str">
        <f>IFERROR(__xludf.DUMMYFUNCTION("""COMPUTED_VALUE"""),"Shiny Furret")</f>
        <v>Shiny Furret</v>
      </c>
      <c r="B325" s="11" t="str">
        <f>IFERROR(__xludf.DUMMYFUNCTION("""COMPUTED_VALUE"""),"rubber ball")</f>
        <v>rubber ball</v>
      </c>
      <c r="C325" s="11" t="str">
        <f>IFERROR(__xludf.DUMMYFUNCTION("""COMPUTED_VALUE"""),"pink tail")</f>
        <v>pink tail</v>
      </c>
      <c r="D325" s="11" t="str">
        <f>IFERROR(__xludf.DUMMYFUNCTION("""COMPUTED_VALUE"""),"heart stone")</f>
        <v>heart stone</v>
      </c>
      <c r="E325" s="11" t="str">
        <f>IFERROR(__xludf.DUMMYFUNCTION("""COMPUTED_VALUE"""),"arcane normal orb")</f>
        <v>arcane normal orb</v>
      </c>
      <c r="F325" s="11"/>
      <c r="G325" s="11"/>
      <c r="H325" s="11"/>
      <c r="I325" s="11"/>
      <c r="J325" s="11"/>
      <c r="K325" s="11"/>
      <c r="L325" s="11"/>
    </row>
    <row r="326">
      <c r="A326" s="13" t="str">
        <f>IFERROR(__xludf.DUMMYFUNCTION("""COMPUTED_VALUE"""),"Hoothoot")</f>
        <v>Hoothoot</v>
      </c>
      <c r="B326" s="11" t="str">
        <f>IFERROR(__xludf.DUMMYFUNCTION("""COMPUTED_VALUE"""),"rubber ball")</f>
        <v>rubber ball</v>
      </c>
      <c r="C326" s="11" t="str">
        <f>IFERROR(__xludf.DUMMYFUNCTION("""COMPUTED_VALUE"""),"straw")</f>
        <v>straw</v>
      </c>
      <c r="D326" s="11" t="str">
        <f>IFERROR(__xludf.DUMMYFUNCTION("""COMPUTED_VALUE"""),"owl antennas")</f>
        <v>owl antennas</v>
      </c>
      <c r="E326" s="11"/>
      <c r="F326" s="11"/>
      <c r="G326" s="11"/>
      <c r="H326" s="11"/>
      <c r="I326" s="11"/>
      <c r="J326" s="11"/>
      <c r="K326" s="11"/>
      <c r="L326" s="11"/>
    </row>
    <row r="327">
      <c r="A327" s="13" t="str">
        <f>IFERROR(__xludf.DUMMYFUNCTION("""COMPUTED_VALUE"""),"Shiny Hoothoot")</f>
        <v>Shiny Hoothoot</v>
      </c>
      <c r="B327" s="11" t="str">
        <f>IFERROR(__xludf.DUMMYFUNCTION("""COMPUTED_VALUE"""),"rubber ball")</f>
        <v>rubber ball</v>
      </c>
      <c r="C327" s="11" t="str">
        <f>IFERROR(__xludf.DUMMYFUNCTION("""COMPUTED_VALUE"""),"straw")</f>
        <v>straw</v>
      </c>
      <c r="D327" s="11" t="str">
        <f>IFERROR(__xludf.DUMMYFUNCTION("""COMPUTED_VALUE"""),"shinning antennas")</f>
        <v>shinning antennas</v>
      </c>
      <c r="E327" s="11" t="str">
        <f>IFERROR(__xludf.DUMMYFUNCTION("""COMPUTED_VALUE"""),"heard stone")</f>
        <v>heard stone</v>
      </c>
      <c r="F327" s="11" t="str">
        <f>IFERROR(__xludf.DUMMYFUNCTION("""COMPUTED_VALUE"""),"feather stone")</f>
        <v>feather stone</v>
      </c>
      <c r="G327" s="11" t="str">
        <f>IFERROR(__xludf.DUMMYFUNCTION("""COMPUTED_VALUE"""),"simple flying orb")</f>
        <v>simple flying orb</v>
      </c>
      <c r="H327" s="11"/>
      <c r="I327" s="11"/>
      <c r="J327" s="11"/>
      <c r="K327" s="11"/>
      <c r="L327" s="11"/>
    </row>
    <row r="328">
      <c r="A328" s="13" t="str">
        <f>IFERROR(__xludf.DUMMYFUNCTION("""COMPUTED_VALUE"""),"Noctowl")</f>
        <v>Noctowl</v>
      </c>
      <c r="B328" s="11" t="str">
        <f>IFERROR(__xludf.DUMMYFUNCTION("""COMPUTED_VALUE"""),"rubber ball")</f>
        <v>rubber ball</v>
      </c>
      <c r="C328" s="11" t="str">
        <f>IFERROR(__xludf.DUMMYFUNCTION("""COMPUTED_VALUE"""),"straw")</f>
        <v>straw</v>
      </c>
      <c r="D328" s="11" t="str">
        <f>IFERROR(__xludf.DUMMYFUNCTION("""COMPUTED_VALUE"""),"owl crest")</f>
        <v>owl crest</v>
      </c>
      <c r="E328" s="11" t="str">
        <f>IFERROR(__xludf.DUMMYFUNCTION("""COMPUTED_VALUE"""),"heart stone")</f>
        <v>heart stone</v>
      </c>
      <c r="F328" s="11" t="str">
        <f>IFERROR(__xludf.DUMMYFUNCTION("""COMPUTED_VALUE"""),"feather stone")</f>
        <v>feather stone</v>
      </c>
      <c r="G328" s="11"/>
      <c r="H328" s="11"/>
      <c r="I328" s="11"/>
      <c r="J328" s="11"/>
      <c r="K328" s="11"/>
      <c r="L328" s="11"/>
    </row>
    <row r="329">
      <c r="A329" s="13" t="str">
        <f>IFERROR(__xludf.DUMMYFUNCTION("""COMPUTED_VALUE"""),"Shiny Noctowl")</f>
        <v>Shiny Noctowl</v>
      </c>
      <c r="B329" s="11" t="str">
        <f>IFERROR(__xludf.DUMMYFUNCTION("""COMPUTED_VALUE"""),"rubber ball")</f>
        <v>rubber ball</v>
      </c>
      <c r="C329" s="11" t="str">
        <f>IFERROR(__xludf.DUMMYFUNCTION("""COMPUTED_VALUE"""),"straw")</f>
        <v>straw</v>
      </c>
      <c r="D329" s="11" t="str">
        <f>IFERROR(__xludf.DUMMYFUNCTION("""COMPUTED_VALUE"""),"yellow crest")</f>
        <v>yellow crest</v>
      </c>
      <c r="E329" s="11" t="str">
        <f>IFERROR(__xludf.DUMMYFUNCTION("""COMPUTED_VALUE"""),"heart stone")</f>
        <v>heart stone</v>
      </c>
      <c r="F329" s="11" t="str">
        <f>IFERROR(__xludf.DUMMYFUNCTION("""COMPUTED_VALUE"""),"feather stone")</f>
        <v>feather stone</v>
      </c>
      <c r="G329" s="11" t="str">
        <f>IFERROR(__xludf.DUMMYFUNCTION("""COMPUTED_VALUE"""),"arcane flying orb")</f>
        <v>arcane flying orb</v>
      </c>
      <c r="H329" s="11"/>
      <c r="I329" s="11"/>
      <c r="J329" s="11"/>
      <c r="K329" s="11"/>
      <c r="L329" s="11"/>
    </row>
    <row r="330">
      <c r="A330" s="13" t="str">
        <f>IFERROR(__xludf.DUMMYFUNCTION("""COMPUTED_VALUE"""),"Ledyba")</f>
        <v>Ledyba</v>
      </c>
      <c r="B330" s="11" t="str">
        <f>IFERROR(__xludf.DUMMYFUNCTION("""COMPUTED_VALUE"""),"bug gosme")</f>
        <v>bug gosme</v>
      </c>
      <c r="C330" s="11" t="str">
        <f>IFERROR(__xludf.DUMMYFUNCTION("""COMPUTED_VALUE"""),"straw")</f>
        <v>straw</v>
      </c>
      <c r="D330" s="11" t="str">
        <f>IFERROR(__xludf.DUMMYFUNCTION("""COMPUTED_VALUE"""),"ladybug wings")</f>
        <v>ladybug wings</v>
      </c>
      <c r="E330" s="11"/>
      <c r="F330" s="11"/>
      <c r="G330" s="11"/>
      <c r="H330" s="11"/>
      <c r="I330" s="11"/>
      <c r="J330" s="11"/>
      <c r="K330" s="11"/>
      <c r="L330" s="11"/>
    </row>
    <row r="331">
      <c r="A331" s="13" t="str">
        <f>IFERROR(__xludf.DUMMYFUNCTION("""COMPUTED_VALUE"""),"Shiny Ledyba")</f>
        <v>Shiny Ledyba</v>
      </c>
      <c r="B331" s="11" t="str">
        <f>IFERROR(__xludf.DUMMYFUNCTION("""COMPUTED_VALUE"""),"bug gosme")</f>
        <v>bug gosme</v>
      </c>
      <c r="C331" s="11" t="str">
        <f>IFERROR(__xludf.DUMMYFUNCTION("""COMPUTED_VALUE"""),"straw")</f>
        <v>straw</v>
      </c>
      <c r="D331" s="11" t="str">
        <f>IFERROR(__xludf.DUMMYFUNCTION("""COMPUTED_VALUE"""),"blue ladybug wings")</f>
        <v>blue ladybug wings</v>
      </c>
      <c r="E331" s="11" t="str">
        <f>IFERROR(__xludf.DUMMYFUNCTION("""COMPUTED_VALUE"""),"cocoon stone")</f>
        <v>cocoon stone</v>
      </c>
      <c r="F331" s="11" t="str">
        <f>IFERROR(__xludf.DUMMYFUNCTION("""COMPUTED_VALUE"""),"feather stone")</f>
        <v>feather stone</v>
      </c>
      <c r="G331" s="11" t="str">
        <f>IFERROR(__xludf.DUMMYFUNCTION("""COMPUTED_VALUE"""),"sinple bug orb")</f>
        <v>sinple bug orb</v>
      </c>
      <c r="H331" s="11"/>
      <c r="I331" s="11"/>
      <c r="J331" s="11"/>
      <c r="K331" s="11"/>
      <c r="L331" s="11"/>
    </row>
    <row r="332">
      <c r="A332" s="13" t="str">
        <f>IFERROR(__xludf.DUMMYFUNCTION("""COMPUTED_VALUE"""),"Ledian")</f>
        <v>Ledian</v>
      </c>
      <c r="B332" s="11" t="str">
        <f>IFERROR(__xludf.DUMMYFUNCTION("""COMPUTED_VALUE"""),"bug gosme")</f>
        <v>bug gosme</v>
      </c>
      <c r="C332" s="11" t="str">
        <f>IFERROR(__xludf.DUMMYFUNCTION("""COMPUTED_VALUE"""),"straw")</f>
        <v>straw</v>
      </c>
      <c r="D332" s="11" t="str">
        <f>IFERROR(__xludf.DUMMYFUNCTION("""COMPUTED_VALUE"""),"ledian wings")</f>
        <v>ledian wings</v>
      </c>
      <c r="E332" s="11" t="str">
        <f>IFERROR(__xludf.DUMMYFUNCTION("""COMPUTED_VALUE"""),"cocoon stone")</f>
        <v>cocoon stone</v>
      </c>
      <c r="F332" s="11" t="str">
        <f>IFERROR(__xludf.DUMMYFUNCTION("""COMPUTED_VALUE"""),"feather stone")</f>
        <v>feather stone</v>
      </c>
      <c r="G332" s="11"/>
      <c r="H332" s="11"/>
      <c r="I332" s="11"/>
      <c r="J332" s="11"/>
      <c r="K332" s="11"/>
      <c r="L332" s="11"/>
    </row>
    <row r="333">
      <c r="A333" s="13" t="str">
        <f>IFERROR(__xludf.DUMMYFUNCTION("""COMPUTED_VALUE"""),"Shiny Ledian")</f>
        <v>Shiny Ledian</v>
      </c>
      <c r="B333" s="11" t="str">
        <f>IFERROR(__xludf.DUMMYFUNCTION("""COMPUTED_VALUE"""),"bug gosme")</f>
        <v>bug gosme</v>
      </c>
      <c r="C333" s="11" t="str">
        <f>IFERROR(__xludf.DUMMYFUNCTION("""COMPUTED_VALUE"""),"straw")</f>
        <v>straw</v>
      </c>
      <c r="D333" s="11" t="str">
        <f>IFERROR(__xludf.DUMMYFUNCTION("""COMPUTED_VALUE"""),"blue bug wings")</f>
        <v>blue bug wings</v>
      </c>
      <c r="E333" s="11" t="str">
        <f>IFERROR(__xludf.DUMMYFUNCTION("""COMPUTED_VALUE"""),"cocoon stone")</f>
        <v>cocoon stone</v>
      </c>
      <c r="F333" s="11" t="str">
        <f>IFERROR(__xludf.DUMMYFUNCTION("""COMPUTED_VALUE"""),"feather stone")</f>
        <v>feather stone</v>
      </c>
      <c r="G333" s="11" t="str">
        <f>IFERROR(__xludf.DUMMYFUNCTION("""COMPUTED_VALUE"""),"arcane bug orb")</f>
        <v>arcane bug orb</v>
      </c>
      <c r="H333" s="11"/>
      <c r="I333" s="11"/>
      <c r="J333" s="11"/>
      <c r="K333" s="11"/>
      <c r="L333" s="11"/>
    </row>
    <row r="334">
      <c r="A334" s="13" t="str">
        <f>IFERROR(__xludf.DUMMYFUNCTION("""COMPUTED_VALUE"""),"Spinarak")</f>
        <v>Spinarak</v>
      </c>
      <c r="B334" s="11" t="str">
        <f>IFERROR(__xludf.DUMMYFUNCTION("""COMPUTED_VALUE"""),"bug gosme")</f>
        <v>bug gosme</v>
      </c>
      <c r="C334" s="11" t="str">
        <f>IFERROR(__xludf.DUMMYFUNCTION("""COMPUTED_VALUE"""),"bottle of poison")</f>
        <v>bottle of poison</v>
      </c>
      <c r="D334" s="11" t="str">
        <f>IFERROR(__xludf.DUMMYFUNCTION("""COMPUTED_VALUE"""),"spider legs")</f>
        <v>spider legs</v>
      </c>
      <c r="E334" s="11"/>
      <c r="F334" s="11"/>
      <c r="G334" s="11"/>
      <c r="H334" s="11"/>
      <c r="I334" s="11"/>
      <c r="J334" s="11"/>
      <c r="K334" s="11"/>
      <c r="L334" s="11"/>
    </row>
    <row r="335">
      <c r="A335" s="13" t="str">
        <f>IFERROR(__xludf.DUMMYFUNCTION("""COMPUTED_VALUE"""),"Shiny Spinarak")</f>
        <v>Shiny Spinarak</v>
      </c>
      <c r="B335" s="11" t="str">
        <f>IFERROR(__xludf.DUMMYFUNCTION("""COMPUTED_VALUE"""),"bug gosme")</f>
        <v>bug gosme</v>
      </c>
      <c r="C335" s="11" t="str">
        <f>IFERROR(__xludf.DUMMYFUNCTION("""COMPUTED_VALUE"""),"bottle of poison")</f>
        <v>bottle of poison</v>
      </c>
      <c r="D335" s="11" t="str">
        <f>IFERROR(__xludf.DUMMYFUNCTION("""COMPUTED_VALUE"""),"blue spider legs")</f>
        <v>blue spider legs</v>
      </c>
      <c r="E335" s="11" t="str">
        <f>IFERROR(__xludf.DUMMYFUNCTION("""COMPUTED_VALUE"""),"cocoon stone")</f>
        <v>cocoon stone</v>
      </c>
      <c r="F335" s="11" t="str">
        <f>IFERROR(__xludf.DUMMYFUNCTION("""COMPUTED_VALUE"""),"venom stone")</f>
        <v>venom stone</v>
      </c>
      <c r="G335" s="11" t="str">
        <f>IFERROR(__xludf.DUMMYFUNCTION("""COMPUTED_VALUE"""),"single bug orb")</f>
        <v>single bug orb</v>
      </c>
      <c r="H335" s="11"/>
      <c r="I335" s="11"/>
      <c r="J335" s="11"/>
      <c r="K335" s="11"/>
      <c r="L335" s="11"/>
    </row>
    <row r="336">
      <c r="A336" s="13" t="str">
        <f>IFERROR(__xludf.DUMMYFUNCTION("""COMPUTED_VALUE"""),"Ariados")</f>
        <v>Ariados</v>
      </c>
      <c r="B336" s="11" t="str">
        <f>IFERROR(__xludf.DUMMYFUNCTION("""COMPUTED_VALUE"""),"bug gosme")</f>
        <v>bug gosme</v>
      </c>
      <c r="C336" s="11" t="str">
        <f>IFERROR(__xludf.DUMMYFUNCTION("""COMPUTED_VALUE"""),"bottle of poison")</f>
        <v>bottle of poison</v>
      </c>
      <c r="D336" s="11" t="str">
        <f>IFERROR(__xludf.DUMMYFUNCTION("""COMPUTED_VALUE"""),"arachnid legs")</f>
        <v>arachnid legs</v>
      </c>
      <c r="E336" s="11" t="str">
        <f>IFERROR(__xludf.DUMMYFUNCTION("""COMPUTED_VALUE"""),"cocoon stone")</f>
        <v>cocoon stone</v>
      </c>
      <c r="F336" s="11" t="str">
        <f>IFERROR(__xludf.DUMMYFUNCTION("""COMPUTED_VALUE"""),"venom stone")</f>
        <v>venom stone</v>
      </c>
      <c r="G336" s="11"/>
      <c r="H336" s="11"/>
      <c r="I336" s="11"/>
      <c r="J336" s="11"/>
      <c r="K336" s="11"/>
      <c r="L336" s="11"/>
    </row>
    <row r="337">
      <c r="A337" s="13" t="str">
        <f>IFERROR(__xludf.DUMMYFUNCTION("""COMPUTED_VALUE"""),"Shiny Ariados")</f>
        <v>Shiny Ariados</v>
      </c>
      <c r="B337" s="11" t="str">
        <f>IFERROR(__xludf.DUMMYFUNCTION("""COMPUTED_VALUE"""),"bug gosme")</f>
        <v>bug gosme</v>
      </c>
      <c r="C337" s="11" t="str">
        <f>IFERROR(__xludf.DUMMYFUNCTION("""COMPUTED_VALUE"""),"poisoned arachnid legs")</f>
        <v>poisoned arachnid legs</v>
      </c>
      <c r="D337" s="11" t="str">
        <f>IFERROR(__xludf.DUMMYFUNCTION("""COMPUTED_VALUE"""),"cocoon stone")</f>
        <v>cocoon stone</v>
      </c>
      <c r="E337" s="11" t="str">
        <f>IFERROR(__xludf.DUMMYFUNCTION("""COMPUTED_VALUE"""),"venom stone")</f>
        <v>venom stone</v>
      </c>
      <c r="F337" s="11" t="str">
        <f>IFERROR(__xludf.DUMMYFUNCTION("""COMPUTED_VALUE"""),"arcane bug orb")</f>
        <v>arcane bug orb</v>
      </c>
      <c r="G337" s="11"/>
      <c r="H337" s="11"/>
      <c r="I337" s="11"/>
      <c r="J337" s="11"/>
      <c r="K337" s="11"/>
      <c r="L337" s="11"/>
    </row>
    <row r="338">
      <c r="A338" s="13" t="str">
        <f>IFERROR(__xludf.DUMMYFUNCTION("""COMPUTED_VALUE"""),"Crobat")</f>
        <v>Crobat</v>
      </c>
      <c r="B338" s="11" t="str">
        <f>IFERROR(__xludf.DUMMYFUNCTION("""COMPUTED_VALUE"""),"bottle of poison")</f>
        <v>bottle of poison</v>
      </c>
      <c r="C338" s="11" t="str">
        <f>IFERROR(__xludf.DUMMYFUNCTION("""COMPUTED_VALUE"""),"straw")</f>
        <v>straw</v>
      </c>
      <c r="D338" s="11" t="str">
        <f>IFERROR(__xludf.DUMMYFUNCTION("""COMPUTED_VALUE"""),"giant bat wing")</f>
        <v>giant bat wing</v>
      </c>
      <c r="E338" s="11" t="str">
        <f>IFERROR(__xludf.DUMMYFUNCTION("""COMPUTED_VALUE"""),"venom stone")</f>
        <v>venom stone</v>
      </c>
      <c r="F338" s="11" t="str">
        <f>IFERROR(__xludf.DUMMYFUNCTION("""COMPUTED_VALUE"""),"feather stone")</f>
        <v>feather stone</v>
      </c>
      <c r="G338" s="11"/>
      <c r="H338" s="11"/>
      <c r="I338" s="11"/>
      <c r="J338" s="11"/>
      <c r="K338" s="11"/>
      <c r="L338" s="11"/>
    </row>
    <row r="339">
      <c r="A339" s="13" t="str">
        <f>IFERROR(__xludf.DUMMYFUNCTION("""COMPUTED_VALUE"""),"Shiny Crobat")</f>
        <v>Shiny Crobat</v>
      </c>
      <c r="B339" s="11" t="str">
        <f>IFERROR(__xludf.DUMMYFUNCTION("""COMPUTED_VALUE"""),"bottle of poison")</f>
        <v>bottle of poison</v>
      </c>
      <c r="C339" s="11" t="str">
        <f>IFERROR(__xludf.DUMMYFUNCTION("""COMPUTED_VALUE"""),"straw")</f>
        <v>straw</v>
      </c>
      <c r="D339" s="11" t="str">
        <f>IFERROR(__xludf.DUMMYFUNCTION("""COMPUTED_VALUE"""),"shiny bat wing")</f>
        <v>shiny bat wing</v>
      </c>
      <c r="E339" s="11" t="str">
        <f>IFERROR(__xludf.DUMMYFUNCTION("""COMPUTED_VALUE"""),"venom stone")</f>
        <v>venom stone</v>
      </c>
      <c r="F339" s="11" t="str">
        <f>IFERROR(__xludf.DUMMYFUNCTION("""COMPUTED_VALUE"""),"feather stone")</f>
        <v>feather stone</v>
      </c>
      <c r="G339" s="11" t="str">
        <f>IFERROR(__xludf.DUMMYFUNCTION("""COMPUTED_VALUE"""),"arcane poison orb")</f>
        <v>arcane poison orb</v>
      </c>
      <c r="H339" s="11"/>
      <c r="I339" s="11"/>
      <c r="J339" s="11"/>
      <c r="K339" s="11"/>
      <c r="L339" s="11"/>
    </row>
    <row r="340">
      <c r="A340" s="13" t="str">
        <f>IFERROR(__xludf.DUMMYFUNCTION("""COMPUTED_VALUE"""),"Chinchou")</f>
        <v>Chinchou</v>
      </c>
      <c r="B340" s="11" t="str">
        <f>IFERROR(__xludf.DUMMYFUNCTION("""COMPUTED_VALUE"""),"water gem")</f>
        <v>water gem</v>
      </c>
      <c r="C340" s="11" t="str">
        <f>IFERROR(__xludf.DUMMYFUNCTION("""COMPUTED_VALUE"""),"screw")</f>
        <v>screw</v>
      </c>
      <c r="D340" s="11" t="str">
        <f>IFERROR(__xludf.DUMMYFUNCTION("""COMPUTED_VALUE"""),"teardrop orb")</f>
        <v>teardrop orb</v>
      </c>
      <c r="E340" s="11"/>
      <c r="F340" s="11"/>
      <c r="G340" s="11"/>
      <c r="H340" s="11"/>
      <c r="I340" s="11"/>
      <c r="J340" s="11"/>
      <c r="K340" s="11"/>
      <c r="L340" s="11"/>
    </row>
    <row r="341">
      <c r="A341" s="13" t="str">
        <f>IFERROR(__xludf.DUMMYFUNCTION("""COMPUTED_VALUE"""),"Shiny Chinchou")</f>
        <v>Shiny Chinchou</v>
      </c>
      <c r="B341" s="11" t="str">
        <f>IFERROR(__xludf.DUMMYFUNCTION("""COMPUTED_VALUE"""),"water gem")</f>
        <v>water gem</v>
      </c>
      <c r="C341" s="11" t="str">
        <f>IFERROR(__xludf.DUMMYFUNCTION("""COMPUTED_VALUE"""),"screw")</f>
        <v>screw</v>
      </c>
      <c r="D341" s="11" t="str">
        <f>IFERROR(__xludf.DUMMYFUNCTION("""COMPUTED_VALUE"""),"brilliant teardrop orb")</f>
        <v>brilliant teardrop orb</v>
      </c>
      <c r="E341" s="11" t="str">
        <f>IFERROR(__xludf.DUMMYFUNCTION("""COMPUTED_VALUE"""),"water stone")</f>
        <v>water stone</v>
      </c>
      <c r="F341" s="11" t="str">
        <f>IFERROR(__xludf.DUMMYFUNCTION("""COMPUTED_VALUE"""),"thunder stone")</f>
        <v>thunder stone</v>
      </c>
      <c r="G341" s="11" t="str">
        <f>IFERROR(__xludf.DUMMYFUNCTION("""COMPUTED_VALUE"""),"simple electric orb")</f>
        <v>simple electric orb</v>
      </c>
      <c r="H341" s="11"/>
      <c r="I341" s="11"/>
      <c r="J341" s="11"/>
      <c r="K341" s="11"/>
      <c r="L341" s="11"/>
    </row>
    <row r="342">
      <c r="A342" s="13" t="str">
        <f>IFERROR(__xludf.DUMMYFUNCTION("""COMPUTED_VALUE"""),"Lanturn")</f>
        <v>Lanturn</v>
      </c>
      <c r="B342" s="11" t="str">
        <f>IFERROR(__xludf.DUMMYFUNCTION("""COMPUTED_VALUE"""),"water gem")</f>
        <v>water gem</v>
      </c>
      <c r="C342" s="11" t="str">
        <f>IFERROR(__xludf.DUMMYFUNCTION("""COMPUTED_VALUE"""),"screw")</f>
        <v>screw</v>
      </c>
      <c r="D342" s="11" t="str">
        <f>IFERROR(__xludf.DUMMYFUNCTION("""COMPUTED_VALUE"""),"electric fish tail")</f>
        <v>electric fish tail</v>
      </c>
      <c r="E342" s="11" t="str">
        <f>IFERROR(__xludf.DUMMYFUNCTION("""COMPUTED_VALUE"""),"water stone")</f>
        <v>water stone</v>
      </c>
      <c r="F342" s="11" t="str">
        <f>IFERROR(__xludf.DUMMYFUNCTION("""COMPUTED_VALUE"""),"thunder stone")</f>
        <v>thunder stone</v>
      </c>
      <c r="G342" s="11"/>
      <c r="H342" s="11"/>
      <c r="I342" s="11"/>
      <c r="J342" s="11"/>
      <c r="K342" s="11"/>
      <c r="L342" s="11"/>
    </row>
    <row r="343">
      <c r="A343" s="13" t="str">
        <f>IFERROR(__xludf.DUMMYFUNCTION("""COMPUTED_VALUE"""),"Shiny Lanturn")</f>
        <v>Shiny Lanturn</v>
      </c>
      <c r="B343" s="11" t="str">
        <f>IFERROR(__xludf.DUMMYFUNCTION("""COMPUTED_VALUE"""),"water gem")</f>
        <v>water gem</v>
      </c>
      <c r="C343" s="11" t="str">
        <f>IFERROR(__xludf.DUMMYFUNCTION("""COMPUTED_VALUE"""),"screw")</f>
        <v>screw</v>
      </c>
      <c r="D343" s="11" t="str">
        <f>IFERROR(__xludf.DUMMYFUNCTION("""COMPUTED_VALUE"""),"purple fish tail")</f>
        <v>purple fish tail</v>
      </c>
      <c r="E343" s="11" t="str">
        <f>IFERROR(__xludf.DUMMYFUNCTION("""COMPUTED_VALUE"""),"water stone")</f>
        <v>water stone</v>
      </c>
      <c r="F343" s="11" t="str">
        <f>IFERROR(__xludf.DUMMYFUNCTION("""COMPUTED_VALUE"""),"thunder stone")</f>
        <v>thunder stone</v>
      </c>
      <c r="G343" s="11" t="str">
        <f>IFERROR(__xludf.DUMMYFUNCTION("""COMPUTED_VALUE"""),"arcane electric orb")</f>
        <v>arcane electric orb</v>
      </c>
      <c r="H343" s="11"/>
      <c r="I343" s="11"/>
      <c r="J343" s="11"/>
      <c r="K343" s="11"/>
      <c r="L343" s="11"/>
    </row>
    <row r="344">
      <c r="A344" s="13" t="str">
        <f>IFERROR(__xludf.DUMMYFUNCTION("""COMPUTED_VALUE"""),"Pichu")</f>
        <v>Pichu</v>
      </c>
      <c r="B344" s="11" t="str">
        <f>IFERROR(__xludf.DUMMYFUNCTION("""COMPUTED_VALUE"""),"screw")</f>
        <v>screw</v>
      </c>
      <c r="C344" s="11" t="str">
        <f>IFERROR(__xludf.DUMMYFUNCTION("""COMPUTED_VALUE"""),"pichu ears")</f>
        <v>pichu ears</v>
      </c>
      <c r="D344" s="11"/>
      <c r="E344" s="11"/>
      <c r="F344" s="11"/>
      <c r="G344" s="11"/>
      <c r="H344" s="11"/>
      <c r="I344" s="11"/>
      <c r="J344" s="11"/>
      <c r="K344" s="11"/>
      <c r="L344" s="11"/>
    </row>
    <row r="345">
      <c r="A345" s="13" t="str">
        <f>IFERROR(__xludf.DUMMYFUNCTION("""COMPUTED_VALUE"""),"Shiny Pichu")</f>
        <v>Shiny Pichu</v>
      </c>
      <c r="B345" s="11" t="str">
        <f>IFERROR(__xludf.DUMMYFUNCTION("""COMPUTED_VALUE"""),"screw")</f>
        <v>screw</v>
      </c>
      <c r="C345" s="11" t="str">
        <f>IFERROR(__xludf.DUMMYFUNCTION("""COMPUTED_VALUE"""),"tanned ears")</f>
        <v>tanned ears</v>
      </c>
      <c r="D345" s="11" t="str">
        <f>IFERROR(__xludf.DUMMYFUNCTION("""COMPUTED_VALUE"""),"thunder stone")</f>
        <v>thunder stone</v>
      </c>
      <c r="E345" s="11" t="str">
        <f>IFERROR(__xludf.DUMMYFUNCTION("""COMPUTED_VALUE"""),"simple electric orb")</f>
        <v>simple electric orb</v>
      </c>
      <c r="F345" s="11"/>
      <c r="G345" s="11"/>
      <c r="H345" s="11"/>
      <c r="I345" s="11"/>
      <c r="J345" s="11"/>
      <c r="K345" s="11"/>
      <c r="L345" s="11"/>
    </row>
    <row r="346">
      <c r="A346" s="13" t="str">
        <f>IFERROR(__xludf.DUMMYFUNCTION("""COMPUTED_VALUE"""),"Cleffa")</f>
        <v>Cleffa</v>
      </c>
      <c r="B346" s="11" t="str">
        <f>IFERROR(__xludf.DUMMYFUNCTION("""COMPUTED_VALUE"""),"fairy essence")</f>
        <v>fairy essence</v>
      </c>
      <c r="C346" s="11" t="str">
        <f>IFERROR(__xludf.DUMMYFUNCTION("""COMPUTED_VALUE"""),"small pink ears")</f>
        <v>small pink ears</v>
      </c>
      <c r="D346" s="11"/>
      <c r="E346" s="11"/>
      <c r="F346" s="11"/>
      <c r="G346" s="11"/>
      <c r="H346" s="11"/>
      <c r="I346" s="11"/>
      <c r="J346" s="11"/>
      <c r="K346" s="11"/>
      <c r="L346" s="11"/>
    </row>
    <row r="347">
      <c r="A347" s="13" t="str">
        <f>IFERROR(__xludf.DUMMYFUNCTION("""COMPUTED_VALUE"""),"Shiny Cleffa")</f>
        <v>Shiny Cleffa</v>
      </c>
      <c r="B347" s="11" t="str">
        <f>IFERROR(__xludf.DUMMYFUNCTION("""COMPUTED_VALUE"""),"rubber ball")</f>
        <v>rubber ball</v>
      </c>
      <c r="C347" s="11" t="str">
        <f>IFERROR(__xludf.DUMMYFUNCTION("""COMPUTED_VALUE"""),"fairy essence")</f>
        <v>fairy essence</v>
      </c>
      <c r="D347" s="11" t="str">
        <f>IFERROR(__xludf.DUMMYFUNCTION("""COMPUTED_VALUE"""),"small blue ears")</f>
        <v>small blue ears</v>
      </c>
      <c r="E347" s="11" t="str">
        <f>IFERROR(__xludf.DUMMYFUNCTION("""COMPUTED_VALUE"""),"fairy stone")</f>
        <v>fairy stone</v>
      </c>
      <c r="F347" s="11" t="str">
        <f>IFERROR(__xludf.DUMMYFUNCTION("""COMPUTED_VALUE"""),"simple fairy orb")</f>
        <v>simple fairy orb</v>
      </c>
      <c r="G347" s="11"/>
      <c r="H347" s="11"/>
      <c r="I347" s="11"/>
      <c r="J347" s="11"/>
      <c r="K347" s="11"/>
      <c r="L347" s="11"/>
    </row>
    <row r="348">
      <c r="A348" s="13" t="str">
        <f>IFERROR(__xludf.DUMMYFUNCTION("""COMPUTED_VALUE"""),"Igglybuff")</f>
        <v>Igglybuff</v>
      </c>
      <c r="B348" s="11" t="str">
        <f>IFERROR(__xludf.DUMMYFUNCTION("""COMPUTED_VALUE"""),"rubber ball")</f>
        <v>rubber ball</v>
      </c>
      <c r="C348" s="11" t="str">
        <f>IFERROR(__xludf.DUMMYFUNCTION("""COMPUTED_VALUE"""),"small topknot")</f>
        <v>small topknot</v>
      </c>
      <c r="D348" s="11"/>
      <c r="E348" s="11"/>
      <c r="F348" s="11"/>
      <c r="G348" s="11"/>
      <c r="H348" s="11"/>
      <c r="I348" s="11"/>
      <c r="J348" s="11"/>
      <c r="K348" s="11"/>
      <c r="L348" s="11"/>
    </row>
    <row r="349">
      <c r="A349" s="13" t="str">
        <f>IFERROR(__xludf.DUMMYFUNCTION("""COMPUTED_VALUE"""),"Shiny Igglybuff")</f>
        <v>Shiny Igglybuff</v>
      </c>
      <c r="B349" s="11" t="str">
        <f>IFERROR(__xludf.DUMMYFUNCTION("""COMPUTED_VALUE"""),"rubber ball")</f>
        <v>rubber ball</v>
      </c>
      <c r="C349" s="11" t="str">
        <f>IFERROR(__xludf.DUMMYFUNCTION("""COMPUTED_VALUE"""),"fairy essence")</f>
        <v>fairy essence</v>
      </c>
      <c r="D349" s="5" t="str">
        <f>IFERROR(__xludf.DUMMYFUNCTION("""COMPUTED_VALUE"""),"magenta topknot")</f>
        <v>magenta topknot</v>
      </c>
      <c r="E349" s="11" t="str">
        <f>IFERROR(__xludf.DUMMYFUNCTION("""COMPUTED_VALUE"""),"heart stone")</f>
        <v>heart stone</v>
      </c>
      <c r="F349" s="11" t="str">
        <f>IFERROR(__xludf.DUMMYFUNCTION("""COMPUTED_VALUE"""),"simple normal orb")</f>
        <v>simple normal orb</v>
      </c>
      <c r="G349" s="11"/>
      <c r="H349" s="11"/>
      <c r="I349" s="11"/>
      <c r="J349" s="11"/>
      <c r="K349" s="11"/>
      <c r="L349" s="11"/>
    </row>
    <row r="350">
      <c r="A350" s="13" t="str">
        <f>IFERROR(__xludf.DUMMYFUNCTION("""COMPUTED_VALUE"""),"Togepi")</f>
        <v>Togepi</v>
      </c>
      <c r="B350" s="11" t="str">
        <f>IFERROR(__xludf.DUMMYFUNCTION("""COMPUTED_VALUE"""),"fairy essence")</f>
        <v>fairy essence</v>
      </c>
      <c r="C350" s="11" t="str">
        <f>IFERROR(__xludf.DUMMYFUNCTION("""COMPUTED_VALUE"""),"baby egg shell")</f>
        <v>baby egg shell</v>
      </c>
      <c r="D350" s="11"/>
      <c r="E350" s="11"/>
      <c r="F350" s="11"/>
      <c r="G350" s="11"/>
      <c r="H350" s="11"/>
      <c r="I350" s="11"/>
      <c r="J350" s="11"/>
      <c r="K350" s="11"/>
      <c r="L350" s="11"/>
    </row>
    <row r="351">
      <c r="A351" s="13" t="str">
        <f>IFERROR(__xludf.DUMMYFUNCTION("""COMPUTED_VALUE"""),"Shiny Togepi")</f>
        <v>Shiny Togepi</v>
      </c>
      <c r="B351" s="11" t="str">
        <f>IFERROR(__xludf.DUMMYFUNCTION("""COMPUTED_VALUE"""),"fairy essence")</f>
        <v>fairy essence</v>
      </c>
      <c r="C351" s="11" t="str">
        <f>IFERROR(__xludf.DUMMYFUNCTION("""COMPUTED_VALUE"""),"brilliant egg shell")</f>
        <v>brilliant egg shell</v>
      </c>
      <c r="D351" s="11" t="str">
        <f>IFERROR(__xludf.DUMMYFUNCTION("""COMPUTED_VALUE"""),"heart stone")</f>
        <v>heart stone</v>
      </c>
      <c r="E351" s="11" t="str">
        <f>IFERROR(__xludf.DUMMYFUNCTION("""COMPUTED_VALUE"""),"simple fairy orb")</f>
        <v>simple fairy orb</v>
      </c>
      <c r="F351" s="11"/>
      <c r="G351" s="11"/>
      <c r="H351" s="11"/>
      <c r="I351" s="11"/>
      <c r="J351" s="11"/>
      <c r="K351" s="11"/>
      <c r="L351" s="11"/>
    </row>
    <row r="352">
      <c r="A352" s="13" t="str">
        <f>IFERROR(__xludf.DUMMYFUNCTION("""COMPUTED_VALUE"""),"Togetic")</f>
        <v>Togetic</v>
      </c>
      <c r="B352" s="5" t="str">
        <f>IFERROR(__xludf.DUMMYFUNCTION("""COMPUTED_VALUE"""),"fairy essence")</f>
        <v>fairy essence</v>
      </c>
      <c r="C352" s="5" t="str">
        <f>IFERROR(__xludf.DUMMYFUNCTION("""COMPUTED_VALUE"""),"straw")</f>
        <v>straw</v>
      </c>
      <c r="D352" s="5" t="str">
        <f>IFERROR(__xludf.DUMMYFUNCTION("""COMPUTED_VALUE"""),"dainty wing")</f>
        <v>dainty wing</v>
      </c>
      <c r="E352" s="5" t="str">
        <f>IFERROR(__xludf.DUMMYFUNCTION("""COMPUTED_VALUE"""),"heart stone")</f>
        <v>heart stone</v>
      </c>
      <c r="F352" s="5" t="str">
        <f>IFERROR(__xludf.DUMMYFUNCTION("""COMPUTED_VALUE"""),"feather stone")</f>
        <v>feather stone</v>
      </c>
      <c r="G352" s="11"/>
      <c r="H352" s="11"/>
      <c r="I352" s="11"/>
      <c r="J352" s="11"/>
      <c r="K352" s="11"/>
      <c r="L352" s="11"/>
    </row>
    <row r="353">
      <c r="A353" s="13" t="str">
        <f>IFERROR(__xludf.DUMMYFUNCTION("""COMPUTED_VALUE"""),"Shiny Togetic")</f>
        <v>Shiny Togetic</v>
      </c>
      <c r="B353" s="5" t="str">
        <f>IFERROR(__xludf.DUMMYFUNCTION("""COMPUTED_VALUE"""),"fairy essence")</f>
        <v>fairy essence</v>
      </c>
      <c r="C353" s="5" t="str">
        <f>IFERROR(__xludf.DUMMYFUNCTION("""COMPUTED_VALUE"""),"straw")</f>
        <v>straw</v>
      </c>
      <c r="D353" s="5" t="str">
        <f>IFERROR(__xludf.DUMMYFUNCTION("""COMPUTED_VALUE"""),"pink dainty wing")</f>
        <v>pink dainty wing</v>
      </c>
      <c r="E353" s="5" t="str">
        <f>IFERROR(__xludf.DUMMYFUNCTION("""COMPUTED_VALUE"""),"heart stone")</f>
        <v>heart stone</v>
      </c>
      <c r="F353" s="5" t="str">
        <f>IFERROR(__xludf.DUMMYFUNCTION("""COMPUTED_VALUE"""),"feather stone")</f>
        <v>feather stone</v>
      </c>
      <c r="G353" s="5" t="str">
        <f>IFERROR(__xludf.DUMMYFUNCTION("""COMPUTED_VALUE"""),"arcane fairy orb")</f>
        <v>arcane fairy orb</v>
      </c>
      <c r="H353" s="11"/>
      <c r="I353" s="11"/>
      <c r="J353" s="11"/>
      <c r="K353" s="11"/>
      <c r="L353" s="11"/>
    </row>
    <row r="354">
      <c r="A354" s="13" t="str">
        <f>IFERROR(__xludf.DUMMYFUNCTION("""COMPUTED_VALUE"""),"Natu")</f>
        <v>Natu</v>
      </c>
      <c r="B354" s="11" t="str">
        <f>IFERROR(__xludf.DUMMYFUNCTION("""COMPUTED_VALUE"""),"enchanted gem")</f>
        <v>enchanted gem</v>
      </c>
      <c r="C354" s="11" t="str">
        <f>IFERROR(__xludf.DUMMYFUNCTION("""COMPUTED_VALUE"""),"straw")</f>
        <v>straw</v>
      </c>
      <c r="D354" s="11" t="str">
        <f>IFERROR(__xludf.DUMMYFUNCTION("""COMPUTED_VALUE"""),"natu wing")</f>
        <v>natu wing</v>
      </c>
      <c r="E354" s="11"/>
      <c r="F354" s="11"/>
      <c r="G354" s="11"/>
      <c r="H354" s="11"/>
      <c r="I354" s="11"/>
      <c r="J354" s="11"/>
      <c r="K354" s="11"/>
      <c r="L354" s="11"/>
    </row>
    <row r="355">
      <c r="A355" s="13" t="str">
        <f>IFERROR(__xludf.DUMMYFUNCTION("""COMPUTED_VALUE"""),"Shiny Natu")</f>
        <v>Shiny Natu</v>
      </c>
      <c r="B355" s="11" t="str">
        <f>IFERROR(__xludf.DUMMYFUNCTION("""COMPUTED_VALUE"""),"enchanted gem")</f>
        <v>enchanted gem</v>
      </c>
      <c r="C355" s="11" t="str">
        <f>IFERROR(__xludf.DUMMYFUNCTION("""COMPUTED_VALUE"""),"straw")</f>
        <v>straw</v>
      </c>
      <c r="D355" s="11" t="str">
        <f>IFERROR(__xludf.DUMMYFUNCTION("""COMPUTED_VALUE"""),"small psychic wing")</f>
        <v>small psychic wing</v>
      </c>
      <c r="E355" s="11" t="str">
        <f>IFERROR(__xludf.DUMMYFUNCTION("""COMPUTED_VALUE"""),"enigma stone")</f>
        <v>enigma stone</v>
      </c>
      <c r="F355" s="11" t="str">
        <f>IFERROR(__xludf.DUMMYFUNCTION("""COMPUTED_VALUE"""),"feather stone")</f>
        <v>feather stone</v>
      </c>
      <c r="G355" s="11" t="str">
        <f>IFERROR(__xludf.DUMMYFUNCTION("""COMPUTED_VALUE"""),"simple psychic orb")</f>
        <v>simple psychic orb</v>
      </c>
      <c r="H355" s="11"/>
      <c r="I355" s="11"/>
      <c r="J355" s="11"/>
      <c r="K355" s="11"/>
      <c r="L355" s="11"/>
    </row>
    <row r="356">
      <c r="A356" s="13" t="str">
        <f>IFERROR(__xludf.DUMMYFUNCTION("""COMPUTED_VALUE"""),"Xatu")</f>
        <v>Xatu</v>
      </c>
      <c r="B356" s="5" t="str">
        <f>IFERROR(__xludf.DUMMYFUNCTION("""COMPUTED_VALUE"""),"enchanted gem")</f>
        <v>enchanted gem</v>
      </c>
      <c r="C356" s="5" t="str">
        <f>IFERROR(__xludf.DUMMYFUNCTION("""COMPUTED_VALUE"""),"straw")</f>
        <v>straw</v>
      </c>
      <c r="D356" s="5" t="str">
        <f>IFERROR(__xludf.DUMMYFUNCTION("""COMPUTED_VALUE"""),"xatu wing")</f>
        <v>xatu wing</v>
      </c>
      <c r="E356" s="5" t="str">
        <f>IFERROR(__xludf.DUMMYFUNCTION("""COMPUTED_VALUE"""),"enigma stone")</f>
        <v>enigma stone</v>
      </c>
      <c r="F356" s="5" t="str">
        <f>IFERROR(__xludf.DUMMYFUNCTION("""COMPUTED_VALUE"""),"feather stone")</f>
        <v>feather stone</v>
      </c>
      <c r="G356" s="11"/>
      <c r="H356" s="11"/>
      <c r="I356" s="11"/>
      <c r="J356" s="11"/>
      <c r="K356" s="11"/>
      <c r="L356" s="11"/>
    </row>
    <row r="357">
      <c r="A357" s="13" t="str">
        <f>IFERROR(__xludf.DUMMYFUNCTION("""COMPUTED_VALUE"""),"Shiny Xatu")</f>
        <v>Shiny Xatu</v>
      </c>
      <c r="B357" s="5" t="str">
        <f>IFERROR(__xludf.DUMMYFUNCTION("""COMPUTED_VALUE"""),"enchanted gem")</f>
        <v>enchanted gem</v>
      </c>
      <c r="C357" s="5" t="str">
        <f>IFERROR(__xludf.DUMMYFUNCTION("""COMPUTED_VALUE"""),"straw")</f>
        <v>straw</v>
      </c>
      <c r="D357" s="5" t="str">
        <f>IFERROR(__xludf.DUMMYFUNCTION("""COMPUTED_VALUE"""),"psychic wings")</f>
        <v>psychic wings</v>
      </c>
      <c r="E357" s="5" t="str">
        <f>IFERROR(__xludf.DUMMYFUNCTION("""COMPUTED_VALUE"""),"enigma stone")</f>
        <v>enigma stone</v>
      </c>
      <c r="F357" s="5" t="str">
        <f>IFERROR(__xludf.DUMMYFUNCTION("""COMPUTED_VALUE"""),"feather stone")</f>
        <v>feather stone</v>
      </c>
      <c r="G357" s="5" t="str">
        <f>IFERROR(__xludf.DUMMYFUNCTION("""COMPUTED_VALUE"""),"arcane psychic orb")</f>
        <v>arcane psychic orb</v>
      </c>
      <c r="H357" s="5" t="str">
        <f>IFERROR(__xludf.DUMMYFUNCTION("""COMPUTED_VALUE"""),"mythic psychic orb")</f>
        <v>mythic psychic orb</v>
      </c>
      <c r="I357" s="11"/>
      <c r="J357" s="11"/>
      <c r="K357" s="11"/>
      <c r="L357" s="11"/>
    </row>
    <row r="358">
      <c r="A358" s="13" t="str">
        <f>IFERROR(__xludf.DUMMYFUNCTION("""COMPUTED_VALUE"""),"Mareep")</f>
        <v>Mareep</v>
      </c>
      <c r="B358" s="11" t="str">
        <f>IFERROR(__xludf.DUMMYFUNCTION("""COMPUTED_VALUE"""),"screw")</f>
        <v>screw</v>
      </c>
      <c r="C358" s="11" t="str">
        <f>IFERROR(__xludf.DUMMYFUNCTION("""COMPUTED_VALUE"""),"yellow sheep wool")</f>
        <v>yellow sheep wool</v>
      </c>
      <c r="D358" s="11"/>
      <c r="E358" s="11"/>
      <c r="F358" s="11"/>
      <c r="G358" s="11"/>
      <c r="H358" s="11"/>
      <c r="I358" s="11"/>
      <c r="J358" s="11"/>
      <c r="K358" s="11"/>
      <c r="L358" s="11"/>
    </row>
    <row r="359">
      <c r="A359" s="13" t="str">
        <f>IFERROR(__xludf.DUMMYFUNCTION("""COMPUTED_VALUE"""),"Shiny Mareep")</f>
        <v>Shiny Mareep</v>
      </c>
      <c r="B359" s="11" t="str">
        <f>IFERROR(__xludf.DUMMYFUNCTION("""COMPUTED_VALUE"""),"screw")</f>
        <v>screw</v>
      </c>
      <c r="C359" s="11" t="str">
        <f>IFERROR(__xludf.DUMMYFUNCTION("""COMPUTED_VALUE"""),"white sheep wool")</f>
        <v>white sheep wool</v>
      </c>
      <c r="D359" s="11" t="str">
        <f>IFERROR(__xludf.DUMMYFUNCTION("""COMPUTED_VALUE"""),"thunder stone")</f>
        <v>thunder stone</v>
      </c>
      <c r="E359" s="11" t="str">
        <f>IFERROR(__xludf.DUMMYFUNCTION("""COMPUTED_VALUE"""),"simple electric orb")</f>
        <v>simple electric orb</v>
      </c>
      <c r="F359" s="11"/>
      <c r="G359" s="11"/>
      <c r="H359" s="11"/>
      <c r="I359" s="11"/>
      <c r="J359" s="11"/>
      <c r="K359" s="11"/>
      <c r="L359" s="11"/>
    </row>
    <row r="360">
      <c r="A360" s="13" t="str">
        <f>IFERROR(__xludf.DUMMYFUNCTION("""COMPUTED_VALUE"""),"Flaaffy")</f>
        <v>Flaaffy</v>
      </c>
      <c r="B360" s="11" t="str">
        <f>IFERROR(__xludf.DUMMYFUNCTION("""COMPUTED_VALUE"""),"screw")</f>
        <v>screw</v>
      </c>
      <c r="C360" s="11" t="str">
        <f>IFERROR(__xludf.DUMMYFUNCTION("""COMPUTED_VALUE"""),"soft wool")</f>
        <v>soft wool</v>
      </c>
      <c r="D360" s="11" t="str">
        <f>IFERROR(__xludf.DUMMYFUNCTION("""COMPUTED_VALUE"""),"thunder stone")</f>
        <v>thunder stone</v>
      </c>
      <c r="E360" s="11"/>
      <c r="F360" s="11"/>
      <c r="G360" s="11"/>
      <c r="H360" s="11"/>
      <c r="I360" s="11"/>
      <c r="J360" s="11"/>
      <c r="K360" s="11"/>
      <c r="L360" s="11"/>
    </row>
    <row r="361">
      <c r="A361" s="13" t="str">
        <f>IFERROR(__xludf.DUMMYFUNCTION("""COMPUTED_VALUE"""),"Shiny Flaaffy")</f>
        <v>Shiny Flaaffy</v>
      </c>
      <c r="B361" s="11" t="str">
        <f>IFERROR(__xludf.DUMMYFUNCTION("""COMPUTED_VALUE"""),"screw")</f>
        <v>screw</v>
      </c>
      <c r="C361" s="11" t="str">
        <f>IFERROR(__xludf.DUMMYFUNCTION("""COMPUTED_VALUE"""),"electric soft wool")</f>
        <v>electric soft wool</v>
      </c>
      <c r="D361" s="11" t="str">
        <f>IFERROR(__xludf.DUMMYFUNCTION("""COMPUTED_VALUE"""),"thunder stone")</f>
        <v>thunder stone</v>
      </c>
      <c r="E361" s="11" t="str">
        <f>IFERROR(__xludf.DUMMYFUNCTION("""COMPUTED_VALUE"""),"arcane electric orb")</f>
        <v>arcane electric orb</v>
      </c>
      <c r="F361" s="11"/>
      <c r="G361" s="11"/>
      <c r="H361" s="11"/>
      <c r="I361" s="11"/>
      <c r="J361" s="11"/>
      <c r="K361" s="11"/>
      <c r="L361" s="11"/>
    </row>
    <row r="362">
      <c r="A362" s="13" t="str">
        <f>IFERROR(__xludf.DUMMYFUNCTION("""COMPUTED_VALUE"""),"Ampharos")</f>
        <v>Ampharos</v>
      </c>
      <c r="B362" s="11" t="str">
        <f>IFERROR(__xludf.DUMMYFUNCTION("""COMPUTED_VALUE"""),"screw")</f>
        <v>screw</v>
      </c>
      <c r="C362" s="11" t="str">
        <f>IFERROR(__xludf.DUMMYFUNCTION("""COMPUTED_VALUE"""),"electric sheep tail")</f>
        <v>electric sheep tail</v>
      </c>
      <c r="D362" s="11" t="str">
        <f>IFERROR(__xludf.DUMMYFUNCTION("""COMPUTED_VALUE"""),"thunder stone")</f>
        <v>thunder stone</v>
      </c>
      <c r="E362" s="11"/>
      <c r="F362" s="11"/>
      <c r="G362" s="11"/>
      <c r="H362" s="11"/>
      <c r="I362" s="11"/>
      <c r="J362" s="11"/>
      <c r="K362" s="11"/>
      <c r="L362" s="11"/>
    </row>
    <row r="363">
      <c r="A363" s="13" t="str">
        <f>IFERROR(__xludf.DUMMYFUNCTION("""COMPUTED_VALUE"""),"Shiny Ampharos")</f>
        <v>Shiny Ampharos</v>
      </c>
      <c r="B363" s="11" t="str">
        <f>IFERROR(__xludf.DUMMYFUNCTION("""COMPUTED_VALUE"""),"screw")</f>
        <v>screw</v>
      </c>
      <c r="C363" s="11" t="str">
        <f>IFERROR(__xludf.DUMMYFUNCTION("""COMPUTED_VALUE"""),"green sheep tail")</f>
        <v>green sheep tail</v>
      </c>
      <c r="D363" s="11" t="str">
        <f>IFERROR(__xludf.DUMMYFUNCTION("""COMPUTED_VALUE"""),"thunder stone")</f>
        <v>thunder stone</v>
      </c>
      <c r="E363" s="11" t="str">
        <f>IFERROR(__xludf.DUMMYFUNCTION("""COMPUTED_VALUE"""),"mythic electric orb")</f>
        <v>mythic electric orb</v>
      </c>
      <c r="F363" s="11"/>
      <c r="G363" s="11"/>
      <c r="H363" s="11"/>
      <c r="I363" s="11"/>
      <c r="J363" s="11"/>
      <c r="K363" s="11"/>
      <c r="L363" s="11"/>
    </row>
    <row r="364">
      <c r="A364" s="13" t="str">
        <f>IFERROR(__xludf.DUMMYFUNCTION("""COMPUTED_VALUE"""),"Bellossom")</f>
        <v>Bellossom</v>
      </c>
      <c r="B364" s="11" t="str">
        <f>IFERROR(__xludf.DUMMYFUNCTION("""COMPUTED_VALUE"""),"seed")</f>
        <v>seed</v>
      </c>
      <c r="C364" s="11" t="str">
        <f>IFERROR(__xludf.DUMMYFUNCTION("""COMPUTED_VALUE"""),"small red flower")</f>
        <v>small red flower</v>
      </c>
      <c r="D364" s="11" t="str">
        <f>IFERROR(__xludf.DUMMYFUNCTION("""COMPUTED_VALUE"""),"leaf stone")</f>
        <v>leaf stone</v>
      </c>
      <c r="E364" s="11" t="str">
        <f>IFERROR(__xludf.DUMMYFUNCTION("""COMPUTED_VALUE"""),"sun stone")</f>
        <v>sun stone</v>
      </c>
      <c r="F364" s="11"/>
      <c r="G364" s="11"/>
      <c r="H364" s="11"/>
      <c r="I364" s="11"/>
      <c r="J364" s="11"/>
      <c r="K364" s="11"/>
      <c r="L364" s="11"/>
    </row>
    <row r="365">
      <c r="A365" s="13" t="str">
        <f>IFERROR(__xludf.DUMMYFUNCTION("""COMPUTED_VALUE"""),"Shiny Bellossom")</f>
        <v>Shiny Bellossom</v>
      </c>
      <c r="B365" s="11" t="str">
        <f>IFERROR(__xludf.DUMMYFUNCTION("""COMPUTED_VALUE"""),"seed")</f>
        <v>seed</v>
      </c>
      <c r="C365" s="11" t="str">
        <f>IFERROR(__xludf.DUMMYFUNCTION("""COMPUTED_VALUE"""),"small purple flower")</f>
        <v>small purple flower</v>
      </c>
      <c r="D365" s="11" t="str">
        <f>IFERROR(__xludf.DUMMYFUNCTION("""COMPUTED_VALUE"""),"leaf stone")</f>
        <v>leaf stone</v>
      </c>
      <c r="E365" s="11" t="str">
        <f>IFERROR(__xludf.DUMMYFUNCTION("""COMPUTED_VALUE"""),"sun stone")</f>
        <v>sun stone</v>
      </c>
      <c r="F365" s="11" t="str">
        <f>IFERROR(__xludf.DUMMYFUNCTION("""COMPUTED_VALUE"""),"arcane grass orb")</f>
        <v>arcane grass orb</v>
      </c>
      <c r="G365" s="11"/>
      <c r="H365" s="11"/>
      <c r="I365" s="11"/>
      <c r="J365" s="11"/>
      <c r="K365" s="11"/>
      <c r="L365" s="11"/>
    </row>
    <row r="366">
      <c r="A366" s="13" t="str">
        <f>IFERROR(__xludf.DUMMYFUNCTION("""COMPUTED_VALUE"""),"Marill")</f>
        <v>Marill</v>
      </c>
      <c r="B366" s="11" t="str">
        <f>IFERROR(__xludf.DUMMYFUNCTION("""COMPUTED_VALUE"""),"water gem")</f>
        <v>water gem</v>
      </c>
      <c r="C366" s="11" t="str">
        <f>IFERROR(__xludf.DUMMYFUNCTION("""COMPUTED_VALUE"""),"fairy essence")</f>
        <v>fairy essence</v>
      </c>
      <c r="D366" s="11" t="str">
        <f>IFERROR(__xludf.DUMMYFUNCTION("""COMPUTED_VALUE"""),"aquatic tail")</f>
        <v>aquatic tail</v>
      </c>
      <c r="E366" s="11"/>
      <c r="F366" s="11"/>
      <c r="G366" s="11"/>
      <c r="H366" s="11"/>
      <c r="I366" s="11"/>
      <c r="J366" s="11"/>
      <c r="K366" s="11"/>
      <c r="L366" s="11"/>
    </row>
    <row r="367">
      <c r="A367" s="13" t="str">
        <f>IFERROR(__xludf.DUMMYFUNCTION("""COMPUTED_VALUE"""),"Shiny Marill")</f>
        <v>Shiny Marill</v>
      </c>
      <c r="B367" s="11" t="str">
        <f>IFERROR(__xludf.DUMMYFUNCTION("""COMPUTED_VALUE"""),"water gem")</f>
        <v>water gem</v>
      </c>
      <c r="C367" s="11" t="str">
        <f>IFERROR(__xludf.DUMMYFUNCTION("""COMPUTED_VALUE"""),"fairy essence")</f>
        <v>fairy essence</v>
      </c>
      <c r="D367" s="11" t="str">
        <f>IFERROR(__xludf.DUMMYFUNCTION("""COMPUTED_VALUE"""),"yellow aquatic tail")</f>
        <v>yellow aquatic tail</v>
      </c>
      <c r="E367" s="11" t="str">
        <f>IFERROR(__xludf.DUMMYFUNCTION("""COMPUTED_VALUE"""),"water stone")</f>
        <v>water stone</v>
      </c>
      <c r="F367" s="11" t="str">
        <f>IFERROR(__xludf.DUMMYFUNCTION("""COMPUTED_VALUE"""),"heart stone")</f>
        <v>heart stone</v>
      </c>
      <c r="G367" s="11" t="str">
        <f>IFERROR(__xludf.DUMMYFUNCTION("""COMPUTED_VALUE"""),"simple fairy orb")</f>
        <v>simple fairy orb</v>
      </c>
      <c r="H367" s="11"/>
      <c r="I367" s="11"/>
      <c r="J367" s="11"/>
      <c r="K367" s="11"/>
      <c r="L367" s="11"/>
    </row>
    <row r="368">
      <c r="A368" s="13" t="str">
        <f>IFERROR(__xludf.DUMMYFUNCTION("""COMPUTED_VALUE"""),"Azumarill")</f>
        <v>Azumarill</v>
      </c>
      <c r="B368" s="11" t="str">
        <f>IFERROR(__xludf.DUMMYFUNCTION("""COMPUTED_VALUE"""),"water gem")</f>
        <v>water gem</v>
      </c>
      <c r="C368" s="11" t="str">
        <f>IFERROR(__xludf.DUMMYFUNCTION("""COMPUTED_VALUE"""),"fairy essence")</f>
        <v>fairy essence</v>
      </c>
      <c r="D368" s="11" t="str">
        <f>IFERROR(__xludf.DUMMYFUNCTION("""COMPUTED_VALUE"""),"cute ears")</f>
        <v>cute ears</v>
      </c>
      <c r="E368" s="11" t="str">
        <f>IFERROR(__xludf.DUMMYFUNCTION("""COMPUTED_VALUE"""),"water stone")</f>
        <v>water stone</v>
      </c>
      <c r="F368" s="11" t="str">
        <f>IFERROR(__xludf.DUMMYFUNCTION("""COMPUTED_VALUE"""),"heart stone")</f>
        <v>heart stone</v>
      </c>
      <c r="G368" s="11"/>
      <c r="H368" s="11"/>
      <c r="I368" s="11"/>
      <c r="J368" s="11"/>
      <c r="K368" s="11"/>
      <c r="L368" s="11"/>
    </row>
    <row r="369">
      <c r="A369" s="13" t="str">
        <f>IFERROR(__xludf.DUMMYFUNCTION("""COMPUTED_VALUE"""),"Shiny Azumarill")</f>
        <v>Shiny Azumarill</v>
      </c>
      <c r="B369" s="11" t="str">
        <f>IFERROR(__xludf.DUMMYFUNCTION("""COMPUTED_VALUE"""),"water gem")</f>
        <v>water gem</v>
      </c>
      <c r="C369" s="11" t="str">
        <f>IFERROR(__xludf.DUMMYFUNCTION("""COMPUTED_VALUE"""),"fairy essence")</f>
        <v>fairy essence</v>
      </c>
      <c r="D369" s="11" t="str">
        <f>IFERROR(__xludf.DUMMYFUNCTION("""COMPUTED_VALUE"""),"yellow cute ears")</f>
        <v>yellow cute ears</v>
      </c>
      <c r="E369" s="11" t="str">
        <f>IFERROR(__xludf.DUMMYFUNCTION("""COMPUTED_VALUE"""),"water stone")</f>
        <v>water stone</v>
      </c>
      <c r="F369" s="11" t="str">
        <f>IFERROR(__xludf.DUMMYFUNCTION("""COMPUTED_VALUE"""),"heart stone")</f>
        <v>heart stone</v>
      </c>
      <c r="G369" s="11" t="str">
        <f>IFERROR(__xludf.DUMMYFUNCTION("""COMPUTED_VALUE"""),"arcane fairy orb")</f>
        <v>arcane fairy orb</v>
      </c>
      <c r="H369" s="11"/>
      <c r="I369" s="11"/>
      <c r="J369" s="11"/>
      <c r="K369" s="11"/>
      <c r="L369" s="11"/>
    </row>
    <row r="370">
      <c r="A370" s="13" t="str">
        <f>IFERROR(__xludf.DUMMYFUNCTION("""COMPUTED_VALUE"""),"Sudowoodo")</f>
        <v>Sudowoodo</v>
      </c>
      <c r="B370" s="5" t="str">
        <f>IFERROR(__xludf.DUMMYFUNCTION("""COMPUTED_VALUE"""),"small stone")</f>
        <v>small stone</v>
      </c>
      <c r="C370" s="5" t="str">
        <f>IFERROR(__xludf.DUMMYFUNCTION("""COMPUTED_VALUE"""),"branch of stones")</f>
        <v>branch of stones</v>
      </c>
      <c r="D370" s="5" t="str">
        <f>IFERROR(__xludf.DUMMYFUNCTION("""COMPUTED_VALUE"""),"rock stone")</f>
        <v>rock stone</v>
      </c>
      <c r="E370" s="11"/>
      <c r="F370" s="11"/>
      <c r="G370" s="11"/>
      <c r="H370" s="11"/>
      <c r="I370" s="11"/>
      <c r="J370" s="11"/>
      <c r="K370" s="11"/>
      <c r="L370" s="11"/>
    </row>
    <row r="371">
      <c r="A371" s="13" t="str">
        <f>IFERROR(__xludf.DUMMYFUNCTION("""COMPUTED_VALUE"""),"Shiny Sudowoodo")</f>
        <v>Shiny Sudowoodo</v>
      </c>
      <c r="B371" s="5" t="str">
        <f>IFERROR(__xludf.DUMMYFUNCTION("""COMPUTED_VALUE"""),"small stone")</f>
        <v>small stone</v>
      </c>
      <c r="C371" s="5" t="str">
        <f>IFERROR(__xludf.DUMMYFUNCTION("""COMPUTED_VALUE"""),"golden nuggets")</f>
        <v>golden nuggets</v>
      </c>
      <c r="D371" s="5" t="str">
        <f>IFERROR(__xludf.DUMMYFUNCTION("""COMPUTED_VALUE"""),"rock stone")</f>
        <v>rock stone</v>
      </c>
      <c r="E371" s="5" t="str">
        <f>IFERROR(__xludf.DUMMYFUNCTION("""COMPUTED_VALUE"""),"mythic rock orb")</f>
        <v>mythic rock orb</v>
      </c>
      <c r="F371" s="11"/>
      <c r="G371" s="11"/>
      <c r="H371" s="11"/>
      <c r="I371" s="11"/>
      <c r="J371" s="11"/>
      <c r="K371" s="11"/>
      <c r="L371" s="11"/>
    </row>
    <row r="372">
      <c r="A372" s="13" t="str">
        <f>IFERROR(__xludf.DUMMYFUNCTION("""COMPUTED_VALUE"""),"Politoed")</f>
        <v>Politoed</v>
      </c>
      <c r="B372" s="11" t="str">
        <f>IFERROR(__xludf.DUMMYFUNCTION("""COMPUTED_VALUE"""),"water gem")</f>
        <v>water gem</v>
      </c>
      <c r="C372" s="11" t="str">
        <f>IFERROR(__xludf.DUMMYFUNCTION("""COMPUTED_VALUE"""),"frog topknot")</f>
        <v>frog topknot</v>
      </c>
      <c r="D372" s="11" t="str">
        <f>IFERROR(__xludf.DUMMYFUNCTION("""COMPUTED_VALUE"""),"water stone")</f>
        <v>water stone</v>
      </c>
      <c r="E372" s="11" t="str">
        <f>IFERROR(__xludf.DUMMYFUNCTION("""COMPUTED_VALUE"""),"king's rock")</f>
        <v>king's rock</v>
      </c>
      <c r="F372" s="11"/>
      <c r="G372" s="11"/>
      <c r="H372" s="11"/>
      <c r="I372" s="11"/>
      <c r="J372" s="11"/>
      <c r="K372" s="11"/>
      <c r="L372" s="11"/>
    </row>
    <row r="373">
      <c r="A373" s="13" t="str">
        <f>IFERROR(__xludf.DUMMYFUNCTION("""COMPUTED_VALUE"""),"Shiny Politoed")</f>
        <v>Shiny Politoed</v>
      </c>
      <c r="B373" s="11" t="str">
        <f>IFERROR(__xludf.DUMMYFUNCTION("""COMPUTED_VALUE"""),"water gem")</f>
        <v>water gem</v>
      </c>
      <c r="C373" s="11" t="str">
        <f>IFERROR(__xludf.DUMMYFUNCTION("""COMPUTED_VALUE"""),"cyan frog topknot")</f>
        <v>cyan frog topknot</v>
      </c>
      <c r="D373" s="11" t="str">
        <f>IFERROR(__xludf.DUMMYFUNCTION("""COMPUTED_VALUE"""),"water stone")</f>
        <v>water stone</v>
      </c>
      <c r="E373" s="11" t="str">
        <f>IFERROR(__xludf.DUMMYFUNCTION("""COMPUTED_VALUE"""),"mythic water orb")</f>
        <v>mythic water orb</v>
      </c>
      <c r="F373" s="11" t="str">
        <f>IFERROR(__xludf.DUMMYFUNCTION("""COMPUTED_VALUE"""),"king's rock")</f>
        <v>king's rock</v>
      </c>
      <c r="G373" s="11"/>
      <c r="H373" s="11"/>
      <c r="I373" s="11"/>
      <c r="J373" s="11"/>
      <c r="K373" s="11"/>
      <c r="L373" s="11"/>
    </row>
    <row r="374">
      <c r="A374" s="13" t="str">
        <f>IFERROR(__xludf.DUMMYFUNCTION("""COMPUTED_VALUE"""),"Hoppip")</f>
        <v>Hoppip</v>
      </c>
      <c r="B374" s="11" t="str">
        <f>IFERROR(__xludf.DUMMYFUNCTION("""COMPUTED_VALUE"""),"seed")</f>
        <v>seed</v>
      </c>
      <c r="C374" s="11" t="str">
        <f>IFERROR(__xludf.DUMMYFUNCTION("""COMPUTED_VALUE"""),"straw")</f>
        <v>straw</v>
      </c>
      <c r="D374" s="11" t="str">
        <f>IFERROR(__xludf.DUMMYFUNCTION("""COMPUTED_VALUE"""),"pointy leaf")</f>
        <v>pointy leaf</v>
      </c>
      <c r="E374" s="11"/>
      <c r="F374" s="11"/>
      <c r="G374" s="11"/>
      <c r="H374" s="11"/>
      <c r="I374" s="11"/>
      <c r="J374" s="11"/>
      <c r="K374" s="11"/>
      <c r="L374" s="11"/>
    </row>
    <row r="375">
      <c r="A375" s="13" t="str">
        <f>IFERROR(__xludf.DUMMYFUNCTION("""COMPUTED_VALUE"""),"Shiny Hoppip")</f>
        <v>Shiny Hoppip</v>
      </c>
      <c r="B375" s="11" t="str">
        <f>IFERROR(__xludf.DUMMYFUNCTION("""COMPUTED_VALUE"""),"seed")</f>
        <v>seed</v>
      </c>
      <c r="C375" s="11" t="str">
        <f>IFERROR(__xludf.DUMMYFUNCTION("""COMPUTED_VALUE"""),"straw")</f>
        <v>straw</v>
      </c>
      <c r="D375" s="11" t="str">
        <f>IFERROR(__xludf.DUMMYFUNCTION("""COMPUTED_VALUE"""),"cyan pointy leaf")</f>
        <v>cyan pointy leaf</v>
      </c>
      <c r="E375" s="11" t="str">
        <f>IFERROR(__xludf.DUMMYFUNCTION("""COMPUTED_VALUE"""),"leaf stone")</f>
        <v>leaf stone</v>
      </c>
      <c r="F375" s="11" t="str">
        <f>IFERROR(__xludf.DUMMYFUNCTION("""COMPUTED_VALUE"""),"feather stone")</f>
        <v>feather stone</v>
      </c>
      <c r="G375" s="11" t="str">
        <f>IFERROR(__xludf.DUMMYFUNCTION("""COMPUTED_VALUE"""),"simple grass orb")</f>
        <v>simple grass orb</v>
      </c>
      <c r="H375" s="11"/>
      <c r="I375" s="11"/>
      <c r="J375" s="11"/>
      <c r="K375" s="11"/>
      <c r="L375" s="11"/>
    </row>
    <row r="376">
      <c r="A376" s="13" t="str">
        <f>IFERROR(__xludf.DUMMYFUNCTION("""COMPUTED_VALUE"""),"Skiploom")</f>
        <v>Skiploom</v>
      </c>
      <c r="B376" s="11" t="str">
        <f>IFERROR(__xludf.DUMMYFUNCTION("""COMPUTED_VALUE"""),"seed")</f>
        <v>seed</v>
      </c>
      <c r="C376" s="11" t="str">
        <f>IFERROR(__xludf.DUMMYFUNCTION("""COMPUTED_VALUE"""),"straw")</f>
        <v>straw</v>
      </c>
      <c r="D376" s="11" t="str">
        <f>IFERROR(__xludf.DUMMYFUNCTION("""COMPUTED_VALUE"""),"yellow flower")</f>
        <v>yellow flower</v>
      </c>
      <c r="E376" s="11" t="str">
        <f>IFERROR(__xludf.DUMMYFUNCTION("""COMPUTED_VALUE"""),"leaf stone")</f>
        <v>leaf stone</v>
      </c>
      <c r="F376" s="11" t="str">
        <f>IFERROR(__xludf.DUMMYFUNCTION("""COMPUTED_VALUE"""),"feather stone")</f>
        <v>feather stone</v>
      </c>
      <c r="G376" s="11"/>
      <c r="H376" s="11"/>
      <c r="I376" s="11"/>
      <c r="J376" s="11"/>
      <c r="K376" s="11"/>
      <c r="L376" s="11"/>
    </row>
    <row r="377">
      <c r="A377" s="13" t="str">
        <f>IFERROR(__xludf.DUMMYFUNCTION("""COMPUTED_VALUE"""),"Shiny Skiploom")</f>
        <v>Shiny Skiploom</v>
      </c>
      <c r="B377" s="11" t="str">
        <f>IFERROR(__xludf.DUMMYFUNCTION("""COMPUTED_VALUE"""),"seed")</f>
        <v>seed</v>
      </c>
      <c r="C377" s="11" t="str">
        <f>IFERROR(__xludf.DUMMYFUNCTION("""COMPUTED_VALUE"""),"straw")</f>
        <v>straw</v>
      </c>
      <c r="D377" s="11" t="str">
        <f>IFERROR(__xludf.DUMMYFUNCTION("""COMPUTED_VALUE"""),"green flower")</f>
        <v>green flower</v>
      </c>
      <c r="E377" s="11" t="str">
        <f>IFERROR(__xludf.DUMMYFUNCTION("""COMPUTED_VALUE"""),"leaf stone")</f>
        <v>leaf stone</v>
      </c>
      <c r="F377" s="11" t="str">
        <f>IFERROR(__xludf.DUMMYFUNCTION("""COMPUTED_VALUE"""),"feather stone")</f>
        <v>feather stone</v>
      </c>
      <c r="G377" s="11" t="str">
        <f>IFERROR(__xludf.DUMMYFUNCTION("""COMPUTED_VALUE"""),"arcane grass orb")</f>
        <v>arcane grass orb</v>
      </c>
      <c r="H377" s="11"/>
      <c r="I377" s="11"/>
      <c r="J377" s="11"/>
      <c r="K377" s="11"/>
      <c r="L377" s="11"/>
    </row>
    <row r="378">
      <c r="A378" s="13" t="str">
        <f>IFERROR(__xludf.DUMMYFUNCTION("""COMPUTED_VALUE"""),"Jumpluff")</f>
        <v>Jumpluff</v>
      </c>
      <c r="B378" s="11" t="str">
        <f>IFERROR(__xludf.DUMMYFUNCTION("""COMPUTED_VALUE"""),"seed")</f>
        <v>seed</v>
      </c>
      <c r="C378" s="11" t="str">
        <f>IFERROR(__xludf.DUMMYFUNCTION("""COMPUTED_VALUE"""),"straw")</f>
        <v>straw</v>
      </c>
      <c r="D378" s="11" t="str">
        <f>IFERROR(__xludf.DUMMYFUNCTION("""COMPUTED_VALUE"""),"dandelion")</f>
        <v>dandelion</v>
      </c>
      <c r="E378" s="11" t="str">
        <f>IFERROR(__xludf.DUMMYFUNCTION("""COMPUTED_VALUE"""),"leaf stone")</f>
        <v>leaf stone</v>
      </c>
      <c r="F378" s="11" t="str">
        <f>IFERROR(__xludf.DUMMYFUNCTION("""COMPUTED_VALUE"""),"feather stone")</f>
        <v>feather stone</v>
      </c>
      <c r="G378" s="11"/>
      <c r="H378" s="11"/>
      <c r="I378" s="11"/>
      <c r="J378" s="11"/>
      <c r="K378" s="11"/>
      <c r="L378" s="11"/>
    </row>
    <row r="379">
      <c r="A379" s="13" t="str">
        <f>IFERROR(__xludf.DUMMYFUNCTION("""COMPUTED_VALUE"""),"Shiny Jumpluff")</f>
        <v>Shiny Jumpluff</v>
      </c>
      <c r="B379" s="11" t="str">
        <f>IFERROR(__xludf.DUMMYFUNCTION("""COMPUTED_VALUE"""),"seed")</f>
        <v>seed</v>
      </c>
      <c r="C379" s="11" t="str">
        <f>IFERROR(__xludf.DUMMYFUNCTION("""COMPUTED_VALUE"""),"straw")</f>
        <v>straw</v>
      </c>
      <c r="D379" s="11" t="str">
        <f>IFERROR(__xludf.DUMMYFUNCTION("""COMPUTED_VALUE"""),"white dandelion")</f>
        <v>white dandelion</v>
      </c>
      <c r="E379" s="11" t="str">
        <f>IFERROR(__xludf.DUMMYFUNCTION("""COMPUTED_VALUE"""),"leaf stone")</f>
        <v>leaf stone</v>
      </c>
      <c r="F379" s="11" t="str">
        <f>IFERROR(__xludf.DUMMYFUNCTION("""COMPUTED_VALUE"""),"feather stone")</f>
        <v>feather stone</v>
      </c>
      <c r="G379" s="11" t="str">
        <f>IFERROR(__xludf.DUMMYFUNCTION("""COMPUTED_VALUE"""),"arcane grass orb")</f>
        <v>arcane grass orb</v>
      </c>
      <c r="H379" s="11"/>
      <c r="I379" s="11"/>
      <c r="J379" s="11"/>
      <c r="K379" s="11"/>
      <c r="L379" s="11"/>
    </row>
    <row r="380">
      <c r="A380" s="13" t="str">
        <f>IFERROR(__xludf.DUMMYFUNCTION("""COMPUTED_VALUE"""),"Aipom")</f>
        <v>Aipom</v>
      </c>
      <c r="B380" s="11" t="str">
        <f>IFERROR(__xludf.DUMMYFUNCTION("""COMPUTED_VALUE"""),"rubber ball")</f>
        <v>rubber ball</v>
      </c>
      <c r="C380" s="11" t="str">
        <f>IFERROR(__xludf.DUMMYFUNCTION("""COMPUTED_VALUE"""),"aipom paw")</f>
        <v>aipom paw</v>
      </c>
      <c r="D380" s="11" t="str">
        <f>IFERROR(__xludf.DUMMYFUNCTION("""COMPUTED_VALUE"""),"heart stone")</f>
        <v>heart stone</v>
      </c>
      <c r="E380" s="11"/>
      <c r="F380" s="11"/>
      <c r="G380" s="11"/>
      <c r="H380" s="11"/>
      <c r="I380" s="11"/>
      <c r="J380" s="11"/>
      <c r="K380" s="11"/>
      <c r="L380" s="11"/>
    </row>
    <row r="381">
      <c r="A381" s="13" t="str">
        <f>IFERROR(__xludf.DUMMYFUNCTION("""COMPUTED_VALUE"""),"Shiny Aipom")</f>
        <v>Shiny Aipom</v>
      </c>
      <c r="B381" s="11" t="str">
        <f>IFERROR(__xludf.DUMMYFUNCTION("""COMPUTED_VALUE"""),"rubber ball")</f>
        <v>rubber ball</v>
      </c>
      <c r="C381" s="11" t="str">
        <f>IFERROR(__xludf.DUMMYFUNCTION("""COMPUTED_VALUE"""),"blue aipom paw")</f>
        <v>blue aipom paw</v>
      </c>
      <c r="D381" s="11" t="str">
        <f>IFERROR(__xludf.DUMMYFUNCTION("""COMPUTED_VALUE"""),"heart stone")</f>
        <v>heart stone</v>
      </c>
      <c r="E381" s="11" t="str">
        <f>IFERROR(__xludf.DUMMYFUNCTION("""COMPUTED_VALUE"""),"simple normal orb")</f>
        <v>simple normal orb</v>
      </c>
      <c r="F381" s="11"/>
      <c r="G381" s="11"/>
      <c r="H381" s="11"/>
      <c r="I381" s="11"/>
      <c r="J381" s="11"/>
      <c r="K381" s="11"/>
      <c r="L381" s="11"/>
    </row>
    <row r="382">
      <c r="A382" s="13" t="str">
        <f>IFERROR(__xludf.DUMMYFUNCTION("""COMPUTED_VALUE"""),"Sunkern")</f>
        <v>Sunkern</v>
      </c>
      <c r="B382" s="11" t="str">
        <f>IFERROR(__xludf.DUMMYFUNCTION("""COMPUTED_VALUE"""),"seed")</f>
        <v>seed</v>
      </c>
      <c r="C382" s="11" t="str">
        <f>IFERROR(__xludf.DUMMYFUNCTION("""COMPUTED_VALUE"""),"sun leaves")</f>
        <v>sun leaves</v>
      </c>
      <c r="D382" s="11"/>
      <c r="E382" s="11"/>
      <c r="F382" s="11"/>
      <c r="G382" s="11"/>
      <c r="H382" s="11"/>
      <c r="I382" s="11"/>
      <c r="J382" s="11"/>
      <c r="K382" s="11"/>
      <c r="L382" s="11"/>
    </row>
    <row r="383">
      <c r="A383" s="13" t="str">
        <f>IFERROR(__xludf.DUMMYFUNCTION("""COMPUTED_VALUE"""),"Shiny Sunkern")</f>
        <v>Shiny Sunkern</v>
      </c>
      <c r="B383" s="11" t="str">
        <f>IFERROR(__xludf.DUMMYFUNCTION("""COMPUTED_VALUE"""),"seed")</f>
        <v>seed</v>
      </c>
      <c r="C383" s="11" t="str">
        <f>IFERROR(__xludf.DUMMYFUNCTION("""COMPUTED_VALUE"""),"cyan leaves")</f>
        <v>cyan leaves</v>
      </c>
      <c r="D383" s="11" t="str">
        <f>IFERROR(__xludf.DUMMYFUNCTION("""COMPUTED_VALUE"""),"leaf stone")</f>
        <v>leaf stone</v>
      </c>
      <c r="E383" s="11" t="str">
        <f>IFERROR(__xludf.DUMMYFUNCTION("""COMPUTED_VALUE"""),"simple grass orb")</f>
        <v>simple grass orb</v>
      </c>
      <c r="F383" s="11"/>
      <c r="G383" s="11"/>
      <c r="H383" s="11"/>
      <c r="I383" s="11"/>
      <c r="J383" s="11"/>
      <c r="K383" s="11"/>
      <c r="L383" s="11"/>
    </row>
    <row r="384">
      <c r="A384" s="13" t="str">
        <f>IFERROR(__xludf.DUMMYFUNCTION("""COMPUTED_VALUE"""),"Sunflora")</f>
        <v>Sunflora</v>
      </c>
      <c r="B384" s="11" t="str">
        <f>IFERROR(__xludf.DUMMYFUNCTION("""COMPUTED_VALUE"""),"seed")</f>
        <v>seed</v>
      </c>
      <c r="C384" s="11" t="str">
        <f>IFERROR(__xludf.DUMMYFUNCTION("""COMPUTED_VALUE"""),"sunflower")</f>
        <v>sunflower</v>
      </c>
      <c r="D384" s="11" t="str">
        <f>IFERROR(__xludf.DUMMYFUNCTION("""COMPUTED_VALUE"""),"leaf stone")</f>
        <v>leaf stone</v>
      </c>
      <c r="E384" s="11"/>
      <c r="F384" s="11"/>
      <c r="G384" s="11"/>
      <c r="H384" s="11"/>
      <c r="I384" s="11"/>
      <c r="J384" s="11"/>
      <c r="K384" s="11"/>
      <c r="L384" s="11"/>
    </row>
    <row r="385">
      <c r="A385" s="13" t="str">
        <f>IFERROR(__xludf.DUMMYFUNCTION("""COMPUTED_VALUE"""),"Shiny Sunflora")</f>
        <v>Shiny Sunflora</v>
      </c>
      <c r="B385" s="11" t="str">
        <f>IFERROR(__xludf.DUMMYFUNCTION("""COMPUTED_VALUE"""),"seed")</f>
        <v>seed</v>
      </c>
      <c r="C385" s="11" t="str">
        <f>IFERROR(__xludf.DUMMYFUNCTION("""COMPUTED_VALUE"""),"brown sunflower")</f>
        <v>brown sunflower</v>
      </c>
      <c r="D385" s="11" t="str">
        <f>IFERROR(__xludf.DUMMYFUNCTION("""COMPUTED_VALUE"""),"leaf stone")</f>
        <v>leaf stone</v>
      </c>
      <c r="E385" s="11" t="str">
        <f>IFERROR(__xludf.DUMMYFUNCTION("""COMPUTED_VALUE"""),"arcane grass orb")</f>
        <v>arcane grass orb</v>
      </c>
      <c r="F385" s="11"/>
      <c r="G385" s="11"/>
      <c r="H385" s="11"/>
      <c r="I385" s="11"/>
      <c r="J385" s="11"/>
      <c r="K385" s="11"/>
      <c r="L385" s="11"/>
    </row>
    <row r="386">
      <c r="A386" s="13" t="str">
        <f>IFERROR(__xludf.DUMMYFUNCTION("""COMPUTED_VALUE"""),"Yanma")</f>
        <v>Yanma</v>
      </c>
      <c r="B386" s="11" t="str">
        <f>IFERROR(__xludf.DUMMYFUNCTION("""COMPUTED_VALUE"""),"bug gosme")</f>
        <v>bug gosme</v>
      </c>
      <c r="C386" s="11" t="str">
        <f>IFERROR(__xludf.DUMMYFUNCTION("""COMPUTED_VALUE"""),"straw")</f>
        <v>straw</v>
      </c>
      <c r="D386" s="11" t="str">
        <f>IFERROR(__xludf.DUMMYFUNCTION("""COMPUTED_VALUE"""),"mosquito tail")</f>
        <v>mosquito tail</v>
      </c>
      <c r="E386" s="11" t="str">
        <f>IFERROR(__xludf.DUMMYFUNCTION("""COMPUTED_VALUE"""),"cocoon stone")</f>
        <v>cocoon stone</v>
      </c>
      <c r="F386" s="11" t="str">
        <f>IFERROR(__xludf.DUMMYFUNCTION("""COMPUTED_VALUE"""),"feather stone")</f>
        <v>feather stone</v>
      </c>
      <c r="G386" s="11"/>
      <c r="H386" s="11"/>
      <c r="I386" s="11"/>
      <c r="J386" s="11"/>
      <c r="K386" s="11"/>
      <c r="L386" s="11"/>
    </row>
    <row r="387">
      <c r="A387" s="13" t="str">
        <f>IFERROR(__xludf.DUMMYFUNCTION("""COMPUTED_VALUE"""),"Shiny Yanma")</f>
        <v>Shiny Yanma</v>
      </c>
      <c r="B387" s="11" t="str">
        <f>IFERROR(__xludf.DUMMYFUNCTION("""COMPUTED_VALUE"""),"bug gosme")</f>
        <v>bug gosme</v>
      </c>
      <c r="C387" s="11" t="str">
        <f>IFERROR(__xludf.DUMMYFUNCTION("""COMPUTED_VALUE"""),"straw")</f>
        <v>straw</v>
      </c>
      <c r="D387" s="11" t="str">
        <f>IFERROR(__xludf.DUMMYFUNCTION("""COMPUTED_VALUE"""),"blue mosquito tail")</f>
        <v>blue mosquito tail</v>
      </c>
      <c r="E387" s="11" t="str">
        <f>IFERROR(__xludf.DUMMYFUNCTION("""COMPUTED_VALUE"""),"cocoon stone")</f>
        <v>cocoon stone</v>
      </c>
      <c r="F387" s="11" t="str">
        <f>IFERROR(__xludf.DUMMYFUNCTION("""COMPUTED_VALUE"""),"feather stone")</f>
        <v>feather stone</v>
      </c>
      <c r="G387" s="11" t="str">
        <f>IFERROR(__xludf.DUMMYFUNCTION("""COMPUTED_VALUE"""),"arcane bug orb")</f>
        <v>arcane bug orb</v>
      </c>
      <c r="H387" s="11"/>
      <c r="I387" s="11"/>
      <c r="J387" s="11"/>
      <c r="K387" s="11"/>
      <c r="L387" s="11"/>
    </row>
    <row r="388">
      <c r="A388" s="13" t="str">
        <f>IFERROR(__xludf.DUMMYFUNCTION("""COMPUTED_VALUE"""),"Wooper")</f>
        <v>Wooper</v>
      </c>
      <c r="B388" s="11" t="str">
        <f>IFERROR(__xludf.DUMMYFUNCTION("""COMPUTED_VALUE"""),"water gem")</f>
        <v>water gem</v>
      </c>
      <c r="C388" s="11" t="str">
        <f>IFERROR(__xludf.DUMMYFUNCTION("""COMPUTED_VALUE"""),"earth ball")</f>
        <v>earth ball</v>
      </c>
      <c r="D388" s="11" t="str">
        <f>IFERROR(__xludf.DUMMYFUNCTION("""COMPUTED_VALUE"""),"magenta gill")</f>
        <v>magenta gill</v>
      </c>
      <c r="E388" s="11"/>
      <c r="F388" s="11"/>
      <c r="G388" s="11"/>
      <c r="H388" s="11"/>
      <c r="I388" s="11"/>
      <c r="J388" s="11"/>
      <c r="K388" s="11"/>
      <c r="L388" s="11"/>
    </row>
    <row r="389">
      <c r="A389" s="13" t="str">
        <f>IFERROR(__xludf.DUMMYFUNCTION("""COMPUTED_VALUE"""),"Shiny Wooper")</f>
        <v>Shiny Wooper</v>
      </c>
      <c r="B389" s="11" t="str">
        <f>IFERROR(__xludf.DUMMYFUNCTION("""COMPUTED_VALUE"""),"water gem")</f>
        <v>water gem</v>
      </c>
      <c r="C389" s="11" t="str">
        <f>IFERROR(__xludf.DUMMYFUNCTION("""COMPUTED_VALUE"""),"earth ball")</f>
        <v>earth ball</v>
      </c>
      <c r="D389" s="11" t="str">
        <f>IFERROR(__xludf.DUMMYFUNCTION("""COMPUTED_VALUE"""),"pink gill")</f>
        <v>pink gill</v>
      </c>
      <c r="E389" s="11" t="str">
        <f>IFERROR(__xludf.DUMMYFUNCTION("""COMPUTED_VALUE"""),"water stone")</f>
        <v>water stone</v>
      </c>
      <c r="F389" s="11" t="str">
        <f>IFERROR(__xludf.DUMMYFUNCTION("""COMPUTED_VALUE"""),"earth stone")</f>
        <v>earth stone</v>
      </c>
      <c r="G389" s="11" t="str">
        <f>IFERROR(__xludf.DUMMYFUNCTION("""COMPUTED_VALUE"""),"simple ground orb")</f>
        <v>simple ground orb</v>
      </c>
      <c r="H389" s="11"/>
      <c r="I389" s="11"/>
      <c r="J389" s="11"/>
      <c r="K389" s="11"/>
      <c r="L389" s="11"/>
    </row>
    <row r="390">
      <c r="A390" s="13" t="str">
        <f>IFERROR(__xludf.DUMMYFUNCTION("""COMPUTED_VALUE"""),"Quagsire")</f>
        <v>Quagsire</v>
      </c>
      <c r="B390" s="11" t="str">
        <f>IFERROR(__xludf.DUMMYFUNCTION("""COMPUTED_VALUE"""),"water gem")</f>
        <v>water gem</v>
      </c>
      <c r="C390" s="11" t="str">
        <f>IFERROR(__xludf.DUMMYFUNCTION("""COMPUTED_VALUE"""),"earth ball")</f>
        <v>earth ball</v>
      </c>
      <c r="D390" s="11" t="str">
        <f>IFERROR(__xludf.DUMMYFUNCTION("""COMPUTED_VALUE"""),"amphibian tail")</f>
        <v>amphibian tail</v>
      </c>
      <c r="E390" s="11" t="str">
        <f>IFERROR(__xludf.DUMMYFUNCTION("""COMPUTED_VALUE"""),"water stone")</f>
        <v>water stone</v>
      </c>
      <c r="F390" s="11" t="str">
        <f>IFERROR(__xludf.DUMMYFUNCTION("""COMPUTED_VALUE"""),"earth stone")</f>
        <v>earth stone</v>
      </c>
      <c r="G390" s="11"/>
      <c r="H390" s="11"/>
      <c r="I390" s="11"/>
      <c r="J390" s="11"/>
      <c r="K390" s="11"/>
      <c r="L390" s="11"/>
    </row>
    <row r="391">
      <c r="A391" s="13" t="str">
        <f>IFERROR(__xludf.DUMMYFUNCTION("""COMPUTED_VALUE"""),"Shiny Quagsire")</f>
        <v>Shiny Quagsire</v>
      </c>
      <c r="B391" s="11" t="str">
        <f>IFERROR(__xludf.DUMMYFUNCTION("""COMPUTED_VALUE"""),"water gem")</f>
        <v>water gem</v>
      </c>
      <c r="C391" s="11" t="str">
        <f>IFERROR(__xludf.DUMMYFUNCTION("""COMPUTED_VALUE"""),"earth ball")</f>
        <v>earth ball</v>
      </c>
      <c r="D391" s="11" t="str">
        <f>IFERROR(__xludf.DUMMYFUNCTION("""COMPUTED_VALUE"""),"mud tail")</f>
        <v>mud tail</v>
      </c>
      <c r="E391" s="11" t="str">
        <f>IFERROR(__xludf.DUMMYFUNCTION("""COMPUTED_VALUE"""),"water stone")</f>
        <v>water stone</v>
      </c>
      <c r="F391" s="11" t="str">
        <f>IFERROR(__xludf.DUMMYFUNCTION("""COMPUTED_VALUE"""),"earth stone")</f>
        <v>earth stone</v>
      </c>
      <c r="G391" s="11" t="str">
        <f>IFERROR(__xludf.DUMMYFUNCTION("""COMPUTED_VALUE"""),"arcane ground orb")</f>
        <v>arcane ground orb</v>
      </c>
      <c r="H391" s="11"/>
      <c r="I391" s="11"/>
      <c r="J391" s="11"/>
      <c r="K391" s="11"/>
      <c r="L391" s="11"/>
    </row>
    <row r="392">
      <c r="A392" s="13" t="str">
        <f>IFERROR(__xludf.DUMMYFUNCTION("""COMPUTED_VALUE"""),"Espeon")</f>
        <v>Espeon</v>
      </c>
      <c r="B392" s="11" t="str">
        <f>IFERROR(__xludf.DUMMYFUNCTION("""COMPUTED_VALUE"""),"enchanted gem")</f>
        <v>enchanted gem</v>
      </c>
      <c r="C392" s="11" t="str">
        <f>IFERROR(__xludf.DUMMYFUNCTION("""COMPUTED_VALUE"""),"psychic ears")</f>
        <v>psychic ears</v>
      </c>
      <c r="D392" s="11" t="str">
        <f>IFERROR(__xludf.DUMMYFUNCTION("""COMPUTED_VALUE"""),"enigma stone")</f>
        <v>enigma stone</v>
      </c>
      <c r="E392" s="11"/>
      <c r="F392" s="11"/>
      <c r="G392" s="11"/>
      <c r="H392" s="11"/>
      <c r="I392" s="11"/>
      <c r="J392" s="11"/>
      <c r="K392" s="11"/>
      <c r="L392" s="11"/>
    </row>
    <row r="393">
      <c r="A393" s="13" t="str">
        <f>IFERROR(__xludf.DUMMYFUNCTION("""COMPUTED_VALUE"""),"Shiny Espeon")</f>
        <v>Shiny Espeon</v>
      </c>
      <c r="B393" s="11" t="str">
        <f>IFERROR(__xludf.DUMMYFUNCTION("""COMPUTED_VALUE"""),"enchanted gem")</f>
        <v>enchanted gem</v>
      </c>
      <c r="C393" s="11" t="str">
        <f>IFERROR(__xludf.DUMMYFUNCTION("""COMPUTED_VALUE"""),"sunlight ears")</f>
        <v>sunlight ears</v>
      </c>
      <c r="D393" s="11" t="str">
        <f>IFERROR(__xludf.DUMMYFUNCTION("""COMPUTED_VALUE"""),"enigma stone")</f>
        <v>enigma stone</v>
      </c>
      <c r="E393" s="11" t="str">
        <f>IFERROR(__xludf.DUMMYFUNCTION("""COMPUTED_VALUE"""),"mythic psychic orb")</f>
        <v>mythic psychic orb</v>
      </c>
      <c r="F393" s="11"/>
      <c r="G393" s="11"/>
      <c r="H393" s="11"/>
      <c r="I393" s="11"/>
      <c r="J393" s="11"/>
      <c r="K393" s="11"/>
      <c r="L393" s="11"/>
    </row>
    <row r="394">
      <c r="A394" s="13" t="str">
        <f>IFERROR(__xludf.DUMMYFUNCTION("""COMPUTED_VALUE"""),"Umbreon")</f>
        <v>Umbreon</v>
      </c>
      <c r="B394" s="11" t="str">
        <f>IFERROR(__xludf.DUMMYFUNCTION("""COMPUTED_VALUE"""),"dark gem")</f>
        <v>dark gem</v>
      </c>
      <c r="C394" s="11" t="str">
        <f>IFERROR(__xludf.DUMMYFUNCTION("""COMPUTED_VALUE"""),"dark ears")</f>
        <v>dark ears</v>
      </c>
      <c r="D394" s="11" t="str">
        <f>IFERROR(__xludf.DUMMYFUNCTION("""COMPUTED_VALUE"""),"darkness stone")</f>
        <v>darkness stone</v>
      </c>
      <c r="E394" s="11"/>
      <c r="F394" s="11"/>
      <c r="G394" s="11"/>
      <c r="H394" s="11"/>
      <c r="I394" s="11"/>
      <c r="J394" s="11"/>
      <c r="K394" s="11"/>
      <c r="L394" s="11"/>
    </row>
    <row r="395">
      <c r="A395" s="13" t="str">
        <f>IFERROR(__xludf.DUMMYFUNCTION("""COMPUTED_VALUE"""),"Shiny Umbreon")</f>
        <v>Shiny Umbreon</v>
      </c>
      <c r="B395" s="11" t="str">
        <f>IFERROR(__xludf.DUMMYFUNCTION("""COMPUTED_VALUE"""),"dark gem")</f>
        <v>dark gem</v>
      </c>
      <c r="C395" s="11" t="str">
        <f>IFERROR(__xludf.DUMMYFUNCTION("""COMPUTED_VALUE"""),"moonlight ears")</f>
        <v>moonlight ears</v>
      </c>
      <c r="D395" s="11" t="str">
        <f>IFERROR(__xludf.DUMMYFUNCTION("""COMPUTED_VALUE"""),"darkness stone")</f>
        <v>darkness stone</v>
      </c>
      <c r="E395" s="11" t="str">
        <f>IFERROR(__xludf.DUMMYFUNCTION("""COMPUTED_VALUE"""),"mythic dark orb")</f>
        <v>mythic dark orb</v>
      </c>
      <c r="F395" s="11"/>
      <c r="G395" s="11"/>
      <c r="H395" s="11"/>
      <c r="I395" s="11"/>
      <c r="J395" s="11"/>
      <c r="K395" s="11"/>
      <c r="L395" s="11"/>
    </row>
    <row r="396">
      <c r="A396" s="13" t="str">
        <f>IFERROR(__xludf.DUMMYFUNCTION("""COMPUTED_VALUE"""),"Murkrow")</f>
        <v>Murkrow</v>
      </c>
      <c r="B396" s="11" t="str">
        <f>IFERROR(__xludf.DUMMYFUNCTION("""COMPUTED_VALUE"""),"dark gem")</f>
        <v>dark gem</v>
      </c>
      <c r="C396" s="11" t="str">
        <f>IFERROR(__xludf.DUMMYFUNCTION("""COMPUTED_VALUE"""),"straw")</f>
        <v>straw</v>
      </c>
      <c r="D396" s="11" t="str">
        <f>IFERROR(__xludf.DUMMYFUNCTION("""COMPUTED_VALUE"""),"yellow beak")</f>
        <v>yellow beak</v>
      </c>
      <c r="E396" s="11" t="str">
        <f>IFERROR(__xludf.DUMMYFUNCTION("""COMPUTED_VALUE"""),"darkness stone")</f>
        <v>darkness stone</v>
      </c>
      <c r="F396" s="11" t="str">
        <f>IFERROR(__xludf.DUMMYFUNCTION("""COMPUTED_VALUE"""),"feather stone")</f>
        <v>feather stone</v>
      </c>
      <c r="G396" s="11"/>
      <c r="H396" s="11"/>
      <c r="I396" s="11"/>
      <c r="J396" s="11"/>
      <c r="K396" s="11"/>
      <c r="L396" s="11"/>
    </row>
    <row r="397">
      <c r="A397" s="13" t="str">
        <f>IFERROR(__xludf.DUMMYFUNCTION("""COMPUTED_VALUE"""),"Shiny Murkrow")</f>
        <v>Shiny Murkrow</v>
      </c>
      <c r="B397" s="11" t="str">
        <f>IFERROR(__xludf.DUMMYFUNCTION("""COMPUTED_VALUE"""),"dark gem")</f>
        <v>dark gem</v>
      </c>
      <c r="C397" s="11" t="str">
        <f>IFERROR(__xludf.DUMMYFUNCTION("""COMPUTED_VALUE"""),"straw")</f>
        <v>straw</v>
      </c>
      <c r="D397" s="11" t="str">
        <f>IFERROR(__xludf.DUMMYFUNCTION("""COMPUTED_VALUE"""),"dark beak")</f>
        <v>dark beak</v>
      </c>
      <c r="E397" s="11" t="str">
        <f>IFERROR(__xludf.DUMMYFUNCTION("""COMPUTED_VALUE"""),"darkness stone")</f>
        <v>darkness stone</v>
      </c>
      <c r="F397" s="11" t="str">
        <f>IFERROR(__xludf.DUMMYFUNCTION("""COMPUTED_VALUE"""),"feather stone")</f>
        <v>feather stone</v>
      </c>
      <c r="G397" s="11" t="str">
        <f>IFERROR(__xludf.DUMMYFUNCTION("""COMPUTED_VALUE"""),"arcane dark orb")</f>
        <v>arcane dark orb</v>
      </c>
      <c r="H397" s="11"/>
      <c r="I397" s="11"/>
      <c r="J397" s="11"/>
      <c r="K397" s="11"/>
      <c r="L397" s="11"/>
    </row>
    <row r="398">
      <c r="A398" s="13" t="str">
        <f>IFERROR(__xludf.DUMMYFUNCTION("""COMPUTED_VALUE"""),"Slowking")</f>
        <v>Slowking</v>
      </c>
      <c r="B398" s="11" t="str">
        <f>IFERROR(__xludf.DUMMYFUNCTION("""COMPUTED_VALUE"""),"water gem")</f>
        <v>water gem</v>
      </c>
      <c r="C398" s="11" t="str">
        <f>IFERROR(__xludf.DUMMYFUNCTION("""COMPUTED_VALUE"""),"enchanted gem")</f>
        <v>enchanted gem</v>
      </c>
      <c r="D398" s="11" t="str">
        <f>IFERROR(__xludf.DUMMYFUNCTION("""COMPUTED_VALUE"""),"slowking necklace")</f>
        <v>slowking necklace</v>
      </c>
      <c r="E398" s="11" t="str">
        <f>IFERROR(__xludf.DUMMYFUNCTION("""COMPUTED_VALUE"""),"king's rock")</f>
        <v>king's rock</v>
      </c>
      <c r="F398" s="11" t="str">
        <f>IFERROR(__xludf.DUMMYFUNCTION("""COMPUTED_VALUE"""),"water stone")</f>
        <v>water stone</v>
      </c>
      <c r="G398" s="11" t="str">
        <f>IFERROR(__xludf.DUMMYFUNCTION("""COMPUTED_VALUE"""),"enigma stone")</f>
        <v>enigma stone</v>
      </c>
      <c r="H398" s="11"/>
      <c r="I398" s="11"/>
      <c r="J398" s="11"/>
      <c r="K398" s="11"/>
      <c r="L398" s="11"/>
    </row>
    <row r="399">
      <c r="A399" s="13" t="str">
        <f>IFERROR(__xludf.DUMMYFUNCTION("""COMPUTED_VALUE"""),"Shiny Slowking")</f>
        <v>Shiny Slowking</v>
      </c>
      <c r="B399" s="11" t="str">
        <f>IFERROR(__xludf.DUMMYFUNCTION("""COMPUTED_VALUE"""),"water gem")</f>
        <v>water gem</v>
      </c>
      <c r="C399" s="11" t="str">
        <f>IFERROR(__xludf.DUMMYFUNCTION("""COMPUTED_VALUE"""),"enchanted gem")</f>
        <v>enchanted gem</v>
      </c>
      <c r="D399" s="11" t="str">
        <f>IFERROR(__xludf.DUMMYFUNCTION("""COMPUTED_VALUE"""),"mysterious necklace")</f>
        <v>mysterious necklace</v>
      </c>
      <c r="E399" s="11" t="str">
        <f>IFERROR(__xludf.DUMMYFUNCTION("""COMPUTED_VALUE"""),"water stone")</f>
        <v>water stone</v>
      </c>
      <c r="F399" s="11" t="str">
        <f>IFERROR(__xludf.DUMMYFUNCTION("""COMPUTED_VALUE"""),"enigma stone")</f>
        <v>enigma stone</v>
      </c>
      <c r="G399" s="11" t="str">
        <f>IFERROR(__xludf.DUMMYFUNCTION("""COMPUTED_VALUE"""),"king's rock")</f>
        <v>king's rock</v>
      </c>
      <c r="H399" s="11" t="str">
        <f>IFERROR(__xludf.DUMMYFUNCTION("""COMPUTED_VALUE"""),"mythic psychic orb")</f>
        <v>mythic psychic orb</v>
      </c>
      <c r="I399" s="11"/>
      <c r="J399" s="11"/>
      <c r="K399" s="11"/>
      <c r="L399" s="11"/>
    </row>
    <row r="400">
      <c r="A400" s="13" t="str">
        <f>IFERROR(__xludf.DUMMYFUNCTION("""COMPUTED_VALUE"""),"Misdreavus")</f>
        <v>Misdreavus</v>
      </c>
      <c r="B400" s="11" t="str">
        <f>IFERROR(__xludf.DUMMYFUNCTION("""COMPUTED_VALUE"""),"ghost essence")</f>
        <v>ghost essence</v>
      </c>
      <c r="C400" s="11" t="str">
        <f>IFERROR(__xludf.DUMMYFUNCTION("""COMPUTED_VALUE"""),"miss traces")</f>
        <v>miss traces</v>
      </c>
      <c r="D400" s="11" t="str">
        <f>IFERROR(__xludf.DUMMYFUNCTION("""COMPUTED_VALUE"""),"ghost stone")</f>
        <v>ghost stone</v>
      </c>
      <c r="E400" s="11"/>
      <c r="F400" s="11"/>
      <c r="G400" s="11"/>
      <c r="H400" s="11"/>
      <c r="I400" s="11"/>
      <c r="J400" s="11"/>
      <c r="K400" s="11"/>
      <c r="L400" s="11"/>
    </row>
    <row r="401">
      <c r="A401" s="13" t="str">
        <f>IFERROR(__xludf.DUMMYFUNCTION("""COMPUTED_VALUE"""),"Shiny Misdreavus")</f>
        <v>Shiny Misdreavus</v>
      </c>
      <c r="B401" s="11" t="str">
        <f>IFERROR(__xludf.DUMMYFUNCTION("""COMPUTED_VALUE"""),"ghost essence")</f>
        <v>ghost essence</v>
      </c>
      <c r="C401" s="11" t="str">
        <f>IFERROR(__xludf.DUMMYFUNCTION("""COMPUTED_VALUE"""),"terrifying traces")</f>
        <v>terrifying traces</v>
      </c>
      <c r="D401" s="11" t="str">
        <f>IFERROR(__xludf.DUMMYFUNCTION("""COMPUTED_VALUE"""),"ghost stone")</f>
        <v>ghost stone</v>
      </c>
      <c r="E401" s="11" t="str">
        <f>IFERROR(__xludf.DUMMYFUNCTION("""COMPUTED_VALUE"""),"arcane ghost orb")</f>
        <v>arcane ghost orb</v>
      </c>
      <c r="F401" s="11" t="str">
        <f>IFERROR(__xludf.DUMMYFUNCTION("""COMPUTED_VALUE"""),"mythic ghost orb")</f>
        <v>mythic ghost orb</v>
      </c>
      <c r="G401" s="11"/>
      <c r="H401" s="11"/>
      <c r="I401" s="11"/>
      <c r="J401" s="11"/>
      <c r="K401" s="11"/>
      <c r="L401" s="11"/>
    </row>
    <row r="402">
      <c r="A402" s="13" t="str">
        <f>IFERROR(__xludf.DUMMYFUNCTION("""COMPUTED_VALUE"""),"Unown")</f>
        <v>Unown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>
      <c r="A403" s="13" t="str">
        <f>IFERROR(__xludf.DUMMYFUNCTION("""COMPUTED_VALUE"""),"Shiny Unown")</f>
        <v>Shiny Unown</v>
      </c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>
      <c r="A404" s="13" t="str">
        <f>IFERROR(__xludf.DUMMYFUNCTION("""COMPUTED_VALUE"""),"Wobbuffet")</f>
        <v>Wobbuffet</v>
      </c>
      <c r="B404" s="11" t="str">
        <f>IFERROR(__xludf.DUMMYFUNCTION("""COMPUTED_VALUE"""),"enchanted gem")</f>
        <v>enchanted gem</v>
      </c>
      <c r="C404" s="11" t="str">
        <f>IFERROR(__xludf.DUMMYFUNCTION("""COMPUTED_VALUE"""),"two-eyed black tail")</f>
        <v>two-eyed black tail</v>
      </c>
      <c r="D404" s="11" t="str">
        <f>IFERROR(__xludf.DUMMYFUNCTION("""COMPUTED_VALUE"""),"enigma stone")</f>
        <v>enigma stone</v>
      </c>
      <c r="E404" s="11"/>
      <c r="F404" s="11"/>
      <c r="G404" s="11"/>
      <c r="H404" s="11"/>
      <c r="I404" s="11"/>
      <c r="J404" s="11"/>
      <c r="K404" s="11"/>
      <c r="L404" s="11"/>
    </row>
    <row r="405">
      <c r="A405" s="13" t="str">
        <f>IFERROR(__xludf.DUMMYFUNCTION("""COMPUTED_VALUE"""),"Shiny Wobbuffet")</f>
        <v>Shiny Wobbuffet</v>
      </c>
      <c r="B405" s="11" t="str">
        <f>IFERROR(__xludf.DUMMYFUNCTION("""COMPUTED_VALUE"""),"enchanted gem")</f>
        <v>enchanted gem</v>
      </c>
      <c r="C405" s="11" t="str">
        <f>IFERROR(__xludf.DUMMYFUNCTION("""COMPUTED_VALUE"""),"two-eyed shiny tail")</f>
        <v>two-eyed shiny tail</v>
      </c>
      <c r="D405" s="11" t="str">
        <f>IFERROR(__xludf.DUMMYFUNCTION("""COMPUTED_VALUE"""),"enigma stone")</f>
        <v>enigma stone</v>
      </c>
      <c r="E405" s="11" t="str">
        <f>IFERROR(__xludf.DUMMYFUNCTION("""COMPUTED_VALUE"""),"mythic psychic orb")</f>
        <v>mythic psychic orb</v>
      </c>
      <c r="F405" s="11"/>
      <c r="G405" s="11"/>
      <c r="H405" s="11"/>
      <c r="I405" s="11"/>
      <c r="J405" s="11"/>
      <c r="K405" s="11"/>
      <c r="L405" s="11"/>
    </row>
    <row r="406">
      <c r="A406" s="13" t="str">
        <f>IFERROR(__xludf.DUMMYFUNCTION("""COMPUTED_VALUE"""),"Girafarig")</f>
        <v>Girafarig</v>
      </c>
      <c r="B406" s="11" t="str">
        <f>IFERROR(__xludf.DUMMYFUNCTION("""COMPUTED_VALUE"""),"rubber ball")</f>
        <v>rubber ball</v>
      </c>
      <c r="C406" s="11" t="str">
        <f>IFERROR(__xludf.DUMMYFUNCTION("""COMPUTED_VALUE"""),"enchanted gem")</f>
        <v>enchanted gem</v>
      </c>
      <c r="D406" s="11" t="str">
        <f>IFERROR(__xludf.DUMMYFUNCTION("""COMPUTED_VALUE"""),"giraffe antenna")</f>
        <v>giraffe antenna</v>
      </c>
      <c r="E406" s="11" t="str">
        <f>IFERROR(__xludf.DUMMYFUNCTION("""COMPUTED_VALUE"""),"heart stone")</f>
        <v>heart stone</v>
      </c>
      <c r="F406" s="11" t="str">
        <f>IFERROR(__xludf.DUMMYFUNCTION("""COMPUTED_VALUE"""),"enigma stone")</f>
        <v>enigma stone</v>
      </c>
      <c r="G406" s="11"/>
      <c r="H406" s="11"/>
      <c r="I406" s="11"/>
      <c r="J406" s="11"/>
      <c r="K406" s="11"/>
      <c r="L406" s="11"/>
    </row>
    <row r="407">
      <c r="A407" s="13" t="str">
        <f>IFERROR(__xludf.DUMMYFUNCTION("""COMPUTED_VALUE"""),"Shiny Girafarig")</f>
        <v>Shiny Girafarig</v>
      </c>
      <c r="B407" s="11" t="str">
        <f>IFERROR(__xludf.DUMMYFUNCTION("""COMPUTED_VALUE"""),"rubber ball")</f>
        <v>rubber ball</v>
      </c>
      <c r="C407" s="11" t="str">
        <f>IFERROR(__xludf.DUMMYFUNCTION("""COMPUTED_VALUE"""),"enchanted gem")</f>
        <v>enchanted gem</v>
      </c>
      <c r="D407" s="11" t="str">
        <f>IFERROR(__xludf.DUMMYFUNCTION("""COMPUTED_VALUE"""),"orange giraffe antennas")</f>
        <v>orange giraffe antennas</v>
      </c>
      <c r="E407" s="11" t="str">
        <f>IFERROR(__xludf.DUMMYFUNCTION("""COMPUTED_VALUE"""),"heart stone")</f>
        <v>heart stone</v>
      </c>
      <c r="F407" s="11" t="str">
        <f>IFERROR(__xludf.DUMMYFUNCTION("""COMPUTED_VALUE"""),"enigma stone")</f>
        <v>enigma stone</v>
      </c>
      <c r="G407" s="11" t="str">
        <f>IFERROR(__xludf.DUMMYFUNCTION("""COMPUTED_VALUE"""),"arcane psychic orb")</f>
        <v>arcane psychic orb</v>
      </c>
      <c r="H407" s="11"/>
      <c r="I407" s="11"/>
      <c r="J407" s="11"/>
      <c r="K407" s="11"/>
      <c r="L407" s="11"/>
    </row>
    <row r="408">
      <c r="A408" s="13" t="str">
        <f>IFERROR(__xludf.DUMMYFUNCTION("""COMPUTED_VALUE"""),"Pineco")</f>
        <v>Pineco</v>
      </c>
      <c r="B408" s="11" t="str">
        <f>IFERROR(__xludf.DUMMYFUNCTION("""COMPUTED_VALUE"""),"bug gosma")</f>
        <v>bug gosma</v>
      </c>
      <c r="C408" s="11" t="str">
        <f>IFERROR(__xludf.DUMMYFUNCTION("""COMPUTED_VALUE"""),"pineco shell")</f>
        <v>pineco shell</v>
      </c>
      <c r="D408" s="11"/>
      <c r="E408" s="11"/>
      <c r="F408" s="11"/>
      <c r="G408" s="11"/>
      <c r="H408" s="11"/>
      <c r="I408" s="11"/>
      <c r="J408" s="11"/>
      <c r="K408" s="11"/>
      <c r="L408" s="11"/>
    </row>
    <row r="409">
      <c r="A409" s="13" t="str">
        <f>IFERROR(__xludf.DUMMYFUNCTION("""COMPUTED_VALUE"""),"Shiny Pineco")</f>
        <v>Shiny Pineco</v>
      </c>
      <c r="B409" s="11" t="str">
        <f>IFERROR(__xludf.DUMMYFUNCTION("""COMPUTED_VALUE"""),"bug gosma")</f>
        <v>bug gosma</v>
      </c>
      <c r="C409" s="11" t="str">
        <f>IFERROR(__xludf.DUMMYFUNCTION("""COMPUTED_VALUE"""),"orange shell")</f>
        <v>orange shell</v>
      </c>
      <c r="D409" s="11" t="str">
        <f>IFERROR(__xludf.DUMMYFUNCTION("""COMPUTED_VALUE"""),"cocoon stone")</f>
        <v>cocoon stone</v>
      </c>
      <c r="E409" s="11" t="str">
        <f>IFERROR(__xludf.DUMMYFUNCTION("""COMPUTED_VALUE"""),"simple bug orb")</f>
        <v>simple bug orb</v>
      </c>
      <c r="F409" s="11"/>
      <c r="G409" s="11"/>
      <c r="H409" s="11"/>
      <c r="I409" s="11"/>
      <c r="J409" s="11"/>
      <c r="K409" s="11"/>
      <c r="L409" s="11"/>
    </row>
    <row r="410">
      <c r="A410" s="13" t="str">
        <f>IFERROR(__xludf.DUMMYFUNCTION("""COMPUTED_VALUE"""),"Forretress")</f>
        <v>Forretress</v>
      </c>
      <c r="B410" s="11" t="str">
        <f>IFERROR(__xludf.DUMMYFUNCTION("""COMPUTED_VALUE"""),"bug gosma")</f>
        <v>bug gosma</v>
      </c>
      <c r="C410" s="11" t="str">
        <f>IFERROR(__xludf.DUMMYFUNCTION("""COMPUTED_VALUE"""),"piece of steel")</f>
        <v>piece of steel</v>
      </c>
      <c r="D410" s="11" t="str">
        <f>IFERROR(__xludf.DUMMYFUNCTION("""COMPUTED_VALUE"""),"forretress shell")</f>
        <v>forretress shell</v>
      </c>
      <c r="E410" s="11" t="str">
        <f>IFERROR(__xludf.DUMMYFUNCTION("""COMPUTED_VALUE"""),"cocoon stone")</f>
        <v>cocoon stone</v>
      </c>
      <c r="F410" s="11" t="str">
        <f>IFERROR(__xludf.DUMMYFUNCTION("""COMPUTED_VALUE"""),"metal stone")</f>
        <v>metal stone</v>
      </c>
      <c r="G410" s="11"/>
      <c r="H410" s="11"/>
      <c r="I410" s="11"/>
      <c r="J410" s="11"/>
      <c r="K410" s="11"/>
      <c r="L410" s="11"/>
    </row>
    <row r="411">
      <c r="A411" s="13" t="str">
        <f>IFERROR(__xludf.DUMMYFUNCTION("""COMPUTED_VALUE"""),"Shiny Forretress")</f>
        <v>Shiny Forretress</v>
      </c>
      <c r="B411" s="11" t="str">
        <f>IFERROR(__xludf.DUMMYFUNCTION("""COMPUTED_VALUE"""),"bug gosma")</f>
        <v>bug gosma</v>
      </c>
      <c r="C411" s="11" t="str">
        <f>IFERROR(__xludf.DUMMYFUNCTION("""COMPUTED_VALUE"""),"piece of steel")</f>
        <v>piece of steel</v>
      </c>
      <c r="D411" s="11" t="str">
        <f>IFERROR(__xludf.DUMMYFUNCTION("""COMPUTED_VALUE"""),"brown shell")</f>
        <v>brown shell</v>
      </c>
      <c r="E411" s="11" t="str">
        <f>IFERROR(__xludf.DUMMYFUNCTION("""COMPUTED_VALUE"""),"cocoon stone")</f>
        <v>cocoon stone</v>
      </c>
      <c r="F411" s="11" t="str">
        <f>IFERROR(__xludf.DUMMYFUNCTION("""COMPUTED_VALUE"""),"metal stone")</f>
        <v>metal stone</v>
      </c>
      <c r="G411" s="11" t="str">
        <f>IFERROR(__xludf.DUMMYFUNCTION("""COMPUTED_VALUE"""),"arcane metal orb")</f>
        <v>arcane metal orb</v>
      </c>
      <c r="H411" s="11"/>
      <c r="I411" s="11"/>
      <c r="J411" s="11"/>
      <c r="K411" s="11"/>
      <c r="L411" s="11"/>
    </row>
    <row r="412">
      <c r="A412" s="13" t="str">
        <f>IFERROR(__xludf.DUMMYFUNCTION("""COMPUTED_VALUE"""),"Dunsparce")</f>
        <v>Dunsparce</v>
      </c>
      <c r="B412" s="11" t="str">
        <f>IFERROR(__xludf.DUMMYFUNCTION("""COMPUTED_VALUE"""),"rubber ball")</f>
        <v>rubber ball</v>
      </c>
      <c r="C412" s="11" t="str">
        <f>IFERROR(__xludf.DUMMYFUNCTION("""COMPUTED_VALUE"""),"dunsparce wings")</f>
        <v>dunsparce wings</v>
      </c>
      <c r="D412" s="11"/>
      <c r="E412" s="11"/>
      <c r="F412" s="11"/>
      <c r="G412" s="11"/>
      <c r="H412" s="11"/>
      <c r="I412" s="11"/>
      <c r="J412" s="11"/>
      <c r="K412" s="11"/>
      <c r="L412" s="11"/>
    </row>
    <row r="413">
      <c r="A413" s="13" t="str">
        <f>IFERROR(__xludf.DUMMYFUNCTION("""COMPUTED_VALUE"""),"Shiny Dunsparce")</f>
        <v>Shiny Dunsparce</v>
      </c>
      <c r="B413" s="11" t="str">
        <f>IFERROR(__xludf.DUMMYFUNCTION("""COMPUTED_VALUE"""),"rubber ball")</f>
        <v>rubber ball</v>
      </c>
      <c r="C413" s="11" t="str">
        <f>IFERROR(__xludf.DUMMYFUNCTION("""COMPUTED_VALUE"""),"dunsparce goild wings")</f>
        <v>dunsparce goild wings</v>
      </c>
      <c r="D413" s="11" t="str">
        <f>IFERROR(__xludf.DUMMYFUNCTION("""COMPUTED_VALUE"""),"heart stone")</f>
        <v>heart stone</v>
      </c>
      <c r="E413" s="11" t="str">
        <f>IFERROR(__xludf.DUMMYFUNCTION("""COMPUTED_VALUE"""),"arcane normal orb")</f>
        <v>arcane normal orb</v>
      </c>
      <c r="F413" s="11"/>
      <c r="G413" s="11"/>
      <c r="H413" s="11"/>
      <c r="I413" s="11"/>
      <c r="J413" s="11"/>
      <c r="K413" s="11"/>
      <c r="L413" s="11"/>
    </row>
    <row r="414">
      <c r="A414" s="13" t="str">
        <f>IFERROR(__xludf.DUMMYFUNCTION("""COMPUTED_VALUE"""),"Gligar")</f>
        <v>Gligar</v>
      </c>
      <c r="B414" s="11" t="str">
        <f>IFERROR(__xludf.DUMMYFUNCTION("""COMPUTED_VALUE"""),"earth ball")</f>
        <v>earth ball</v>
      </c>
      <c r="C414" s="11" t="str">
        <f>IFERROR(__xludf.DUMMYFUNCTION("""COMPUTED_VALUE"""),"straw")</f>
        <v>straw</v>
      </c>
      <c r="D414" s="11" t="str">
        <f>IFERROR(__xludf.DUMMYFUNCTION("""COMPUTED_VALUE"""),"bat claw")</f>
        <v>bat claw</v>
      </c>
      <c r="E414" s="11" t="str">
        <f>IFERROR(__xludf.DUMMYFUNCTION("""COMPUTED_VALUE"""),"earth stone")</f>
        <v>earth stone</v>
      </c>
      <c r="F414" s="11" t="str">
        <f>IFERROR(__xludf.DUMMYFUNCTION("""COMPUTED_VALUE"""),"feather stone")</f>
        <v>feather stone</v>
      </c>
      <c r="G414" s="11"/>
      <c r="H414" s="11"/>
      <c r="I414" s="11"/>
      <c r="J414" s="11"/>
      <c r="K414" s="11"/>
      <c r="L414" s="11"/>
    </row>
    <row r="415">
      <c r="A415" s="13" t="str">
        <f>IFERROR(__xludf.DUMMYFUNCTION("""COMPUTED_VALUE"""),"Shiny Gligar")</f>
        <v>Shiny Gligar</v>
      </c>
      <c r="B415" s="11" t="str">
        <f>IFERROR(__xludf.DUMMYFUNCTION("""COMPUTED_VALUE"""),"earth ball")</f>
        <v>earth ball</v>
      </c>
      <c r="C415" s="11" t="str">
        <f>IFERROR(__xludf.DUMMYFUNCTION("""COMPUTED_VALUE"""),"straw")</f>
        <v>straw</v>
      </c>
      <c r="D415" s="11" t="str">
        <f>IFERROR(__xludf.DUMMYFUNCTION("""COMPUTED_VALUE"""),"black bat claw")</f>
        <v>black bat claw</v>
      </c>
      <c r="E415" s="11" t="str">
        <f>IFERROR(__xludf.DUMMYFUNCTION("""COMPUTED_VALUE"""),"earth stone")</f>
        <v>earth stone</v>
      </c>
      <c r="F415" s="11" t="str">
        <f>IFERROR(__xludf.DUMMYFUNCTION("""COMPUTED_VALUE"""),"feather stone")</f>
        <v>feather stone</v>
      </c>
      <c r="G415" s="11" t="str">
        <f>IFERROR(__xludf.DUMMYFUNCTION("""COMPUTED_VALUE"""),"arcane ground orb")</f>
        <v>arcane ground orb</v>
      </c>
      <c r="H415" s="11"/>
      <c r="I415" s="11"/>
      <c r="J415" s="11"/>
      <c r="K415" s="11"/>
      <c r="L415" s="11"/>
    </row>
    <row r="416">
      <c r="A416" s="13" t="str">
        <f>IFERROR(__xludf.DUMMYFUNCTION("""COMPUTED_VALUE"""),"Steelix")</f>
        <v>Steelix</v>
      </c>
      <c r="B416" s="11" t="str">
        <f>IFERROR(__xludf.DUMMYFUNCTION("""COMPUTED_VALUE"""),"piece of steel")</f>
        <v>piece of steel</v>
      </c>
      <c r="C416" s="11" t="str">
        <f>IFERROR(__xludf.DUMMYFUNCTION("""COMPUTED_VALUE"""),"earth ball")</f>
        <v>earth ball</v>
      </c>
      <c r="D416" s="11" t="str">
        <f>IFERROR(__xludf.DUMMYFUNCTION("""COMPUTED_VALUE"""),"steelix tail")</f>
        <v>steelix tail</v>
      </c>
      <c r="E416" s="11" t="str">
        <f>IFERROR(__xludf.DUMMYFUNCTION("""COMPUTED_VALUE"""),"metal stone")</f>
        <v>metal stone</v>
      </c>
      <c r="F416" s="11" t="str">
        <f>IFERROR(__xludf.DUMMYFUNCTION("""COMPUTED_VALUE"""),"earth stone")</f>
        <v>earth stone</v>
      </c>
      <c r="G416" s="11" t="str">
        <f>IFERROR(__xludf.DUMMYFUNCTION("""COMPUTED_VALUE"""),"metal coat")</f>
        <v>metal coat</v>
      </c>
      <c r="H416" s="11"/>
      <c r="I416" s="11"/>
      <c r="J416" s="11"/>
      <c r="K416" s="11"/>
      <c r="L416" s="11"/>
    </row>
    <row r="417">
      <c r="A417" s="13" t="str">
        <f>IFERROR(__xludf.DUMMYFUNCTION("""COMPUTED_VALUE"""),"Shiny Steelix")</f>
        <v>Shiny Steelix</v>
      </c>
      <c r="B417" s="11" t="str">
        <f>IFERROR(__xludf.DUMMYFUNCTION("""COMPUTED_VALUE"""),"piece of steel")</f>
        <v>piece of steel</v>
      </c>
      <c r="C417" s="11" t="str">
        <f>IFERROR(__xludf.DUMMYFUNCTION("""COMPUTED_VALUE"""),"earth ball")</f>
        <v>earth ball</v>
      </c>
      <c r="D417" s="11" t="str">
        <f>IFERROR(__xludf.DUMMYFUNCTION("""COMPUTED_VALUE"""),"golden steelix tail")</f>
        <v>golden steelix tail</v>
      </c>
      <c r="E417" s="11" t="str">
        <f>IFERROR(__xludf.DUMMYFUNCTION("""COMPUTED_VALUE"""),"metal stone")</f>
        <v>metal stone</v>
      </c>
      <c r="F417" s="11" t="str">
        <f>IFERROR(__xludf.DUMMYFUNCTION("""COMPUTED_VALUE"""),"earth stone")</f>
        <v>earth stone</v>
      </c>
      <c r="G417" s="11" t="str">
        <f>IFERROR(__xludf.DUMMYFUNCTION("""COMPUTED_VALUE"""),"mythic metal orb")</f>
        <v>mythic metal orb</v>
      </c>
      <c r="H417" s="11" t="str">
        <f>IFERROR(__xludf.DUMMYFUNCTION("""COMPUTED_VALUE"""),"metal coat")</f>
        <v>metal coat</v>
      </c>
      <c r="I417" s="11"/>
      <c r="J417" s="11"/>
      <c r="K417" s="11"/>
      <c r="L417" s="11"/>
    </row>
    <row r="418">
      <c r="A418" s="13" t="str">
        <f>IFERROR(__xludf.DUMMYFUNCTION("""COMPUTED_VALUE"""),"Snubbull")</f>
        <v>Snubbull</v>
      </c>
      <c r="B418" s="11" t="str">
        <f>IFERROR(__xludf.DUMMYFUNCTION("""COMPUTED_VALUE"""),"fairy essence")</f>
        <v>fairy essence</v>
      </c>
      <c r="C418" s="11" t="str">
        <f>IFERROR(__xludf.DUMMYFUNCTION("""COMPUTED_VALUE"""),"snubull ear")</f>
        <v>snubull ear</v>
      </c>
      <c r="D418" s="11"/>
      <c r="E418" s="11"/>
      <c r="F418" s="11"/>
      <c r="G418" s="11"/>
      <c r="H418" s="11"/>
      <c r="I418" s="11"/>
      <c r="J418" s="11"/>
      <c r="K418" s="11"/>
      <c r="L418" s="11"/>
    </row>
    <row r="419">
      <c r="A419" s="13" t="str">
        <f>IFERROR(__xludf.DUMMYFUNCTION("""COMPUTED_VALUE"""),"Shiny Snubbull")</f>
        <v>Shiny Snubbull</v>
      </c>
      <c r="B419" s="11" t="str">
        <f>IFERROR(__xludf.DUMMYFUNCTION("""COMPUTED_VALUE"""),"fairy essence")</f>
        <v>fairy essence</v>
      </c>
      <c r="C419" s="5" t="str">
        <f>IFERROR(__xludf.DUMMYFUNCTION("""COMPUTED_VALUE"""),"punk ear")</f>
        <v>punk ear</v>
      </c>
      <c r="D419" s="11" t="str">
        <f>IFERROR(__xludf.DUMMYFUNCTION("""COMPUTED_VALUE"""),"fairy stone")</f>
        <v>fairy stone</v>
      </c>
      <c r="E419" s="11" t="str">
        <f>IFERROR(__xludf.DUMMYFUNCTION("""COMPUTED_VALUE"""),"simple fairy orb")</f>
        <v>simple fairy orb</v>
      </c>
      <c r="F419" s="11"/>
      <c r="G419" s="11"/>
      <c r="H419" s="11"/>
      <c r="I419" s="11"/>
      <c r="J419" s="11"/>
      <c r="K419" s="11"/>
      <c r="L419" s="11"/>
    </row>
    <row r="420">
      <c r="A420" s="13" t="str">
        <f>IFERROR(__xludf.DUMMYFUNCTION("""COMPUTED_VALUE"""),"Granbull")</f>
        <v>Granbull</v>
      </c>
      <c r="B420" s="11" t="str">
        <f>IFERROR(__xludf.DUMMYFUNCTION("""COMPUTED_VALUE"""),"fairy essence")</f>
        <v>fairy essence</v>
      </c>
      <c r="C420" s="11" t="str">
        <f>IFERROR(__xludf.DUMMYFUNCTION("""COMPUTED_VALUE"""),"granbull ear")</f>
        <v>granbull ear</v>
      </c>
      <c r="D420" s="11" t="str">
        <f>IFERROR(__xludf.DUMMYFUNCTION("""COMPUTED_VALUE"""),"fairy stone")</f>
        <v>fairy stone</v>
      </c>
      <c r="E420" s="11"/>
      <c r="F420" s="11"/>
      <c r="G420" s="11"/>
      <c r="H420" s="11"/>
      <c r="I420" s="11"/>
      <c r="J420" s="11"/>
      <c r="K420" s="11"/>
      <c r="L420" s="11"/>
    </row>
    <row r="421">
      <c r="A421" s="13" t="str">
        <f>IFERROR(__xludf.DUMMYFUNCTION("""COMPUTED_VALUE"""),"Shiny Granbull")</f>
        <v>Shiny Granbull</v>
      </c>
      <c r="B421" s="11" t="str">
        <f>IFERROR(__xludf.DUMMYFUNCTION("""COMPUTED_VALUE"""),"fairy essence")</f>
        <v>fairy essence</v>
      </c>
      <c r="C421" s="11" t="str">
        <f>IFERROR(__xludf.DUMMYFUNCTION("""COMPUTED_VALUE"""),"brown ear")</f>
        <v>brown ear</v>
      </c>
      <c r="D421" s="11" t="str">
        <f>IFERROR(__xludf.DUMMYFUNCTION("""COMPUTED_VALUE"""),"fairy stone")</f>
        <v>fairy stone</v>
      </c>
      <c r="E421" s="11" t="str">
        <f>IFERROR(__xludf.DUMMYFUNCTION("""COMPUTED_VALUE"""),"arcane fairy orb")</f>
        <v>arcane fairy orb</v>
      </c>
      <c r="F421" s="11" t="str">
        <f>IFERROR(__xludf.DUMMYFUNCTION("""COMPUTED_VALUE"""),"mythic fairy orb")</f>
        <v>mythic fairy orb</v>
      </c>
      <c r="G421" s="11"/>
      <c r="H421" s="11"/>
      <c r="I421" s="11"/>
      <c r="J421" s="11"/>
      <c r="K421" s="11"/>
      <c r="L421" s="11"/>
    </row>
    <row r="422">
      <c r="A422" s="13" t="str">
        <f>IFERROR(__xludf.DUMMYFUNCTION("""COMPUTED_VALUE"""),"Qwilfish")</f>
        <v>Qwilfish</v>
      </c>
      <c r="B422" s="11" t="str">
        <f>IFERROR(__xludf.DUMMYFUNCTION("""COMPUTED_VALUE"""),"water gem")</f>
        <v>water gem</v>
      </c>
      <c r="C422" s="11" t="str">
        <f>IFERROR(__xludf.DUMMYFUNCTION("""COMPUTED_VALUE"""),"bottle of poison")</f>
        <v>bottle of poison</v>
      </c>
      <c r="D422" s="5" t="str">
        <f>IFERROR(__xludf.DUMMYFUNCTION("""COMPUTED_VALUE"""),"puffer tail")</f>
        <v>puffer tail</v>
      </c>
      <c r="E422" s="11" t="str">
        <f>IFERROR(__xludf.DUMMYFUNCTION("""COMPUTED_VALUE"""),"water stone")</f>
        <v>water stone</v>
      </c>
      <c r="F422" s="11" t="str">
        <f>IFERROR(__xludf.DUMMYFUNCTION("""COMPUTED_VALUE"""),"venom stone")</f>
        <v>venom stone</v>
      </c>
      <c r="G422" s="11"/>
      <c r="H422" s="11"/>
      <c r="I422" s="11"/>
      <c r="J422" s="11"/>
      <c r="K422" s="11"/>
      <c r="L422" s="11"/>
    </row>
    <row r="423">
      <c r="A423" s="13" t="str">
        <f>IFERROR(__xludf.DUMMYFUNCTION("""COMPUTED_VALUE"""),"Shiny Qwilfish")</f>
        <v>Shiny Qwilfish</v>
      </c>
      <c r="B423" s="11" t="str">
        <f>IFERROR(__xludf.DUMMYFUNCTION("""COMPUTED_VALUE"""),"water gem")</f>
        <v>water gem</v>
      </c>
      <c r="C423" s="11" t="str">
        <f>IFERROR(__xludf.DUMMYFUNCTION("""COMPUTED_VALUE"""),"bottle of poison")</f>
        <v>bottle of poison</v>
      </c>
      <c r="D423" s="11" t="str">
        <f>IFERROR(__xludf.DUMMYFUNCTION("""COMPUTED_VALUE"""),"poisoned fish tail")</f>
        <v>poisoned fish tail</v>
      </c>
      <c r="E423" s="11" t="str">
        <f>IFERROR(__xludf.DUMMYFUNCTION("""COMPUTED_VALUE"""),"water stone")</f>
        <v>water stone</v>
      </c>
      <c r="F423" s="11" t="str">
        <f>IFERROR(__xludf.DUMMYFUNCTION("""COMPUTED_VALUE"""),"venom stone")</f>
        <v>venom stone</v>
      </c>
      <c r="G423" s="11" t="str">
        <f>IFERROR(__xludf.DUMMYFUNCTION("""COMPUTED_VALUE"""),"arcane water orb")</f>
        <v>arcane water orb</v>
      </c>
      <c r="H423" s="11"/>
      <c r="I423" s="11"/>
      <c r="J423" s="11"/>
      <c r="K423" s="11"/>
      <c r="L423" s="11"/>
    </row>
    <row r="424">
      <c r="A424" s="13" t="str">
        <f>IFERROR(__xludf.DUMMYFUNCTION("""COMPUTED_VALUE"""),"Scizor")</f>
        <v>Scizor</v>
      </c>
      <c r="B424" s="11" t="str">
        <f>IFERROR(__xludf.DUMMYFUNCTION("""COMPUTED_VALUE"""),"bug gosme")</f>
        <v>bug gosme</v>
      </c>
      <c r="C424" s="11" t="str">
        <f>IFERROR(__xludf.DUMMYFUNCTION("""COMPUTED_VALUE"""),"piece of steel")</f>
        <v>piece of steel</v>
      </c>
      <c r="D424" s="11" t="str">
        <f>IFERROR(__xludf.DUMMYFUNCTION("""COMPUTED_VALUE"""),"scizor claw")</f>
        <v>scizor claw</v>
      </c>
      <c r="E424" s="11" t="str">
        <f>IFERROR(__xludf.DUMMYFUNCTION("""COMPUTED_VALUE"""),"cocoon stone")</f>
        <v>cocoon stone</v>
      </c>
      <c r="F424" s="11" t="str">
        <f>IFERROR(__xludf.DUMMYFUNCTION("""COMPUTED_VALUE"""),"metal stone")</f>
        <v>metal stone</v>
      </c>
      <c r="G424" s="11" t="str">
        <f>IFERROR(__xludf.DUMMYFUNCTION("""COMPUTED_VALUE"""),"metal coat")</f>
        <v>metal coat</v>
      </c>
      <c r="H424" s="11"/>
      <c r="I424" s="11"/>
      <c r="J424" s="11"/>
      <c r="K424" s="11"/>
      <c r="L424" s="11"/>
    </row>
    <row r="425">
      <c r="A425" s="13" t="str">
        <f>IFERROR(__xludf.DUMMYFUNCTION("""COMPUTED_VALUE"""),"Shiny Scizor")</f>
        <v>Shiny Scizor</v>
      </c>
      <c r="B425" s="11" t="str">
        <f>IFERROR(__xludf.DUMMYFUNCTION("""COMPUTED_VALUE"""),"bug gosme")</f>
        <v>bug gosme</v>
      </c>
      <c r="C425" s="11" t="str">
        <f>IFERROR(__xludf.DUMMYFUNCTION("""COMPUTED_VALUE"""),"piece of steel")</f>
        <v>piece of steel</v>
      </c>
      <c r="D425" s="11" t="str">
        <f>IFERROR(__xludf.DUMMYFUNCTION("""COMPUTED_VALUE"""),"carbon claw")</f>
        <v>carbon claw</v>
      </c>
      <c r="E425" s="11" t="str">
        <f>IFERROR(__xludf.DUMMYFUNCTION("""COMPUTED_VALUE"""),"cocoon stone")</f>
        <v>cocoon stone</v>
      </c>
      <c r="F425" s="11" t="str">
        <f>IFERROR(__xludf.DUMMYFUNCTION("""COMPUTED_VALUE"""),"metal stone")</f>
        <v>metal stone</v>
      </c>
      <c r="G425" s="11" t="str">
        <f>IFERROR(__xludf.DUMMYFUNCTION("""COMPUTED_VALUE"""),"metal coat")</f>
        <v>metal coat</v>
      </c>
      <c r="H425" s="11" t="str">
        <f>IFERROR(__xludf.DUMMYFUNCTION("""COMPUTED_VALUE"""),"mythic metal orb")</f>
        <v>mythic metal orb</v>
      </c>
      <c r="I425" s="11"/>
      <c r="J425" s="11"/>
      <c r="K425" s="11"/>
      <c r="L425" s="11"/>
    </row>
    <row r="426">
      <c r="A426" s="13" t="str">
        <f>IFERROR(__xludf.DUMMYFUNCTION("""COMPUTED_VALUE"""),"Shuckle")</f>
        <v>Shuckle</v>
      </c>
      <c r="B426" s="11" t="str">
        <f>IFERROR(__xludf.DUMMYFUNCTION("""COMPUTED_VALUE"""),"bug gosme")</f>
        <v>bug gosme</v>
      </c>
      <c r="C426" s="11" t="str">
        <f>IFERROR(__xludf.DUMMYFUNCTION("""COMPUTED_VALUE"""),"small stone")</f>
        <v>small stone</v>
      </c>
      <c r="D426" s="11" t="str">
        <f>IFERROR(__xludf.DUMMYFUNCTION("""COMPUTED_VALUE"""),"shuckle shell")</f>
        <v>shuckle shell</v>
      </c>
      <c r="E426" s="11" t="str">
        <f>IFERROR(__xludf.DUMMYFUNCTION("""COMPUTED_VALUE"""),"cocoon stone")</f>
        <v>cocoon stone</v>
      </c>
      <c r="F426" s="11" t="str">
        <f>IFERROR(__xludf.DUMMYFUNCTION("""COMPUTED_VALUE"""),"rock stone")</f>
        <v>rock stone</v>
      </c>
      <c r="G426" s="11"/>
      <c r="H426" s="11"/>
      <c r="I426" s="11"/>
      <c r="J426" s="11"/>
      <c r="K426" s="11"/>
      <c r="L426" s="11"/>
    </row>
    <row r="427">
      <c r="A427" s="13" t="str">
        <f>IFERROR(__xludf.DUMMYFUNCTION("""COMPUTED_VALUE"""),"Shiny Shuckle")</f>
        <v>Shiny Shuckle</v>
      </c>
      <c r="B427" s="11" t="str">
        <f>IFERROR(__xludf.DUMMYFUNCTION("""COMPUTED_VALUE"""),"bug gosme")</f>
        <v>bug gosme</v>
      </c>
      <c r="C427" s="11" t="str">
        <f>IFERROR(__xludf.DUMMYFUNCTION("""COMPUTED_VALUE"""),"small stone")</f>
        <v>small stone</v>
      </c>
      <c r="D427" s="11" t="str">
        <f>IFERROR(__xludf.DUMMYFUNCTION("""COMPUTED_VALUE"""),"blue shuckle shell")</f>
        <v>blue shuckle shell</v>
      </c>
      <c r="E427" s="11" t="str">
        <f>IFERROR(__xludf.DUMMYFUNCTION("""COMPUTED_VALUE"""),"cocoon stone")</f>
        <v>cocoon stone</v>
      </c>
      <c r="F427" s="11" t="str">
        <f>IFERROR(__xludf.DUMMYFUNCTION("""COMPUTED_VALUE"""),"rock stone")</f>
        <v>rock stone</v>
      </c>
      <c r="G427" s="11" t="str">
        <f>IFERROR(__xludf.DUMMYFUNCTION("""COMPUTED_VALUE"""),"arcane rock orb")</f>
        <v>arcane rock orb</v>
      </c>
      <c r="H427" s="11"/>
      <c r="I427" s="11"/>
      <c r="J427" s="11"/>
      <c r="K427" s="11"/>
      <c r="L427" s="11"/>
    </row>
    <row r="428">
      <c r="A428" s="13" t="str">
        <f>IFERROR(__xludf.DUMMYFUNCTION("""COMPUTED_VALUE"""),"Heracross")</f>
        <v>Heracross</v>
      </c>
      <c r="B428" s="11" t="str">
        <f>IFERROR(__xludf.DUMMYFUNCTION("""COMPUTED_VALUE"""),"bug gosme")</f>
        <v>bug gosme</v>
      </c>
      <c r="C428" s="11" t="str">
        <f>IFERROR(__xludf.DUMMYFUNCTION("""COMPUTED_VALUE"""),"band aid")</f>
        <v>band aid</v>
      </c>
      <c r="D428" s="11" t="str">
        <f>IFERROR(__xludf.DUMMYFUNCTION("""COMPUTED_VALUE"""),"bug horn")</f>
        <v>bug horn</v>
      </c>
      <c r="E428" s="11" t="str">
        <f>IFERROR(__xludf.DUMMYFUNCTION("""COMPUTED_VALUE"""),"cocoon stone")</f>
        <v>cocoon stone</v>
      </c>
      <c r="F428" s="11" t="str">
        <f>IFERROR(__xludf.DUMMYFUNCTION("""COMPUTED_VALUE"""),"punch stone")</f>
        <v>punch stone</v>
      </c>
      <c r="G428" s="11"/>
      <c r="H428" s="11"/>
      <c r="I428" s="11"/>
      <c r="J428" s="11"/>
      <c r="K428" s="11"/>
      <c r="L428" s="11"/>
    </row>
    <row r="429">
      <c r="A429" s="13" t="str">
        <f>IFERROR(__xludf.DUMMYFUNCTION("""COMPUTED_VALUE"""),"Shiny Heracross")</f>
        <v>Shiny Heracross</v>
      </c>
      <c r="B429" s="11" t="str">
        <f>IFERROR(__xludf.DUMMYFUNCTION("""COMPUTED_VALUE"""),"bug gosme")</f>
        <v>bug gosme</v>
      </c>
      <c r="C429" s="11" t="str">
        <f>IFERROR(__xludf.DUMMYFUNCTION("""COMPUTED_VALUE"""),"band aid")</f>
        <v>band aid</v>
      </c>
      <c r="D429" s="11" t="str">
        <f>IFERROR(__xludf.DUMMYFUNCTION("""COMPUTED_VALUE"""),"pink bug horn")</f>
        <v>pink bug horn</v>
      </c>
      <c r="E429" s="11" t="str">
        <f>IFERROR(__xludf.DUMMYFUNCTION("""COMPUTED_VALUE"""),"cocoon stone")</f>
        <v>cocoon stone</v>
      </c>
      <c r="F429" s="11" t="str">
        <f>IFERROR(__xludf.DUMMYFUNCTION("""COMPUTED_VALUE"""),"punch stone")</f>
        <v>punch stone</v>
      </c>
      <c r="G429" s="11" t="str">
        <f>IFERROR(__xludf.DUMMYFUNCTION("""COMPUTED_VALUE"""),"arcane fighting orb")</f>
        <v>arcane fighting orb</v>
      </c>
      <c r="H429" s="11" t="str">
        <f>IFERROR(__xludf.DUMMYFUNCTION("""COMPUTED_VALUE"""),"mythic fighting orb")</f>
        <v>mythic fighting orb</v>
      </c>
      <c r="I429" s="11"/>
      <c r="J429" s="11"/>
      <c r="K429" s="11"/>
      <c r="L429" s="11"/>
    </row>
    <row r="430">
      <c r="A430" s="13" t="str">
        <f>IFERROR(__xludf.DUMMYFUNCTION("""COMPUTED_VALUE"""),"Sneasel")</f>
        <v>Sneasel</v>
      </c>
      <c r="B430" s="5" t="str">
        <f>IFERROR(__xludf.DUMMYFUNCTION("""COMPUTED_VALUE"""),"dark gem")</f>
        <v>dark gem</v>
      </c>
      <c r="C430" s="5" t="str">
        <f>IFERROR(__xludf.DUMMYFUNCTION("""COMPUTED_VALUE"""),"snow ball")</f>
        <v>snow ball</v>
      </c>
      <c r="D430" s="5" t="str">
        <f>IFERROR(__xludf.DUMMYFUNCTION("""COMPUTED_VALUE"""),"sneasel feather")</f>
        <v>sneasel feather</v>
      </c>
      <c r="E430" s="5" t="str">
        <f>IFERROR(__xludf.DUMMYFUNCTION("""COMPUTED_VALUE"""),"darkness stone")</f>
        <v>darkness stone</v>
      </c>
      <c r="F430" s="5" t="str">
        <f>IFERROR(__xludf.DUMMYFUNCTION("""COMPUTED_VALUE"""),"ice stone")</f>
        <v>ice stone</v>
      </c>
      <c r="G430" s="11"/>
      <c r="H430" s="11"/>
      <c r="I430" s="11"/>
      <c r="J430" s="11"/>
      <c r="K430" s="11"/>
      <c r="L430" s="11"/>
    </row>
    <row r="431">
      <c r="A431" s="13" t="str">
        <f>IFERROR(__xludf.DUMMYFUNCTION("""COMPUTED_VALUE"""),"Shiny Sneasel")</f>
        <v>Shiny Sneasel</v>
      </c>
      <c r="B431" s="5" t="str">
        <f>IFERROR(__xludf.DUMMYFUNCTION("""COMPUTED_VALUE"""),"dark gem")</f>
        <v>dark gem</v>
      </c>
      <c r="C431" s="5" t="str">
        <f>IFERROR(__xludf.DUMMYFUNCTION("""COMPUTED_VALUE"""),"snow ball")</f>
        <v>snow ball</v>
      </c>
      <c r="D431" s="5" t="str">
        <f>IFERROR(__xludf.DUMMYFUNCTION("""COMPUTED_VALUE"""),"cyan feather")</f>
        <v>cyan feather</v>
      </c>
      <c r="E431" s="5" t="str">
        <f>IFERROR(__xludf.DUMMYFUNCTION("""COMPUTED_VALUE"""),"darkness stone")</f>
        <v>darkness stone</v>
      </c>
      <c r="F431" s="5" t="str">
        <f>IFERROR(__xludf.DUMMYFUNCTION("""COMPUTED_VALUE"""),"ice stone")</f>
        <v>ice stone</v>
      </c>
      <c r="G431" s="5" t="str">
        <f>IFERROR(__xludf.DUMMYFUNCTION("""COMPUTED_VALUE"""),"arcane dark orb")</f>
        <v>arcane dark orb</v>
      </c>
      <c r="H431" s="11"/>
      <c r="I431" s="11"/>
      <c r="J431" s="11"/>
      <c r="K431" s="11"/>
      <c r="L431" s="11"/>
    </row>
    <row r="432">
      <c r="A432" s="13" t="str">
        <f>IFERROR(__xludf.DUMMYFUNCTION("""COMPUTED_VALUE"""),"Teddiursa")</f>
        <v>Teddiursa</v>
      </c>
      <c r="B432" s="11" t="str">
        <f>IFERROR(__xludf.DUMMYFUNCTION("""COMPUTED_VALUE"""),"rubber ball")</f>
        <v>rubber ball</v>
      </c>
      <c r="C432" s="11" t="str">
        <f>IFERROR(__xludf.DUMMYFUNCTION("""COMPUTED_VALUE"""),"moon pendant")</f>
        <v>moon pendant</v>
      </c>
      <c r="D432" s="11"/>
      <c r="E432" s="11"/>
      <c r="F432" s="11"/>
      <c r="G432" s="11"/>
      <c r="H432" s="11"/>
      <c r="I432" s="11"/>
      <c r="J432" s="11"/>
      <c r="K432" s="11"/>
      <c r="L432" s="11"/>
    </row>
    <row r="433">
      <c r="A433" s="13" t="str">
        <f>IFERROR(__xludf.DUMMYFUNCTION("""COMPUTED_VALUE"""),"Shiny Teddiursa")</f>
        <v>Shiny Teddiursa</v>
      </c>
      <c r="B433" s="11" t="str">
        <f>IFERROR(__xludf.DUMMYFUNCTION("""COMPUTED_VALUE"""),"rubber ball")</f>
        <v>rubber ball</v>
      </c>
      <c r="C433" s="11" t="str">
        <f>IFERROR(__xludf.DUMMYFUNCTION("""COMPUTED_VALUE"""),"shining moon pendant")</f>
        <v>shining moon pendant</v>
      </c>
      <c r="D433" s="11" t="str">
        <f>IFERROR(__xludf.DUMMYFUNCTION("""COMPUTED_VALUE"""),"heart stone")</f>
        <v>heart stone</v>
      </c>
      <c r="E433" s="11" t="str">
        <f>IFERROR(__xludf.DUMMYFUNCTION("""COMPUTED_VALUE"""),"arcane normal orb")</f>
        <v>arcane normal orb</v>
      </c>
      <c r="F433" s="11"/>
      <c r="G433" s="11"/>
      <c r="H433" s="11"/>
      <c r="I433" s="11"/>
      <c r="J433" s="11"/>
      <c r="K433" s="11"/>
      <c r="L433" s="11"/>
    </row>
    <row r="434">
      <c r="A434" s="13" t="str">
        <f>IFERROR(__xludf.DUMMYFUNCTION("""COMPUTED_VALUE"""),"Ursaring")</f>
        <v>Ursaring</v>
      </c>
      <c r="B434" s="11" t="str">
        <f>IFERROR(__xludf.DUMMYFUNCTION("""COMPUTED_VALUE"""),"rubber ball")</f>
        <v>rubber ball</v>
      </c>
      <c r="C434" s="11" t="str">
        <f>IFERROR(__xludf.DUMMYFUNCTION("""COMPUTED_VALUE"""),"bear claw")</f>
        <v>bear claw</v>
      </c>
      <c r="D434" s="11" t="str">
        <f>IFERROR(__xludf.DUMMYFUNCTION("""COMPUTED_VALUE"""),"heart stone")</f>
        <v>heart stone</v>
      </c>
      <c r="E434" s="11"/>
      <c r="F434" s="11"/>
      <c r="G434" s="11"/>
      <c r="H434" s="11"/>
      <c r="I434" s="11"/>
      <c r="J434" s="11"/>
      <c r="K434" s="11"/>
      <c r="L434" s="11"/>
    </row>
    <row r="435">
      <c r="A435" s="13" t="str">
        <f>IFERROR(__xludf.DUMMYFUNCTION("""COMPUTED_VALUE"""),"Shiny Ursaring")</f>
        <v>Shiny Ursaring</v>
      </c>
      <c r="B435" s="11" t="str">
        <f>IFERROR(__xludf.DUMMYFUNCTION("""COMPUTED_VALUE"""),"rubber ball")</f>
        <v>rubber ball</v>
      </c>
      <c r="C435" s="11" t="str">
        <f>IFERROR(__xludf.DUMMYFUNCTION("""COMPUTED_VALUE"""),"black bear claw")</f>
        <v>black bear claw</v>
      </c>
      <c r="D435" s="11" t="str">
        <f>IFERROR(__xludf.DUMMYFUNCTION("""COMPUTED_VALUE"""),"heart stone")</f>
        <v>heart stone</v>
      </c>
      <c r="E435" s="11" t="str">
        <f>IFERROR(__xludf.DUMMYFUNCTION("""COMPUTED_VALUE"""),"mythic normal orb")</f>
        <v>mythic normal orb</v>
      </c>
      <c r="F435" s="11"/>
      <c r="G435" s="11"/>
      <c r="H435" s="11"/>
      <c r="I435" s="11"/>
      <c r="J435" s="11"/>
      <c r="K435" s="11"/>
      <c r="L435" s="11"/>
    </row>
    <row r="436">
      <c r="A436" s="13" t="str">
        <f>IFERROR(__xludf.DUMMYFUNCTION("""COMPUTED_VALUE"""),"Slugma")</f>
        <v>Slugma</v>
      </c>
      <c r="B436" s="11" t="str">
        <f>IFERROR(__xludf.DUMMYFUNCTION("""COMPUTED_VALUE"""),"essence of fire")</f>
        <v>essence of fire</v>
      </c>
      <c r="C436" s="11" t="str">
        <f>IFERROR(__xludf.DUMMYFUNCTION("""COMPUTED_VALUE"""),"magma ears")</f>
        <v>magma ears</v>
      </c>
      <c r="D436" s="11"/>
      <c r="E436" s="11"/>
      <c r="F436" s="11"/>
      <c r="G436" s="11"/>
      <c r="H436" s="11"/>
      <c r="I436" s="11"/>
      <c r="J436" s="11"/>
      <c r="K436" s="11"/>
      <c r="L436" s="11"/>
    </row>
    <row r="437">
      <c r="A437" s="13" t="str">
        <f>IFERROR(__xludf.DUMMYFUNCTION("""COMPUTED_VALUE"""),"Shiny Slugma")</f>
        <v>Shiny Slugma</v>
      </c>
      <c r="B437" s="11" t="str">
        <f>IFERROR(__xludf.DUMMYFUNCTION("""COMPUTED_VALUE"""),"essence of fire")</f>
        <v>essence of fire</v>
      </c>
      <c r="C437" s="11" t="str">
        <f>IFERROR(__xludf.DUMMYFUNCTION("""COMPUTED_VALUE"""),"yellow magma ears")</f>
        <v>yellow magma ears</v>
      </c>
      <c r="D437" s="11" t="str">
        <f>IFERROR(__xludf.DUMMYFUNCTION("""COMPUTED_VALUE"""),"fire stone")</f>
        <v>fire stone</v>
      </c>
      <c r="E437" s="11" t="str">
        <f>IFERROR(__xludf.DUMMYFUNCTION("""COMPUTED_VALUE"""),"simple fire orb")</f>
        <v>simple fire orb</v>
      </c>
      <c r="F437" s="11"/>
      <c r="G437" s="11"/>
      <c r="H437" s="11"/>
      <c r="I437" s="11"/>
      <c r="J437" s="11"/>
      <c r="K437" s="11"/>
      <c r="L437" s="11"/>
    </row>
    <row r="438">
      <c r="A438" s="13" t="str">
        <f>IFERROR(__xludf.DUMMYFUNCTION("""COMPUTED_VALUE"""),"Magcargo")</f>
        <v>Magcargo</v>
      </c>
      <c r="B438" s="11" t="str">
        <f>IFERROR(__xludf.DUMMYFUNCTION("""COMPUTED_VALUE"""),"essence of fire")</f>
        <v>essence of fire</v>
      </c>
      <c r="C438" s="11" t="str">
        <f>IFERROR(__xludf.DUMMYFUNCTION("""COMPUTED_VALUE"""),"small stone")</f>
        <v>small stone</v>
      </c>
      <c r="D438" s="11" t="str">
        <f>IFERROR(__xludf.DUMMYFUNCTION("""COMPUTED_VALUE"""),"magma shell")</f>
        <v>magma shell</v>
      </c>
      <c r="E438" s="11" t="str">
        <f>IFERROR(__xludf.DUMMYFUNCTION("""COMPUTED_VALUE"""),"fire stone")</f>
        <v>fire stone</v>
      </c>
      <c r="F438" s="11" t="str">
        <f>IFERROR(__xludf.DUMMYFUNCTION("""COMPUTED_VALUE"""),"rock stone")</f>
        <v>rock stone</v>
      </c>
      <c r="G438" s="11"/>
      <c r="H438" s="11"/>
      <c r="I438" s="11"/>
      <c r="J438" s="11"/>
      <c r="K438" s="11"/>
      <c r="L438" s="11"/>
    </row>
    <row r="439">
      <c r="A439" s="13" t="str">
        <f>IFERROR(__xludf.DUMMYFUNCTION("""COMPUTED_VALUE"""),"Shiny Magcargo")</f>
        <v>Shiny Magcargo</v>
      </c>
      <c r="B439" s="11" t="str">
        <f>IFERROR(__xludf.DUMMYFUNCTION("""COMPUTED_VALUE"""),"essence of fire")</f>
        <v>essence of fire</v>
      </c>
      <c r="C439" s="11" t="str">
        <f>IFERROR(__xludf.DUMMYFUNCTION("""COMPUTED_VALUE"""),"small stone")</f>
        <v>small stone</v>
      </c>
      <c r="D439" s="11" t="str">
        <f>IFERROR(__xludf.DUMMYFUNCTION("""COMPUTED_VALUE"""),"blue magma shell")</f>
        <v>blue magma shell</v>
      </c>
      <c r="E439" s="11" t="str">
        <f>IFERROR(__xludf.DUMMYFUNCTION("""COMPUTED_VALUE"""),"fire stone")</f>
        <v>fire stone</v>
      </c>
      <c r="F439" s="11" t="str">
        <f>IFERROR(__xludf.DUMMYFUNCTION("""COMPUTED_VALUE"""),"rock stone")</f>
        <v>rock stone</v>
      </c>
      <c r="G439" s="11" t="str">
        <f>IFERROR(__xludf.DUMMYFUNCTION("""COMPUTED_VALUE"""),"arcane fire orb")</f>
        <v>arcane fire orb</v>
      </c>
      <c r="H439" s="11" t="str">
        <f>IFERROR(__xludf.DUMMYFUNCTION("""COMPUTED_VALUE"""),"mythic fire orb")</f>
        <v>mythic fire orb</v>
      </c>
      <c r="I439" s="11"/>
      <c r="J439" s="11"/>
      <c r="K439" s="11"/>
      <c r="L439" s="11"/>
    </row>
    <row r="440">
      <c r="A440" s="13" t="str">
        <f>IFERROR(__xludf.DUMMYFUNCTION("""COMPUTED_VALUE"""),"Swinub")</f>
        <v>Swinub</v>
      </c>
      <c r="B440" s="5" t="str">
        <f>IFERROR(__xludf.DUMMYFUNCTION("""COMPUTED_VALUE"""),"snowball")</f>
        <v>snowball</v>
      </c>
      <c r="C440" s="5" t="str">
        <f>IFERROR(__xludf.DUMMYFUNCTION("""COMPUTED_VALUE"""),"earth ball")</f>
        <v>earth ball</v>
      </c>
      <c r="D440" s="5" t="str">
        <f>IFERROR(__xludf.DUMMYFUNCTION("""COMPUTED_VALUE"""),"furry hair")</f>
        <v>furry hair</v>
      </c>
      <c r="E440" s="11"/>
      <c r="F440" s="11"/>
      <c r="G440" s="11"/>
      <c r="H440" s="11"/>
      <c r="I440" s="11"/>
      <c r="J440" s="11"/>
      <c r="K440" s="11"/>
      <c r="L440" s="11"/>
    </row>
    <row r="441">
      <c r="A441" s="13" t="str">
        <f>IFERROR(__xludf.DUMMYFUNCTION("""COMPUTED_VALUE"""),"Shiny Swinub")</f>
        <v>Shiny Swinub</v>
      </c>
      <c r="B441" s="5" t="str">
        <f>IFERROR(__xludf.DUMMYFUNCTION("""COMPUTED_VALUE"""),"snowball")</f>
        <v>snowball</v>
      </c>
      <c r="C441" s="5" t="str">
        <f>IFERROR(__xludf.DUMMYFUNCTION("""COMPUTED_VALUE"""),"earth ball")</f>
        <v>earth ball</v>
      </c>
      <c r="D441" s="5" t="str">
        <f>IFERROR(__xludf.DUMMYFUNCTION("""COMPUTED_VALUE"""),"gray furry hair")</f>
        <v>gray furry hair</v>
      </c>
      <c r="E441" s="5" t="str">
        <f>IFERROR(__xludf.DUMMYFUNCTION("""COMPUTED_VALUE"""),"ice stone")</f>
        <v>ice stone</v>
      </c>
      <c r="F441" s="5" t="str">
        <f>IFERROR(__xludf.DUMMYFUNCTION("""COMPUTED_VALUE"""),"earth stone")</f>
        <v>earth stone</v>
      </c>
      <c r="G441" s="5" t="str">
        <f>IFERROR(__xludf.DUMMYFUNCTION("""COMPUTED_VALUE"""),"simple ice orb")</f>
        <v>simple ice orb</v>
      </c>
      <c r="H441" s="11"/>
      <c r="I441" s="11"/>
      <c r="J441" s="11"/>
      <c r="K441" s="11"/>
      <c r="L441" s="11"/>
    </row>
    <row r="442">
      <c r="A442" s="13" t="str">
        <f>IFERROR(__xludf.DUMMYFUNCTION("""COMPUTED_VALUE"""),"Piloswine")</f>
        <v>Piloswine</v>
      </c>
      <c r="B442" s="11" t="str">
        <f>IFERROR(__xludf.DUMMYFUNCTION("""COMPUTED_VALUE"""),"snotball")</f>
        <v>snotball</v>
      </c>
      <c r="C442" s="11" t="str">
        <f>IFERROR(__xludf.DUMMYFUNCTION("""COMPUTED_VALUE"""),"earth ball")</f>
        <v>earth ball</v>
      </c>
      <c r="D442" s="11" t="str">
        <f>IFERROR(__xludf.DUMMYFUNCTION("""COMPUTED_VALUE"""),"ice tusks")</f>
        <v>ice tusks</v>
      </c>
      <c r="E442" s="11" t="str">
        <f>IFERROR(__xludf.DUMMYFUNCTION("""COMPUTED_VALUE"""),"ice stone")</f>
        <v>ice stone</v>
      </c>
      <c r="F442" s="11" t="str">
        <f>IFERROR(__xludf.DUMMYFUNCTION("""COMPUTED_VALUE"""),"earth stone")</f>
        <v>earth stone</v>
      </c>
      <c r="G442" s="11"/>
      <c r="H442" s="11"/>
      <c r="I442" s="11"/>
      <c r="J442" s="11"/>
      <c r="K442" s="11"/>
      <c r="L442" s="11"/>
    </row>
    <row r="443">
      <c r="A443" s="13" t="str">
        <f>IFERROR(__xludf.DUMMYFUNCTION("""COMPUTED_VALUE"""),"Shiny Piloswine")</f>
        <v>Shiny Piloswine</v>
      </c>
      <c r="B443" s="11" t="str">
        <f>IFERROR(__xludf.DUMMYFUNCTION("""COMPUTED_VALUE"""),"snotball")</f>
        <v>snotball</v>
      </c>
      <c r="C443" s="11" t="str">
        <f>IFERROR(__xludf.DUMMYFUNCTION("""COMPUTED_VALUE"""),"earth ball")</f>
        <v>earth ball</v>
      </c>
      <c r="D443" s="11" t="str">
        <f>IFERROR(__xludf.DUMMYFUNCTION("""COMPUTED_VALUE"""),"frozen turks")</f>
        <v>frozen turks</v>
      </c>
      <c r="E443" s="11" t="str">
        <f>IFERROR(__xludf.DUMMYFUNCTION("""COMPUTED_VALUE"""),"ice stone")</f>
        <v>ice stone</v>
      </c>
      <c r="F443" s="11" t="str">
        <f>IFERROR(__xludf.DUMMYFUNCTION("""COMPUTED_VALUE"""),"earth stone")</f>
        <v>earth stone</v>
      </c>
      <c r="G443" s="11" t="str">
        <f>IFERROR(__xludf.DUMMYFUNCTION("""COMPUTED_VALUE"""),"arcane ice orb")</f>
        <v>arcane ice orb</v>
      </c>
      <c r="H443" s="11" t="str">
        <f>IFERROR(__xludf.DUMMYFUNCTION("""COMPUTED_VALUE"""),"mythic ice orb")</f>
        <v>mythic ice orb</v>
      </c>
      <c r="I443" s="11"/>
      <c r="J443" s="11"/>
      <c r="K443" s="11"/>
      <c r="L443" s="11"/>
    </row>
    <row r="444">
      <c r="A444" s="13" t="str">
        <f>IFERROR(__xludf.DUMMYFUNCTION("""COMPUTED_VALUE"""),"Corsola")</f>
        <v>Corsola</v>
      </c>
      <c r="B444" s="5" t="str">
        <f>IFERROR(__xludf.DUMMYFUNCTION("""COMPUTED_VALUE"""),"water gem")</f>
        <v>water gem</v>
      </c>
      <c r="C444" s="5" t="str">
        <f>IFERROR(__xludf.DUMMYFUNCTION("""COMPUTED_VALUE"""),"small stone")</f>
        <v>small stone</v>
      </c>
      <c r="D444" s="5" t="str">
        <f>IFERROR(__xludf.DUMMYFUNCTION("""COMPUTED_VALUE"""),"piece of corsola")</f>
        <v>piece of corsola</v>
      </c>
      <c r="E444" s="5" t="str">
        <f>IFERROR(__xludf.DUMMYFUNCTION("""COMPUTED_VALUE"""),"water stone")</f>
        <v>water stone</v>
      </c>
      <c r="F444" s="5" t="str">
        <f>IFERROR(__xludf.DUMMYFUNCTION("""COMPUTED_VALUE"""),"rock stone")</f>
        <v>rock stone</v>
      </c>
      <c r="G444" s="11"/>
      <c r="H444" s="11"/>
      <c r="I444" s="11"/>
      <c r="J444" s="11"/>
      <c r="K444" s="11"/>
      <c r="L444" s="11"/>
    </row>
    <row r="445">
      <c r="A445" s="13" t="str">
        <f>IFERROR(__xludf.DUMMYFUNCTION("""COMPUTED_VALUE"""),"Shiny Corsola")</f>
        <v>Shiny Corsola</v>
      </c>
      <c r="B445" s="5" t="str">
        <f>IFERROR(__xludf.DUMMYFUNCTION("""COMPUTED_VALUE"""),"water gem")</f>
        <v>water gem</v>
      </c>
      <c r="C445" s="5" t="str">
        <f>IFERROR(__xludf.DUMMYFUNCTION("""COMPUTED_VALUE"""),"small stone")</f>
        <v>small stone</v>
      </c>
      <c r="D445" s="5" t="str">
        <f>IFERROR(__xludf.DUMMYFUNCTION("""COMPUTED_VALUE"""),"blue piece of corsola")</f>
        <v>blue piece of corsola</v>
      </c>
      <c r="E445" s="5" t="str">
        <f>IFERROR(__xludf.DUMMYFUNCTION("""COMPUTED_VALUE"""),"water stone")</f>
        <v>water stone</v>
      </c>
      <c r="F445" s="5" t="str">
        <f>IFERROR(__xludf.DUMMYFUNCTION("""COMPUTED_VALUE"""),"rock stone")</f>
        <v>rock stone</v>
      </c>
      <c r="G445" s="5" t="str">
        <f>IFERROR(__xludf.DUMMYFUNCTION("""COMPUTED_VALUE"""),"arcane rock orb")</f>
        <v>arcane rock orb</v>
      </c>
      <c r="H445" s="11"/>
      <c r="I445" s="11"/>
      <c r="J445" s="11"/>
      <c r="K445" s="11"/>
      <c r="L445" s="11"/>
    </row>
    <row r="446">
      <c r="A446" s="13" t="str">
        <f>IFERROR(__xludf.DUMMYFUNCTION("""COMPUTED_VALUE"""),"Remoraid")</f>
        <v>Remoraid</v>
      </c>
      <c r="B446" s="11" t="str">
        <f>IFERROR(__xludf.DUMMYFUNCTION("""COMPUTED_VALUE"""),"water gem")</f>
        <v>water gem</v>
      </c>
      <c r="C446" s="11" t="str">
        <f>IFERROR(__xludf.DUMMYFUNCTION("""COMPUTED_VALUE"""),"small blue fin")</f>
        <v>small blue fin</v>
      </c>
      <c r="D446" s="11"/>
      <c r="E446" s="11"/>
      <c r="F446" s="11"/>
      <c r="G446" s="11"/>
      <c r="H446" s="11"/>
      <c r="I446" s="11"/>
      <c r="J446" s="11"/>
      <c r="K446" s="11"/>
      <c r="L446" s="11"/>
    </row>
    <row r="447">
      <c r="A447" s="13" t="str">
        <f>IFERROR(__xludf.DUMMYFUNCTION("""COMPUTED_VALUE"""),"Shiny Remoraid")</f>
        <v>Shiny Remoraid</v>
      </c>
      <c r="B447" s="11" t="str">
        <f>IFERROR(__xludf.DUMMYFUNCTION("""COMPUTED_VALUE"""),"water gem")</f>
        <v>water gem</v>
      </c>
      <c r="C447" s="11" t="str">
        <f>IFERROR(__xludf.DUMMYFUNCTION("""COMPUTED_VALUE"""),"small green fin")</f>
        <v>small green fin</v>
      </c>
      <c r="D447" s="11" t="str">
        <f>IFERROR(__xludf.DUMMYFUNCTION("""COMPUTED_VALUE"""),"water stone")</f>
        <v>water stone</v>
      </c>
      <c r="E447" s="11" t="str">
        <f>IFERROR(__xludf.DUMMYFUNCTION("""COMPUTED_VALUE"""),"simple water orb")</f>
        <v>simple water orb</v>
      </c>
      <c r="F447" s="11"/>
      <c r="G447" s="11"/>
      <c r="H447" s="11"/>
      <c r="I447" s="11"/>
      <c r="J447" s="11"/>
      <c r="K447" s="11"/>
      <c r="L447" s="11"/>
    </row>
    <row r="448">
      <c r="A448" s="13" t="str">
        <f>IFERROR(__xludf.DUMMYFUNCTION("""COMPUTED_VALUE"""),"Octillery")</f>
        <v>Octillery</v>
      </c>
      <c r="B448" s="5" t="str">
        <f>IFERROR(__xludf.DUMMYFUNCTION("""COMPUTED_VALUE"""),"water gem")</f>
        <v>water gem</v>
      </c>
      <c r="C448" s="5" t="str">
        <f>IFERROR(__xludf.DUMMYFUNCTION("""COMPUTED_VALUE"""),"red tentacle")</f>
        <v>red tentacle</v>
      </c>
      <c r="D448" s="5" t="str">
        <f>IFERROR(__xludf.DUMMYFUNCTION("""COMPUTED_VALUE"""),"water stone")</f>
        <v>water stone</v>
      </c>
      <c r="E448" s="11"/>
      <c r="F448" s="11"/>
      <c r="G448" s="11"/>
      <c r="H448" s="11"/>
      <c r="I448" s="11"/>
      <c r="J448" s="11"/>
      <c r="K448" s="11"/>
      <c r="L448" s="11"/>
    </row>
    <row r="449">
      <c r="A449" s="13" t="str">
        <f>IFERROR(__xludf.DUMMYFUNCTION("""COMPUTED_VALUE"""),"Shiny Octillery")</f>
        <v>Shiny Octillery</v>
      </c>
      <c r="B449" s="5" t="str">
        <f>IFERROR(__xludf.DUMMYFUNCTION("""COMPUTED_VALUE"""),"water gem")</f>
        <v>water gem</v>
      </c>
      <c r="C449" s="5" t="str">
        <f>IFERROR(__xludf.DUMMYFUNCTION("""COMPUTED_VALUE"""),"yellow tentacle")</f>
        <v>yellow tentacle</v>
      </c>
      <c r="D449" s="5" t="str">
        <f>IFERROR(__xludf.DUMMYFUNCTION("""COMPUTED_VALUE"""),"water stone")</f>
        <v>water stone</v>
      </c>
      <c r="E449" s="5" t="str">
        <f>IFERROR(__xludf.DUMMYFUNCTION("""COMPUTED_VALUE"""),"arcane water orb")</f>
        <v>arcane water orb</v>
      </c>
      <c r="F449" s="11"/>
      <c r="G449" s="11"/>
      <c r="H449" s="11"/>
      <c r="I449" s="11"/>
      <c r="J449" s="11"/>
      <c r="K449" s="11"/>
      <c r="L449" s="11"/>
    </row>
    <row r="450">
      <c r="A450" s="13" t="str">
        <f>IFERROR(__xludf.DUMMYFUNCTION("""COMPUTED_VALUE"""),"Delibird")</f>
        <v>Delibird</v>
      </c>
      <c r="B450" s="5" t="str">
        <f>IFERROR(__xludf.DUMMYFUNCTION("""COMPUTED_VALUE"""),"snow ball")</f>
        <v>snow ball</v>
      </c>
      <c r="C450" s="5" t="str">
        <f>IFERROR(__xludf.DUMMYFUNCTION("""COMPUTED_VALUE"""),"straw")</f>
        <v>straw</v>
      </c>
      <c r="D450" s="5" t="str">
        <f>IFERROR(__xludf.DUMMYFUNCTION("""COMPUTED_VALUE"""),"gift tail")</f>
        <v>gift tail</v>
      </c>
      <c r="E450" s="5" t="str">
        <f>IFERROR(__xludf.DUMMYFUNCTION("""COMPUTED_VALUE"""),"ice stone")</f>
        <v>ice stone</v>
      </c>
      <c r="F450" s="5" t="str">
        <f>IFERROR(__xludf.DUMMYFUNCTION("""COMPUTED_VALUE"""),"feather stone")</f>
        <v>feather stone</v>
      </c>
      <c r="G450" s="11"/>
      <c r="H450" s="11"/>
      <c r="I450" s="11"/>
      <c r="J450" s="11"/>
      <c r="K450" s="11"/>
      <c r="L450" s="11"/>
    </row>
    <row r="451">
      <c r="A451" s="13" t="str">
        <f>IFERROR(__xludf.DUMMYFUNCTION("""COMPUTED_VALUE"""),"Shiny Delibird")</f>
        <v>Shiny Delibird</v>
      </c>
      <c r="B451" s="5" t="str">
        <f>IFERROR(__xludf.DUMMYFUNCTION("""COMPUTED_VALUE"""),"snow ball")</f>
        <v>snow ball</v>
      </c>
      <c r="C451" s="5" t="str">
        <f>IFERROR(__xludf.DUMMYFUNCTION("""COMPUTED_VALUE"""),"straw")</f>
        <v>straw</v>
      </c>
      <c r="D451" s="5" t="str">
        <f>IFERROR(__xludf.DUMMYFUNCTION("""COMPUTED_VALUE"""),"rainbow gift tail")</f>
        <v>rainbow gift tail</v>
      </c>
      <c r="E451" s="5" t="str">
        <f>IFERROR(__xludf.DUMMYFUNCTION("""COMPUTED_VALUE"""),"ice stone")</f>
        <v>ice stone</v>
      </c>
      <c r="F451" s="5" t="str">
        <f>IFERROR(__xludf.DUMMYFUNCTION("""COMPUTED_VALUE"""),"feather stone")</f>
        <v>feather stone</v>
      </c>
      <c r="G451" s="5" t="str">
        <f>IFERROR(__xludf.DUMMYFUNCTION("""COMPUTED_VALUE"""),"arcane ice orb")</f>
        <v>arcane ice orb</v>
      </c>
      <c r="H451" s="11"/>
      <c r="I451" s="11"/>
      <c r="J451" s="11"/>
      <c r="K451" s="11"/>
      <c r="L451" s="11"/>
    </row>
    <row r="452">
      <c r="A452" s="13" t="str">
        <f>IFERROR(__xludf.DUMMYFUNCTION("""COMPUTED_VALUE"""),"Mantine")</f>
        <v>Mantine</v>
      </c>
      <c r="B452" s="11" t="str">
        <f>IFERROR(__xludf.DUMMYFUNCTION("""COMPUTED_VALUE"""),"water gem")</f>
        <v>water gem</v>
      </c>
      <c r="C452" s="11" t="str">
        <f>IFERROR(__xludf.DUMMYFUNCTION("""COMPUTED_VALUE"""),"straw")</f>
        <v>straw</v>
      </c>
      <c r="D452" s="11" t="str">
        <f>IFERROR(__xludf.DUMMYFUNCTION("""COMPUTED_VALUE"""),"blue ray tail")</f>
        <v>blue ray tail</v>
      </c>
      <c r="E452" s="11" t="str">
        <f>IFERROR(__xludf.DUMMYFUNCTION("""COMPUTED_VALUE"""),"water stone")</f>
        <v>water stone</v>
      </c>
      <c r="F452" s="11" t="str">
        <f>IFERROR(__xludf.DUMMYFUNCTION("""COMPUTED_VALUE"""),"feather stone")</f>
        <v>feather stone</v>
      </c>
      <c r="G452" s="11"/>
      <c r="H452" s="11"/>
      <c r="I452" s="11"/>
      <c r="J452" s="11"/>
      <c r="K452" s="11"/>
      <c r="L452" s="11"/>
    </row>
    <row r="453">
      <c r="A453" s="13" t="str">
        <f>IFERROR(__xludf.DUMMYFUNCTION("""COMPUTED_VALUE"""),"Shiny Mantine")</f>
        <v>Shiny Mantine</v>
      </c>
      <c r="B453" s="11" t="str">
        <f>IFERROR(__xludf.DUMMYFUNCTION("""COMPUTED_VALUE"""),"water gem")</f>
        <v>water gem</v>
      </c>
      <c r="C453" s="11" t="str">
        <f>IFERROR(__xludf.DUMMYFUNCTION("""COMPUTED_VALUE"""),"straw")</f>
        <v>straw</v>
      </c>
      <c r="D453" s="11" t="str">
        <f>IFERROR(__xludf.DUMMYFUNCTION("""COMPUTED_VALUE"""),"cyan ray tail")</f>
        <v>cyan ray tail</v>
      </c>
      <c r="E453" s="11" t="str">
        <f>IFERROR(__xludf.DUMMYFUNCTION("""COMPUTED_VALUE"""),"water stone")</f>
        <v>water stone</v>
      </c>
      <c r="F453" s="11" t="str">
        <f>IFERROR(__xludf.DUMMYFUNCTION("""COMPUTED_VALUE"""),"feather stone")</f>
        <v>feather stone</v>
      </c>
      <c r="G453" s="11" t="str">
        <f>IFERROR(__xludf.DUMMYFUNCTION("""COMPUTED_VALUE"""),"mythic water orb")</f>
        <v>mythic water orb</v>
      </c>
      <c r="H453" s="11"/>
      <c r="I453" s="11"/>
      <c r="J453" s="11"/>
      <c r="K453" s="11"/>
      <c r="L453" s="11"/>
    </row>
    <row r="454">
      <c r="A454" s="13" t="str">
        <f>IFERROR(__xludf.DUMMYFUNCTION("""COMPUTED_VALUE"""),"Skarmory")</f>
        <v>Skarmory</v>
      </c>
      <c r="B454" s="11" t="str">
        <f>IFERROR(__xludf.DUMMYFUNCTION("""COMPUTED_VALUE"""),"piece of steel")</f>
        <v>piece of steel</v>
      </c>
      <c r="C454" s="11" t="str">
        <f>IFERROR(__xludf.DUMMYFUNCTION("""COMPUTED_VALUE"""),"straw")</f>
        <v>straw</v>
      </c>
      <c r="D454" s="11" t="str">
        <f>IFERROR(__xludf.DUMMYFUNCTION("""COMPUTED_VALUE"""),"steel wing")</f>
        <v>steel wing</v>
      </c>
      <c r="E454" s="11" t="str">
        <f>IFERROR(__xludf.DUMMYFUNCTION("""COMPUTED_VALUE"""),"metal stone")</f>
        <v>metal stone</v>
      </c>
      <c r="F454" s="11" t="str">
        <f>IFERROR(__xludf.DUMMYFUNCTION("""COMPUTED_VALUE"""),"feather stone")</f>
        <v>feather stone</v>
      </c>
      <c r="G454" s="11"/>
      <c r="H454" s="11"/>
      <c r="I454" s="11"/>
      <c r="J454" s="11"/>
      <c r="K454" s="11"/>
      <c r="L454" s="11"/>
    </row>
    <row r="455">
      <c r="A455" s="13" t="str">
        <f>IFERROR(__xludf.DUMMYFUNCTION("""COMPUTED_VALUE"""),"Shiny Skarmory")</f>
        <v>Shiny Skarmory</v>
      </c>
      <c r="B455" s="11" t="str">
        <f>IFERROR(__xludf.DUMMYFUNCTION("""COMPUTED_VALUE"""),"piece of steel")</f>
        <v>piece of steel</v>
      </c>
      <c r="C455" s="11" t="str">
        <f>IFERROR(__xludf.DUMMYFUNCTION("""COMPUTED_VALUE"""),"straw")</f>
        <v>straw</v>
      </c>
      <c r="D455" s="11" t="str">
        <f>IFERROR(__xludf.DUMMYFUNCTION("""COMPUTED_VALUE"""),"yellow steel wing")</f>
        <v>yellow steel wing</v>
      </c>
      <c r="E455" s="11" t="str">
        <f>IFERROR(__xludf.DUMMYFUNCTION("""COMPUTED_VALUE"""),"metal stone")</f>
        <v>metal stone</v>
      </c>
      <c r="F455" s="11" t="str">
        <f>IFERROR(__xludf.DUMMYFUNCTION("""COMPUTED_VALUE"""),"feather stone")</f>
        <v>feather stone</v>
      </c>
      <c r="G455" s="11" t="str">
        <f>IFERROR(__xludf.DUMMYFUNCTION("""COMPUTED_VALUE"""),"mythic metal orb")</f>
        <v>mythic metal orb</v>
      </c>
      <c r="H455" s="11"/>
      <c r="I455" s="11"/>
      <c r="J455" s="11"/>
      <c r="K455" s="11"/>
      <c r="L455" s="11"/>
    </row>
    <row r="456">
      <c r="A456" s="13" t="str">
        <f>IFERROR(__xludf.DUMMYFUNCTION("""COMPUTED_VALUE"""),"Houndour")</f>
        <v>Houndour</v>
      </c>
      <c r="B456" s="11" t="str">
        <f>IFERROR(__xludf.DUMMYFUNCTION("""COMPUTED_VALUE"""),"essence of fire")</f>
        <v>essence of fire</v>
      </c>
      <c r="C456" s="11" t="str">
        <f>IFERROR(__xludf.DUMMYFUNCTION("""COMPUTED_VALUE"""),"back bone")</f>
        <v>back bone</v>
      </c>
      <c r="D456" s="11"/>
      <c r="E456" s="11"/>
      <c r="F456" s="11"/>
      <c r="G456" s="11"/>
      <c r="H456" s="11"/>
      <c r="I456" s="11"/>
      <c r="J456" s="11"/>
      <c r="K456" s="11"/>
      <c r="L456" s="11"/>
    </row>
    <row r="457">
      <c r="A457" s="13" t="str">
        <f>IFERROR(__xludf.DUMMYFUNCTION("""COMPUTED_VALUE"""),"Shiny Houndour")</f>
        <v>Shiny Houndour</v>
      </c>
      <c r="B457" s="11" t="str">
        <f>IFERROR(__xludf.DUMMYFUNCTION("""COMPUTED_VALUE"""),"dark gem")</f>
        <v>dark gem</v>
      </c>
      <c r="C457" s="11" t="str">
        <f>IFERROR(__xludf.DUMMYFUNCTION("""COMPUTED_VALUE"""),"essence of fire")</f>
        <v>essence of fire</v>
      </c>
      <c r="D457" s="11" t="str">
        <f>IFERROR(__xludf.DUMMYFUNCTION("""COMPUTED_VALUE"""),"smoked bones")</f>
        <v>smoked bones</v>
      </c>
      <c r="E457" s="11" t="str">
        <f>IFERROR(__xludf.DUMMYFUNCTION("""COMPUTED_VALUE"""),"darkness stone")</f>
        <v>darkness stone</v>
      </c>
      <c r="F457" s="11" t="str">
        <f>IFERROR(__xludf.DUMMYFUNCTION("""COMPUTED_VALUE"""),"fire stone")</f>
        <v>fire stone</v>
      </c>
      <c r="G457" s="11" t="str">
        <f>IFERROR(__xludf.DUMMYFUNCTION("""COMPUTED_VALUE"""),"simple dark orb")</f>
        <v>simple dark orb</v>
      </c>
      <c r="H457" s="11"/>
      <c r="I457" s="11"/>
      <c r="J457" s="11"/>
      <c r="K457" s="11"/>
      <c r="L457" s="11"/>
    </row>
    <row r="458">
      <c r="A458" s="13" t="str">
        <f>IFERROR(__xludf.DUMMYFUNCTION("""COMPUTED_VALUE"""),"Houndoom")</f>
        <v>Houndoom</v>
      </c>
      <c r="B458" s="11" t="str">
        <f>IFERROR(__xludf.DUMMYFUNCTION("""COMPUTED_VALUE"""),"dark gem")</f>
        <v>dark gem</v>
      </c>
      <c r="C458" s="11" t="str">
        <f>IFERROR(__xludf.DUMMYFUNCTION("""COMPUTED_VALUE"""),"essence of fire")</f>
        <v>essence of fire</v>
      </c>
      <c r="D458" s="11" t="str">
        <f>IFERROR(__xludf.DUMMYFUNCTION("""COMPUTED_VALUE"""),"dark canine horns")</f>
        <v>dark canine horns</v>
      </c>
      <c r="E458" s="11" t="str">
        <f>IFERROR(__xludf.DUMMYFUNCTION("""COMPUTED_VALUE"""),"darkness stone")</f>
        <v>darkness stone</v>
      </c>
      <c r="F458" s="11" t="str">
        <f>IFERROR(__xludf.DUMMYFUNCTION("""COMPUTED_VALUE"""),"fire stone")</f>
        <v>fire stone</v>
      </c>
      <c r="G458" s="11"/>
      <c r="H458" s="11"/>
      <c r="I458" s="11"/>
      <c r="J458" s="11"/>
      <c r="K458" s="11"/>
      <c r="L458" s="11"/>
    </row>
    <row r="459">
      <c r="A459" s="13" t="str">
        <f>IFERROR(__xludf.DUMMYFUNCTION("""COMPUTED_VALUE"""),"Shiny Houndoom")</f>
        <v>Shiny Houndoom</v>
      </c>
      <c r="B459" s="11" t="str">
        <f>IFERROR(__xludf.DUMMYFUNCTION("""COMPUTED_VALUE"""),"dark gem")</f>
        <v>dark gem</v>
      </c>
      <c r="C459" s="11" t="str">
        <f>IFERROR(__xludf.DUMMYFUNCTION("""COMPUTED_VALUE"""),"essence of fire")</f>
        <v>essence of fire</v>
      </c>
      <c r="D459" s="11" t="str">
        <f>IFERROR(__xludf.DUMMYFUNCTION("""COMPUTED_VALUE"""),"hellhound horns")</f>
        <v>hellhound horns</v>
      </c>
      <c r="E459" s="11" t="str">
        <f>IFERROR(__xludf.DUMMYFUNCTION("""COMPUTED_VALUE"""),"darkness stone")</f>
        <v>darkness stone</v>
      </c>
      <c r="F459" s="11" t="str">
        <f>IFERROR(__xludf.DUMMYFUNCTION("""COMPUTED_VALUE"""),"fire stone")</f>
        <v>fire stone</v>
      </c>
      <c r="G459" s="11" t="str">
        <f>IFERROR(__xludf.DUMMYFUNCTION("""COMPUTED_VALUE"""),"mythic dark orb")</f>
        <v>mythic dark orb</v>
      </c>
      <c r="H459" s="11"/>
      <c r="I459" s="11"/>
      <c r="J459" s="11"/>
      <c r="K459" s="11"/>
      <c r="L459" s="11"/>
    </row>
    <row r="460">
      <c r="A460" s="13" t="str">
        <f>IFERROR(__xludf.DUMMYFUNCTION("""COMPUTED_VALUE"""),"Kingdra")</f>
        <v>Kingdra</v>
      </c>
      <c r="B460" s="5" t="str">
        <f>IFERROR(__xludf.DUMMYFUNCTION("""COMPUTED_VALUE"""),"water gem")</f>
        <v>water gem</v>
      </c>
      <c r="C460" s="5" t="str">
        <f>IFERROR(__xludf.DUMMYFUNCTION("""COMPUTED_VALUE"""),"dragon scale")</f>
        <v>dragon scale</v>
      </c>
      <c r="D460" s="5" t="str">
        <f>IFERROR(__xludf.DUMMYFUNCTION("""COMPUTED_VALUE"""),"sea dragon fin")</f>
        <v>sea dragon fin</v>
      </c>
      <c r="E460" s="5" t="str">
        <f>IFERROR(__xludf.DUMMYFUNCTION("""COMPUTED_VALUE"""),"dragon scale")</f>
        <v>dragon scale</v>
      </c>
      <c r="F460" s="5" t="str">
        <f>IFERROR(__xludf.DUMMYFUNCTION("""COMPUTED_VALUE"""),"water stone")</f>
        <v>water stone</v>
      </c>
      <c r="G460" s="11"/>
      <c r="H460" s="11"/>
      <c r="I460" s="11"/>
      <c r="J460" s="11"/>
      <c r="K460" s="11"/>
      <c r="L460" s="11"/>
    </row>
    <row r="461">
      <c r="A461" s="13" t="str">
        <f>IFERROR(__xludf.DUMMYFUNCTION("""COMPUTED_VALUE"""),"Shiny Kingdra")</f>
        <v>Shiny Kingdra</v>
      </c>
      <c r="B461" s="5" t="str">
        <f>IFERROR(__xludf.DUMMYFUNCTION("""COMPUTED_VALUE"""),"water gem")</f>
        <v>water gem</v>
      </c>
      <c r="C461" s="5" t="str">
        <f>IFERROR(__xludf.DUMMYFUNCTION("""COMPUTED_VALUE"""),"dragon scale")</f>
        <v>dragon scale</v>
      </c>
      <c r="D461" s="5" t="str">
        <f>IFERROR(__xludf.DUMMYFUNCTION("""COMPUTED_VALUE"""),"white dragon fin")</f>
        <v>white dragon fin</v>
      </c>
      <c r="E461" s="5" t="str">
        <f>IFERROR(__xludf.DUMMYFUNCTION("""COMPUTED_VALUE"""),"dragon scale")</f>
        <v>dragon scale</v>
      </c>
      <c r="F461" s="5" t="str">
        <f>IFERROR(__xludf.DUMMYFUNCTION("""COMPUTED_VALUE"""),"water stone")</f>
        <v>water stone</v>
      </c>
      <c r="G461" s="5" t="str">
        <f>IFERROR(__xludf.DUMMYFUNCTION("""COMPUTED_VALUE"""),"crystal stone")</f>
        <v>crystal stone</v>
      </c>
      <c r="H461" s="5" t="str">
        <f>IFERROR(__xludf.DUMMYFUNCTION("""COMPUTED_VALUE"""),"mythic dragon orb")</f>
        <v>mythic dragon orb</v>
      </c>
      <c r="I461" s="11"/>
      <c r="J461" s="11"/>
      <c r="K461" s="11"/>
      <c r="L461" s="11"/>
    </row>
    <row r="462">
      <c r="A462" s="13" t="str">
        <f>IFERROR(__xludf.DUMMYFUNCTION("""COMPUTED_VALUE"""),"Phanpy")</f>
        <v>Phanpy</v>
      </c>
      <c r="B462" s="11" t="str">
        <f>IFERROR(__xludf.DUMMYFUNCTION("""COMPUTED_VALUE"""),"earth ball")</f>
        <v>earth ball</v>
      </c>
      <c r="C462" s="11" t="str">
        <f>IFERROR(__xludf.DUMMYFUNCTION("""COMPUTED_VALUE"""),"small elephant ear")</f>
        <v>small elephant ear</v>
      </c>
      <c r="D462" s="11"/>
      <c r="E462" s="11"/>
      <c r="F462" s="11"/>
      <c r="G462" s="11"/>
      <c r="H462" s="11"/>
      <c r="I462" s="11"/>
      <c r="J462" s="11"/>
      <c r="K462" s="11"/>
      <c r="L462" s="11"/>
    </row>
    <row r="463">
      <c r="A463" s="13" t="str">
        <f>IFERROR(__xludf.DUMMYFUNCTION("""COMPUTED_VALUE"""),"Shiny Phanpy")</f>
        <v>Shiny Phanpy</v>
      </c>
      <c r="B463" s="11" t="str">
        <f>IFERROR(__xludf.DUMMYFUNCTION("""COMPUTED_VALUE"""),"earth ball")</f>
        <v>earth ball</v>
      </c>
      <c r="C463" s="11" t="str">
        <f>IFERROR(__xludf.DUMMYFUNCTION("""COMPUTED_VALUE"""),"green elephant ear")</f>
        <v>green elephant ear</v>
      </c>
      <c r="D463" s="11" t="str">
        <f>IFERROR(__xludf.DUMMYFUNCTION("""COMPUTED_VALUE"""),"earth stone")</f>
        <v>earth stone</v>
      </c>
      <c r="E463" s="11" t="str">
        <f>IFERROR(__xludf.DUMMYFUNCTION("""COMPUTED_VALUE"""),"simple ground orb")</f>
        <v>simple ground orb</v>
      </c>
      <c r="F463" s="11"/>
      <c r="G463" s="11"/>
      <c r="H463" s="11"/>
      <c r="I463" s="11"/>
      <c r="J463" s="11"/>
      <c r="K463" s="11"/>
      <c r="L463" s="11"/>
    </row>
    <row r="464">
      <c r="A464" s="13" t="str">
        <f>IFERROR(__xludf.DUMMYFUNCTION("""COMPUTED_VALUE"""),"Donphan")</f>
        <v>Donphan</v>
      </c>
      <c r="B464" s="11" t="str">
        <f>IFERROR(__xludf.DUMMYFUNCTION("""COMPUTED_VALUE"""),"earth ball")</f>
        <v>earth ball</v>
      </c>
      <c r="C464" s="11" t="str">
        <f>IFERROR(__xludf.DUMMYFUNCTION("""COMPUTED_VALUE"""),"elephant foot")</f>
        <v>elephant foot</v>
      </c>
      <c r="D464" s="11" t="str">
        <f>IFERROR(__xludf.DUMMYFUNCTION("""COMPUTED_VALUE"""),"earth stone")</f>
        <v>earth stone</v>
      </c>
      <c r="E464" s="11"/>
      <c r="F464" s="11"/>
      <c r="G464" s="11"/>
      <c r="H464" s="11"/>
      <c r="I464" s="11"/>
      <c r="J464" s="11"/>
      <c r="K464" s="11"/>
      <c r="L464" s="11"/>
    </row>
    <row r="465">
      <c r="A465" s="13" t="str">
        <f>IFERROR(__xludf.DUMMYFUNCTION("""COMPUTED_VALUE"""),"Shiny Donphan")</f>
        <v>Shiny Donphan</v>
      </c>
      <c r="B465" s="11" t="str">
        <f>IFERROR(__xludf.DUMMYFUNCTION("""COMPUTED_VALUE"""),"earth ball")</f>
        <v>earth ball</v>
      </c>
      <c r="C465" s="11" t="str">
        <f>IFERROR(__xludf.DUMMYFUNCTION("""COMPUTED_VALUE"""),"orange elephant foot")</f>
        <v>orange elephant foot</v>
      </c>
      <c r="D465" s="11" t="str">
        <f>IFERROR(__xludf.DUMMYFUNCTION("""COMPUTED_VALUE"""),"earth stone")</f>
        <v>earth stone</v>
      </c>
      <c r="E465" s="11" t="str">
        <f>IFERROR(__xludf.DUMMYFUNCTION("""COMPUTED_VALUE"""),"arcane ground orb")</f>
        <v>arcane ground orb</v>
      </c>
      <c r="F465" s="11" t="str">
        <f>IFERROR(__xludf.DUMMYFUNCTION("""COMPUTED_VALUE"""),"mythic ground orb")</f>
        <v>mythic ground orb</v>
      </c>
      <c r="G465" s="11"/>
      <c r="H465" s="11"/>
      <c r="I465" s="11"/>
      <c r="J465" s="11"/>
      <c r="K465" s="11"/>
      <c r="L465" s="11"/>
    </row>
    <row r="466">
      <c r="A466" s="13" t="str">
        <f>IFERROR(__xludf.DUMMYFUNCTION("""COMPUTED_VALUE"""),"Porygon2")</f>
        <v>Porygon2</v>
      </c>
      <c r="B466" s="5" t="str">
        <f>IFERROR(__xludf.DUMMYFUNCTION("""COMPUTED_VALUE"""),"rubber ball")</f>
        <v>rubber ball</v>
      </c>
      <c r="C466" s="5" t="str">
        <f>IFERROR(__xludf.DUMMYFUNCTION("""COMPUTED_VALUE"""),"dimensional cube")</f>
        <v>dimensional cube</v>
      </c>
      <c r="D466" s="5" t="str">
        <f>IFERROR(__xludf.DUMMYFUNCTION("""COMPUTED_VALUE"""),"heart stone")</f>
        <v>heart stone</v>
      </c>
      <c r="E466" s="11"/>
      <c r="F466" s="11"/>
      <c r="G466" s="11"/>
      <c r="H466" s="11"/>
      <c r="I466" s="11"/>
      <c r="J466" s="11"/>
      <c r="K466" s="11"/>
      <c r="L466" s="11"/>
    </row>
    <row r="467">
      <c r="A467" s="13" t="str">
        <f>IFERROR(__xludf.DUMMYFUNCTION("""COMPUTED_VALUE"""),"Shiny Porygon2")</f>
        <v>Shiny Porygon2</v>
      </c>
      <c r="B467" s="5" t="str">
        <f>IFERROR(__xludf.DUMMYFUNCTION("""COMPUTED_VALUE"""),"rubber ball")</f>
        <v>rubber ball</v>
      </c>
      <c r="C467" s="5" t="str">
        <f>IFERROR(__xludf.DUMMYFUNCTION("""COMPUTED_VALUE"""),"purple dimensional cube")</f>
        <v>purple dimensional cube</v>
      </c>
      <c r="D467" s="5" t="str">
        <f>IFERROR(__xludf.DUMMYFUNCTION("""COMPUTED_VALUE"""),"heart stone")</f>
        <v>heart stone</v>
      </c>
      <c r="E467" s="5" t="str">
        <f>IFERROR(__xludf.DUMMYFUNCTION("""COMPUTED_VALUE"""),"mythic normal orb")</f>
        <v>mythic normal orb</v>
      </c>
      <c r="F467" s="11"/>
      <c r="G467" s="11"/>
      <c r="H467" s="11"/>
      <c r="I467" s="11"/>
      <c r="J467" s="11"/>
      <c r="K467" s="11"/>
      <c r="L467" s="11"/>
    </row>
    <row r="468">
      <c r="A468" s="13" t="str">
        <f>IFERROR(__xludf.DUMMYFUNCTION("""COMPUTED_VALUE"""),"Stantler")</f>
        <v>Stantler</v>
      </c>
      <c r="B468" s="11" t="str">
        <f>IFERROR(__xludf.DUMMYFUNCTION("""COMPUTED_VALUE"""),"rubber ball")</f>
        <v>rubber ball</v>
      </c>
      <c r="C468" s="11" t="str">
        <f>IFERROR(__xludf.DUMMYFUNCTION("""COMPUTED_VALUE"""),"reindeer horns")</f>
        <v>reindeer horns</v>
      </c>
      <c r="D468" s="11" t="str">
        <f>IFERROR(__xludf.DUMMYFUNCTION("""COMPUTED_VALUE"""),"heart stone")</f>
        <v>heart stone</v>
      </c>
      <c r="E468" s="11"/>
      <c r="F468" s="11"/>
      <c r="G468" s="11"/>
      <c r="H468" s="11"/>
      <c r="I468" s="11"/>
      <c r="J468" s="11"/>
      <c r="K468" s="11"/>
      <c r="L468" s="11"/>
    </row>
    <row r="469">
      <c r="A469" s="13" t="str">
        <f>IFERROR(__xludf.DUMMYFUNCTION("""COMPUTED_VALUE"""),"Shiny Stantler")</f>
        <v>Shiny Stantler</v>
      </c>
      <c r="B469" s="11" t="str">
        <f>IFERROR(__xludf.DUMMYFUNCTION("""COMPUTED_VALUE"""),"rubber ball")</f>
        <v>rubber ball</v>
      </c>
      <c r="C469" s="11" t="str">
        <f>IFERROR(__xludf.DUMMYFUNCTION("""COMPUTED_VALUE"""),"illusion horns")</f>
        <v>illusion horns</v>
      </c>
      <c r="D469" s="11" t="str">
        <f>IFERROR(__xludf.DUMMYFUNCTION("""COMPUTED_VALUE"""),"heart stone")</f>
        <v>heart stone</v>
      </c>
      <c r="E469" s="11" t="str">
        <f>IFERROR(__xludf.DUMMYFUNCTION("""COMPUTED_VALUE"""),"arcane normal orb")</f>
        <v>arcane normal orb</v>
      </c>
      <c r="F469" s="11" t="str">
        <f>IFERROR(__xludf.DUMMYFUNCTION("""COMPUTED_VALUE"""),"mythic normal orb")</f>
        <v>mythic normal orb</v>
      </c>
      <c r="G469" s="11"/>
      <c r="H469" s="11"/>
      <c r="I469" s="11"/>
      <c r="J469" s="11"/>
      <c r="K469" s="11"/>
      <c r="L469" s="11"/>
    </row>
    <row r="470">
      <c r="A470" s="13" t="str">
        <f>IFERROR(__xludf.DUMMYFUNCTION("""COMPUTED_VALUE"""),"Smeargle")</f>
        <v>Smeargle</v>
      </c>
      <c r="B470" s="11" t="str">
        <f>IFERROR(__xludf.DUMMYFUNCTION("""COMPUTED_VALUE"""),"rubber ball")</f>
        <v>rubber ball</v>
      </c>
      <c r="C470" s="11" t="str">
        <f>IFERROR(__xludf.DUMMYFUNCTION("""COMPUTED_VALUE"""),"smeargle tail")</f>
        <v>smeargle tail</v>
      </c>
      <c r="D470" s="11" t="str">
        <f>IFERROR(__xludf.DUMMYFUNCTION("""COMPUTED_VALUE"""),"heart stone")</f>
        <v>heart stone</v>
      </c>
      <c r="E470" s="11"/>
      <c r="F470" s="11"/>
      <c r="G470" s="11"/>
      <c r="H470" s="11"/>
      <c r="I470" s="11"/>
      <c r="J470" s="11"/>
      <c r="K470" s="11"/>
      <c r="L470" s="11"/>
    </row>
    <row r="471">
      <c r="A471" s="13" t="str">
        <f>IFERROR(__xludf.DUMMYFUNCTION("""COMPUTED_VALUE"""),"Shiny Smeargle")</f>
        <v>Shiny Smeargle</v>
      </c>
      <c r="B471" s="11" t="str">
        <f>IFERROR(__xludf.DUMMYFUNCTION("""COMPUTED_VALUE"""),"rubber ball")</f>
        <v>rubber ball</v>
      </c>
      <c r="C471" s="11" t="str">
        <f>IFERROR(__xludf.DUMMYFUNCTION("""COMPUTED_VALUE"""),"artist tail")</f>
        <v>artist tail</v>
      </c>
      <c r="D471" s="11" t="str">
        <f>IFERROR(__xludf.DUMMYFUNCTION("""COMPUTED_VALUE"""),"heart stone")</f>
        <v>heart stone</v>
      </c>
      <c r="E471" s="11" t="str">
        <f>IFERROR(__xludf.DUMMYFUNCTION("""COMPUTED_VALUE"""),"mythic normal orb")</f>
        <v>mythic normal orb</v>
      </c>
      <c r="F471" s="11"/>
      <c r="G471" s="11"/>
      <c r="H471" s="11"/>
      <c r="I471" s="11"/>
      <c r="J471" s="11"/>
      <c r="K471" s="11"/>
      <c r="L471" s="11"/>
    </row>
    <row r="472">
      <c r="A472" s="13" t="str">
        <f>IFERROR(__xludf.DUMMYFUNCTION("""COMPUTED_VALUE"""),"Tyrogue")</f>
        <v>Tyrogue</v>
      </c>
      <c r="B472" s="5" t="str">
        <f>IFERROR(__xludf.DUMMYFUNCTION("""COMPUTED_VALUE"""),"band aid")</f>
        <v>band aid</v>
      </c>
      <c r="C472" s="5" t="str">
        <f>IFERROR(__xludf.DUMMYFUNCTION("""COMPUTED_VALUE"""),"fist bandages")</f>
        <v>fist bandages</v>
      </c>
      <c r="D472" s="5" t="str">
        <f>IFERROR(__xludf.DUMMYFUNCTION("""COMPUTED_VALUE"""),"punch stone")</f>
        <v>punch stone</v>
      </c>
      <c r="E472" s="11"/>
      <c r="F472" s="11"/>
      <c r="G472" s="11"/>
      <c r="H472" s="11"/>
      <c r="I472" s="11"/>
      <c r="J472" s="11"/>
      <c r="K472" s="11"/>
      <c r="L472" s="11"/>
    </row>
    <row r="473">
      <c r="A473" s="13" t="str">
        <f>IFERROR(__xludf.DUMMYFUNCTION("""COMPUTED_VALUE"""),"Shiny Tyrogue")</f>
        <v>Shiny Tyrogue</v>
      </c>
      <c r="B473" s="5" t="str">
        <f>IFERROR(__xludf.DUMMYFUNCTION("""COMPUTED_VALUE"""),"band aid")</f>
        <v>band aid</v>
      </c>
      <c r="C473" s="5" t="str">
        <f>IFERROR(__xludf.DUMMYFUNCTION("""COMPUTED_VALUE"""),"white bandages")</f>
        <v>white bandages</v>
      </c>
      <c r="D473" s="5" t="str">
        <f>IFERROR(__xludf.DUMMYFUNCTION("""COMPUTED_VALUE"""),"punch stone")</f>
        <v>punch stone</v>
      </c>
      <c r="E473" s="5" t="str">
        <f>IFERROR(__xludf.DUMMYFUNCTION("""COMPUTED_VALUE"""),"arcane fighting orb")</f>
        <v>arcane fighting orb</v>
      </c>
      <c r="F473" s="11"/>
      <c r="G473" s="11"/>
      <c r="H473" s="11"/>
      <c r="I473" s="11"/>
      <c r="J473" s="11"/>
      <c r="K473" s="11"/>
      <c r="L473" s="11"/>
    </row>
    <row r="474">
      <c r="A474" s="13" t="str">
        <f>IFERROR(__xludf.DUMMYFUNCTION("""COMPUTED_VALUE"""),"Hitmontop")</f>
        <v>Hitmontop</v>
      </c>
      <c r="B474" s="5" t="str">
        <f>IFERROR(__xludf.DUMMYFUNCTION("""COMPUTED_VALUE"""),"band aid")</f>
        <v>band aid</v>
      </c>
      <c r="C474" s="5" t="str">
        <f>IFERROR(__xludf.DUMMYFUNCTION("""COMPUTED_VALUE"""),"macho brace")</f>
        <v>macho brace</v>
      </c>
      <c r="D474" s="5" t="str">
        <f>IFERROR(__xludf.DUMMYFUNCTION("""COMPUTED_VALUE"""),"martial arts tail")</f>
        <v>martial arts tail</v>
      </c>
      <c r="E474" s="5" t="str">
        <f>IFERROR(__xludf.DUMMYFUNCTION("""COMPUTED_VALUE"""),"punch stone")</f>
        <v>punch stone</v>
      </c>
      <c r="F474" s="11"/>
      <c r="G474" s="11"/>
      <c r="H474" s="11"/>
      <c r="I474" s="11"/>
      <c r="J474" s="11"/>
      <c r="K474" s="11"/>
      <c r="L474" s="11"/>
    </row>
    <row r="475">
      <c r="A475" s="13" t="str">
        <f>IFERROR(__xludf.DUMMYFUNCTION("""COMPUTED_VALUE"""),"Shiny Hitmontop")</f>
        <v>Shiny Hitmontop</v>
      </c>
      <c r="B475" s="5" t="str">
        <f>IFERROR(__xludf.DUMMYFUNCTION("""COMPUTED_VALUE"""),"band aid")</f>
        <v>band aid</v>
      </c>
      <c r="C475" s="5" t="str">
        <f>IFERROR(__xludf.DUMMYFUNCTION("""COMPUTED_VALUE"""),"punch stone")</f>
        <v>punch stone</v>
      </c>
      <c r="D475" s="5" t="str">
        <f>IFERROR(__xludf.DUMMYFUNCTION("""COMPUTED_VALUE"""),"macho brace")</f>
        <v>macho brace</v>
      </c>
      <c r="E475" s="5" t="str">
        <f>IFERROR(__xludf.DUMMYFUNCTION("""COMPUTED_VALUE"""),"capoeira tail")</f>
        <v>capoeira tail</v>
      </c>
      <c r="F475" s="5" t="str">
        <f>IFERROR(__xludf.DUMMYFUNCTION("""COMPUTED_VALUE"""),"mythic fighting orb")</f>
        <v>mythic fighting orb</v>
      </c>
      <c r="G475" s="11"/>
      <c r="H475" s="11"/>
      <c r="I475" s="11"/>
      <c r="J475" s="11"/>
      <c r="K475" s="11"/>
      <c r="L475" s="11"/>
    </row>
    <row r="476">
      <c r="A476" s="13" t="str">
        <f>IFERROR(__xludf.DUMMYFUNCTION("""COMPUTED_VALUE"""),"Smoochum")</f>
        <v>Smoochum</v>
      </c>
      <c r="B476" s="5" t="str">
        <f>IFERROR(__xludf.DUMMYFUNCTION("""COMPUTED_VALUE"""),"snowball")</f>
        <v>snowball</v>
      </c>
      <c r="C476" s="5" t="str">
        <f>IFERROR(__xludf.DUMMYFUNCTION("""COMPUTED_VALUE"""),"enchanted gem")</f>
        <v>enchanted gem</v>
      </c>
      <c r="D476" s="5" t="str">
        <f>IFERROR(__xludf.DUMMYFUNCTION("""COMPUTED_VALUE"""),"baby hair")</f>
        <v>baby hair</v>
      </c>
      <c r="E476" s="11"/>
      <c r="F476" s="11"/>
      <c r="G476" s="11"/>
      <c r="H476" s="11"/>
      <c r="I476" s="11"/>
      <c r="J476" s="11"/>
      <c r="K476" s="11"/>
      <c r="L476" s="11"/>
    </row>
    <row r="477">
      <c r="A477" s="13" t="str">
        <f>IFERROR(__xludf.DUMMYFUNCTION("""COMPUTED_VALUE"""),"Shiny Smoochum")</f>
        <v>Shiny Smoochum</v>
      </c>
      <c r="B477" s="5" t="str">
        <f>IFERROR(__xludf.DUMMYFUNCTION("""COMPUTED_VALUE"""),"snowball")</f>
        <v>snowball</v>
      </c>
      <c r="C477" s="5" t="str">
        <f>IFERROR(__xludf.DUMMYFUNCTION("""COMPUTED_VALUE"""),"enchanted gem")</f>
        <v>enchanted gem</v>
      </c>
      <c r="D477" s="5" t="str">
        <f>IFERROR(__xludf.DUMMYFUNCTION("""COMPUTED_VALUE"""),"light baby hair")</f>
        <v>light baby hair</v>
      </c>
      <c r="E477" s="5" t="str">
        <f>IFERROR(__xludf.DUMMYFUNCTION("""COMPUTED_VALUE"""),"ice stone")</f>
        <v>ice stone</v>
      </c>
      <c r="F477" s="5" t="str">
        <f>IFERROR(__xludf.DUMMYFUNCTION("""COMPUTED_VALUE"""),"enigma stone")</f>
        <v>enigma stone</v>
      </c>
      <c r="G477" s="5" t="str">
        <f>IFERROR(__xludf.DUMMYFUNCTION("""COMPUTED_VALUE"""),"simple ice orb")</f>
        <v>simple ice orb</v>
      </c>
      <c r="H477" s="11"/>
      <c r="I477" s="11"/>
      <c r="J477" s="11"/>
      <c r="K477" s="11"/>
      <c r="L477" s="11"/>
    </row>
    <row r="478">
      <c r="A478" s="13" t="str">
        <f>IFERROR(__xludf.DUMMYFUNCTION("""COMPUTED_VALUE"""),"Elekid")</f>
        <v>Elekid</v>
      </c>
      <c r="B478" s="5" t="str">
        <f>IFERROR(__xludf.DUMMYFUNCTION("""COMPUTED_VALUE"""),"screw")</f>
        <v>screw</v>
      </c>
      <c r="C478" s="5" t="str">
        <f>IFERROR(__xludf.DUMMYFUNCTION("""COMPUTED_VALUE"""),"plug ears")</f>
        <v>plug ears</v>
      </c>
      <c r="D478" s="11"/>
      <c r="E478" s="11"/>
      <c r="F478" s="11"/>
      <c r="G478" s="11"/>
      <c r="H478" s="11"/>
      <c r="I478" s="11"/>
      <c r="J478" s="11"/>
      <c r="K478" s="11"/>
      <c r="L478" s="11"/>
    </row>
    <row r="479">
      <c r="A479" s="13" t="str">
        <f>IFERROR(__xludf.DUMMYFUNCTION("""COMPUTED_VALUE"""),"Shiny Elekid")</f>
        <v>Shiny Elekid</v>
      </c>
      <c r="B479" s="5" t="str">
        <f>IFERROR(__xludf.DUMMYFUNCTION("""COMPUTED_VALUE"""),"screw")</f>
        <v>screw</v>
      </c>
      <c r="C479" s="5" t="str">
        <f>IFERROR(__xludf.DUMMYFUNCTION("""COMPUTED_VALUE"""),"white plug ears")</f>
        <v>white plug ears</v>
      </c>
      <c r="D479" s="5" t="str">
        <f>IFERROR(__xludf.DUMMYFUNCTION("""COMPUTED_VALUE"""),"thunder stone")</f>
        <v>thunder stone</v>
      </c>
      <c r="E479" s="5" t="str">
        <f>IFERROR(__xludf.DUMMYFUNCTION("""COMPUTED_VALUE"""),"simple eletric orb")</f>
        <v>simple eletric orb</v>
      </c>
      <c r="F479" s="11"/>
      <c r="G479" s="11"/>
      <c r="H479" s="11"/>
      <c r="I479" s="11"/>
      <c r="J479" s="11"/>
      <c r="K479" s="11"/>
      <c r="L479" s="11"/>
    </row>
    <row r="480">
      <c r="A480" s="13" t="str">
        <f>IFERROR(__xludf.DUMMYFUNCTION("""COMPUTED_VALUE"""),"Magby")</f>
        <v>Magby</v>
      </c>
      <c r="B480" s="5" t="str">
        <f>IFERROR(__xludf.DUMMYFUNCTION("""COMPUTED_VALUE"""),"essence of fire")</f>
        <v>essence of fire</v>
      </c>
      <c r="C480" s="5" t="str">
        <f>IFERROR(__xludf.DUMMYFUNCTION("""COMPUTED_VALUE"""),"magma topknot")</f>
        <v>magma topknot</v>
      </c>
      <c r="D480" s="11"/>
      <c r="E480" s="11"/>
      <c r="F480" s="11"/>
      <c r="G480" s="11"/>
      <c r="H480" s="11"/>
      <c r="I480" s="11"/>
      <c r="J480" s="11"/>
      <c r="K480" s="11"/>
      <c r="L480" s="11"/>
    </row>
    <row r="481">
      <c r="A481" s="13" t="str">
        <f>IFERROR(__xludf.DUMMYFUNCTION("""COMPUTED_VALUE"""),"Shiny Magby")</f>
        <v>Shiny Magby</v>
      </c>
      <c r="B481" s="5" t="str">
        <f>IFERROR(__xludf.DUMMYFUNCTION("""COMPUTED_VALUE"""),"essence of fire")</f>
        <v>essence of fire</v>
      </c>
      <c r="C481" s="5" t="str">
        <f>IFERROR(__xludf.DUMMYFUNCTION("""COMPUTED_VALUE"""),"crimson topknot")</f>
        <v>crimson topknot</v>
      </c>
      <c r="D481" s="5" t="str">
        <f>IFERROR(__xludf.DUMMYFUNCTION("""COMPUTED_VALUE"""),"fire stone")</f>
        <v>fire stone</v>
      </c>
      <c r="E481" s="5" t="str">
        <f>IFERROR(__xludf.DUMMYFUNCTION("""COMPUTED_VALUE"""),"arcane fire orb")</f>
        <v>arcane fire orb</v>
      </c>
      <c r="F481" s="11"/>
      <c r="G481" s="11"/>
      <c r="H481" s="11"/>
      <c r="I481" s="11"/>
      <c r="J481" s="11"/>
      <c r="K481" s="11"/>
      <c r="L481" s="11"/>
    </row>
    <row r="482">
      <c r="A482" s="13" t="str">
        <f>IFERROR(__xludf.DUMMYFUNCTION("""COMPUTED_VALUE"""),"Miltank")</f>
        <v>Miltank</v>
      </c>
      <c r="B482" s="11" t="str">
        <f>IFERROR(__xludf.DUMMYFUNCTION("""COMPUTED_VALUE"""),"rubber ball")</f>
        <v>rubber ball</v>
      </c>
      <c r="C482" s="11" t="str">
        <f>IFERROR(__xludf.DUMMYFUNCTION("""COMPUTED_VALUE"""),"cow tail")</f>
        <v>cow tail</v>
      </c>
      <c r="D482" s="11" t="str">
        <f>IFERROR(__xludf.DUMMYFUNCTION("""COMPUTED_VALUE"""),"heart stone")</f>
        <v>heart stone</v>
      </c>
      <c r="E482" s="11"/>
      <c r="F482" s="11"/>
      <c r="G482" s="11"/>
      <c r="H482" s="11"/>
      <c r="I482" s="11"/>
      <c r="J482" s="11"/>
      <c r="K482" s="11"/>
      <c r="L482" s="11"/>
    </row>
    <row r="483">
      <c r="A483" s="13" t="str">
        <f>IFERROR(__xludf.DUMMYFUNCTION("""COMPUTED_VALUE"""),"Shiny Miltank")</f>
        <v>Shiny Miltank</v>
      </c>
      <c r="B483" s="11" t="str">
        <f>IFERROR(__xludf.DUMMYFUNCTION("""COMPUTED_VALUE"""),"rubber ball")</f>
        <v>rubber ball</v>
      </c>
      <c r="C483" s="11" t="str">
        <f>IFERROR(__xludf.DUMMYFUNCTION("""COMPUTED_VALUE"""),"blue cow tail")</f>
        <v>blue cow tail</v>
      </c>
      <c r="D483" s="11" t="str">
        <f>IFERROR(__xludf.DUMMYFUNCTION("""COMPUTED_VALUE"""),"heart stone")</f>
        <v>heart stone</v>
      </c>
      <c r="E483" s="11" t="str">
        <f>IFERROR(__xludf.DUMMYFUNCTION("""COMPUTED_VALUE"""),"mythic normal orb")</f>
        <v>mythic normal orb</v>
      </c>
      <c r="F483" s="11"/>
      <c r="G483" s="11"/>
      <c r="H483" s="11"/>
      <c r="I483" s="11"/>
      <c r="J483" s="11"/>
      <c r="K483" s="11"/>
      <c r="L483" s="11"/>
    </row>
    <row r="484">
      <c r="A484" s="13" t="str">
        <f>IFERROR(__xludf.DUMMYFUNCTION("""COMPUTED_VALUE"""),"Blissey")</f>
        <v>Blissey</v>
      </c>
      <c r="B484" s="11" t="str">
        <f>IFERROR(__xludf.DUMMYFUNCTION("""COMPUTED_VALUE"""),"rubber ball")</f>
        <v>rubber ball</v>
      </c>
      <c r="C484" s="11" t="str">
        <f>IFERROR(__xludf.DUMMYFUNCTION("""COMPUTED_VALUE"""),"nurse's fur")</f>
        <v>nurse's fur</v>
      </c>
      <c r="D484" s="11" t="str">
        <f>IFERROR(__xludf.DUMMYFUNCTION("""COMPUTED_VALUE"""),"heart stone")</f>
        <v>heart stone</v>
      </c>
      <c r="E484" s="11"/>
      <c r="F484" s="11"/>
      <c r="G484" s="11"/>
      <c r="H484" s="11"/>
      <c r="I484" s="11"/>
      <c r="J484" s="11"/>
      <c r="K484" s="11"/>
      <c r="L484" s="11"/>
    </row>
    <row r="485">
      <c r="A485" s="13" t="str">
        <f>IFERROR(__xludf.DUMMYFUNCTION("""COMPUTED_VALUE"""),"Shiny Blissey")</f>
        <v>Shiny Blissey</v>
      </c>
      <c r="B485" s="11" t="str">
        <f>IFERROR(__xludf.DUMMYFUNCTION("""COMPUTED_VALUE"""),"rubber ball")</f>
        <v>rubber ball</v>
      </c>
      <c r="C485" s="11" t="str">
        <f>IFERROR(__xludf.DUMMYFUNCTION("""COMPUTED_VALUE"""),"purple nurse's fur")</f>
        <v>purple nurse's fur</v>
      </c>
      <c r="D485" s="11" t="str">
        <f>IFERROR(__xludf.DUMMYFUNCTION("""COMPUTED_VALUE"""),"heart stone")</f>
        <v>heart stone</v>
      </c>
      <c r="E485" s="11" t="str">
        <f>IFERROR(__xludf.DUMMYFUNCTION("""COMPUTED_VALUE"""),"mythic normal orb")</f>
        <v>mythic normal orb</v>
      </c>
      <c r="F485" s="11"/>
      <c r="G485" s="11"/>
      <c r="H485" s="11"/>
      <c r="I485" s="11"/>
      <c r="J485" s="11"/>
      <c r="K485" s="11"/>
      <c r="L485" s="11"/>
    </row>
    <row r="486">
      <c r="A486" s="13" t="str">
        <f>IFERROR(__xludf.DUMMYFUNCTION("""COMPUTED_VALUE"""),"Raikou")</f>
        <v>Raikou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>
      <c r="A487" s="13" t="str">
        <f>IFERROR(__xludf.DUMMYFUNCTION("""COMPUTED_VALUE"""),"Shiny Raikou")</f>
        <v>Shiny Raikou</v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>
      <c r="A488" s="13" t="str">
        <f>IFERROR(__xludf.DUMMYFUNCTION("""COMPUTED_VALUE"""),"Entei")</f>
        <v>Entei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>
      <c r="A489" s="13" t="str">
        <f>IFERROR(__xludf.DUMMYFUNCTION("""COMPUTED_VALUE"""),"Shiny Entei")</f>
        <v>Shiny Entei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>
      <c r="A490" s="13" t="str">
        <f>IFERROR(__xludf.DUMMYFUNCTION("""COMPUTED_VALUE"""),"Suicune")</f>
        <v>Suicune</v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>
      <c r="A491" s="13" t="str">
        <f>IFERROR(__xludf.DUMMYFUNCTION("""COMPUTED_VALUE"""),"Shiny Suicune")</f>
        <v>Shiny Suicune</v>
      </c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>
      <c r="A492" s="13" t="str">
        <f>IFERROR(__xludf.DUMMYFUNCTION("""COMPUTED_VALUE"""),"Larvitar")</f>
        <v>Larvitar</v>
      </c>
      <c r="B492" s="11" t="str">
        <f>IFERROR(__xludf.DUMMYFUNCTION("""COMPUTED_VALUE"""),"small stone")</f>
        <v>small stone</v>
      </c>
      <c r="C492" s="11" t="str">
        <f>IFERROR(__xludf.DUMMYFUNCTION("""COMPUTED_VALUE"""),"earth ball")</f>
        <v>earth ball</v>
      </c>
      <c r="D492" s="11" t="str">
        <f>IFERROR(__xludf.DUMMYFUNCTION("""COMPUTED_VALUE"""),"larvitar tail")</f>
        <v>larvitar tail</v>
      </c>
      <c r="E492" s="11"/>
      <c r="F492" s="11"/>
      <c r="G492" s="11"/>
      <c r="H492" s="11"/>
      <c r="I492" s="11"/>
      <c r="J492" s="11"/>
      <c r="K492" s="11"/>
      <c r="L492" s="11"/>
    </row>
    <row r="493">
      <c r="A493" s="13" t="str">
        <f>IFERROR(__xludf.DUMMYFUNCTION("""COMPUTED_VALUE"""),"Shiny Larvitar")</f>
        <v>Shiny Larvitar</v>
      </c>
      <c r="B493" s="11" t="str">
        <f>IFERROR(__xludf.DUMMYFUNCTION("""COMPUTED_VALUE"""),"small stone")</f>
        <v>small stone</v>
      </c>
      <c r="C493" s="11" t="str">
        <f>IFERROR(__xludf.DUMMYFUNCTION("""COMPUTED_VALUE"""),"earth ball")</f>
        <v>earth ball</v>
      </c>
      <c r="D493" s="11" t="str">
        <f>IFERROR(__xludf.DUMMYFUNCTION("""COMPUTED_VALUE"""),"yellow larvitar tail")</f>
        <v>yellow larvitar tail</v>
      </c>
      <c r="E493" s="11" t="str">
        <f>IFERROR(__xludf.DUMMYFUNCTION("""COMPUTED_VALUE"""),"rock stone")</f>
        <v>rock stone</v>
      </c>
      <c r="F493" s="11" t="str">
        <f>IFERROR(__xludf.DUMMYFUNCTION("""COMPUTED_VALUE"""),"earth stone")</f>
        <v>earth stone</v>
      </c>
      <c r="G493" s="11" t="str">
        <f>IFERROR(__xludf.DUMMYFUNCTION("""COMPUTED_VALUE"""),"simple ground orb")</f>
        <v>simple ground orb</v>
      </c>
      <c r="H493" s="11"/>
      <c r="I493" s="11"/>
      <c r="J493" s="11"/>
      <c r="K493" s="11"/>
      <c r="L493" s="11"/>
    </row>
    <row r="494">
      <c r="A494" s="13" t="str">
        <f>IFERROR(__xludf.DUMMYFUNCTION("""COMPUTED_VALUE"""),"Pupitar")</f>
        <v>Pupitar</v>
      </c>
      <c r="B494" s="11" t="str">
        <f>IFERROR(__xludf.DUMMYFUNCTION("""COMPUTED_VALUE"""),"small stone")</f>
        <v>small stone</v>
      </c>
      <c r="C494" s="11" t="str">
        <f>IFERROR(__xludf.DUMMYFUNCTION("""COMPUTED_VALUE"""),"earth ball")</f>
        <v>earth ball</v>
      </c>
      <c r="D494" s="11" t="str">
        <f>IFERROR(__xludf.DUMMYFUNCTION("""COMPUTED_VALUE"""),"rock plate")</f>
        <v>rock plate</v>
      </c>
      <c r="E494" s="11" t="str">
        <f>IFERROR(__xludf.DUMMYFUNCTION("""COMPUTED_VALUE"""),"rock stone")</f>
        <v>rock stone</v>
      </c>
      <c r="F494" s="11" t="str">
        <f>IFERROR(__xludf.DUMMYFUNCTION("""COMPUTED_VALUE"""),"earth stone")</f>
        <v>earth stone</v>
      </c>
      <c r="G494" s="11"/>
      <c r="H494" s="11"/>
      <c r="I494" s="11"/>
      <c r="J494" s="11"/>
      <c r="K494" s="11"/>
      <c r="L494" s="11"/>
    </row>
    <row r="495">
      <c r="A495" s="13" t="str">
        <f>IFERROR(__xludf.DUMMYFUNCTION("""COMPUTED_VALUE"""),"Shiny Pupitar")</f>
        <v>Shiny Pupitar</v>
      </c>
      <c r="B495" s="11" t="str">
        <f>IFERROR(__xludf.DUMMYFUNCTION("""COMPUTED_VALUE"""),"small stone")</f>
        <v>small stone</v>
      </c>
      <c r="C495" s="11" t="str">
        <f>IFERROR(__xludf.DUMMYFUNCTION("""COMPUTED_VALUE"""),"earth ball")</f>
        <v>earth ball</v>
      </c>
      <c r="D495" s="11" t="str">
        <f>IFERROR(__xludf.DUMMYFUNCTION("""COMPUTED_VALUE"""),"purple rock plate")</f>
        <v>purple rock plate</v>
      </c>
      <c r="E495" s="11" t="str">
        <f>IFERROR(__xludf.DUMMYFUNCTION("""COMPUTED_VALUE"""),"rock stone")</f>
        <v>rock stone</v>
      </c>
      <c r="F495" s="11" t="str">
        <f>IFERROR(__xludf.DUMMYFUNCTION("""COMPUTED_VALUE"""),"earth stone")</f>
        <v>earth stone</v>
      </c>
      <c r="G495" s="11" t="str">
        <f>IFERROR(__xludf.DUMMYFUNCTION("""COMPUTED_VALUE"""),"mythic ground orb")</f>
        <v>mythic ground orb</v>
      </c>
      <c r="H495" s="11"/>
      <c r="I495" s="11"/>
      <c r="J495" s="11"/>
      <c r="K495" s="11"/>
      <c r="L495" s="11"/>
    </row>
    <row r="496">
      <c r="A496" s="13" t="str">
        <f>IFERROR(__xludf.DUMMYFUNCTION("""COMPUTED_VALUE"""),"Tyranitar")</f>
        <v>Tyranitar</v>
      </c>
      <c r="B496" s="11" t="str">
        <f>IFERROR(__xludf.DUMMYFUNCTION("""COMPUTED_VALUE"""),"small stone")</f>
        <v>small stone</v>
      </c>
      <c r="C496" s="11" t="str">
        <f>IFERROR(__xludf.DUMMYFUNCTION("""COMPUTED_VALUE"""),"dark gem")</f>
        <v>dark gem</v>
      </c>
      <c r="D496" s="11" t="str">
        <f>IFERROR(__xludf.DUMMYFUNCTION("""COMPUTED_VALUE"""),"tyranitar tail")</f>
        <v>tyranitar tail</v>
      </c>
      <c r="E496" s="11" t="str">
        <f>IFERROR(__xludf.DUMMYFUNCTION("""COMPUTED_VALUE"""),"rock stone")</f>
        <v>rock stone</v>
      </c>
      <c r="F496" s="11" t="str">
        <f>IFERROR(__xludf.DUMMYFUNCTION("""COMPUTED_VALUE"""),"darkness stone")</f>
        <v>darkness stone</v>
      </c>
      <c r="G496" s="11"/>
      <c r="H496" s="11"/>
      <c r="I496" s="11"/>
      <c r="J496" s="11"/>
      <c r="K496" s="11"/>
      <c r="L496" s="11"/>
    </row>
    <row r="497">
      <c r="A497" s="13" t="str">
        <f>IFERROR(__xludf.DUMMYFUNCTION("""COMPUTED_VALUE"""),"Shiny Tyranitar")</f>
        <v>Shiny Tyranitar</v>
      </c>
      <c r="B497" s="11" t="str">
        <f>IFERROR(__xludf.DUMMYFUNCTION("""COMPUTED_VALUE"""),"small stone")</f>
        <v>small stone</v>
      </c>
      <c r="C497" s="11" t="str">
        <f>IFERROR(__xludf.DUMMYFUNCTION("""COMPUTED_VALUE"""),"dark gem")</f>
        <v>dark gem</v>
      </c>
      <c r="D497" s="11" t="str">
        <f>IFERROR(__xludf.DUMMYFUNCTION("""COMPUTED_VALUE"""),"godzilla tail")</f>
        <v>godzilla tail</v>
      </c>
      <c r="E497" s="11" t="str">
        <f>IFERROR(__xludf.DUMMYFUNCTION("""COMPUTED_VALUE"""),"rock stone")</f>
        <v>rock stone</v>
      </c>
      <c r="F497" s="11" t="str">
        <f>IFERROR(__xludf.DUMMYFUNCTION("""COMPUTED_VALUE"""),"darkness stone")</f>
        <v>darkness stone</v>
      </c>
      <c r="G497" s="11" t="str">
        <f>IFERROR(__xludf.DUMMYFUNCTION("""COMPUTED_VALUE"""),"mythic dark orb")</f>
        <v>mythic dark orb</v>
      </c>
      <c r="H497" s="11"/>
      <c r="I497" s="11"/>
      <c r="J497" s="11"/>
      <c r="K497" s="11"/>
      <c r="L497" s="11"/>
    </row>
    <row r="498">
      <c r="A498" s="13" t="str">
        <f>IFERROR(__xludf.DUMMYFUNCTION("""COMPUTED_VALUE"""),"Lugia")</f>
        <v>Lugia</v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>
      <c r="A499" s="13" t="str">
        <f>IFERROR(__xludf.DUMMYFUNCTION("""COMPUTED_VALUE"""),"Shiny Lugia")</f>
        <v>Shiny Lugia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>
      <c r="A500" s="13" t="str">
        <f>IFERROR(__xludf.DUMMYFUNCTION("""COMPUTED_VALUE"""),"Ho-oh")</f>
        <v>Ho-oh</v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>
      <c r="A501" s="13" t="str">
        <f>IFERROR(__xludf.DUMMYFUNCTION("""COMPUTED_VALUE"""),"Shiny Ho-oh")</f>
        <v>Shiny Ho-oh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>
      <c r="A502" s="13" t="str">
        <f>IFERROR(__xludf.DUMMYFUNCTION("""COMPUTED_VALUE"""),"Celebi")</f>
        <v>Celebi</v>
      </c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>
      <c r="A503" s="13" t="str">
        <f>IFERROR(__xludf.DUMMYFUNCTION("""COMPUTED_VALUE"""),"Shiny Celebi")</f>
        <v>Shiny Celebi</v>
      </c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>
      <c r="A504" s="13" t="str">
        <f>IFERROR(__xludf.DUMMYFUNCTION("""COMPUTED_VALUE"""),"Treecko")</f>
        <v>Treecko</v>
      </c>
      <c r="B504" s="11" t="str">
        <f>IFERROR(__xludf.DUMMYFUNCTION("""COMPUTED_VALUE"""),"pile of seeds")</f>
        <v>pile of seeds</v>
      </c>
      <c r="C504" s="11" t="str">
        <f>IFERROR(__xludf.DUMMYFUNCTION("""COMPUTED_VALUE"""),"reptilian tail")</f>
        <v>reptilian tail</v>
      </c>
      <c r="D504" s="11" t="str">
        <f>IFERROR(__xludf.DUMMYFUNCTION("""COMPUTED_VALUE"""),"grass essence")</f>
        <v>grass essence</v>
      </c>
      <c r="E504" s="11" t="str">
        <f>IFERROR(__xludf.DUMMYFUNCTION("""COMPUTED_VALUE"""),"leaf stone")</f>
        <v>leaf stone</v>
      </c>
      <c r="F504" s="11"/>
      <c r="G504" s="11"/>
      <c r="H504" s="11"/>
      <c r="I504" s="11"/>
      <c r="J504" s="11"/>
      <c r="K504" s="11"/>
      <c r="L504" s="11"/>
    </row>
    <row r="505">
      <c r="A505" s="13" t="str">
        <f>IFERROR(__xludf.DUMMYFUNCTION("""COMPUTED_VALUE"""),"Shiny Treecko")</f>
        <v>Shiny Treecko</v>
      </c>
      <c r="B505" s="11" t="str">
        <f>IFERROR(__xludf.DUMMYFUNCTION("""COMPUTED_VALUE"""),"pile of seeds")</f>
        <v>pile of seeds</v>
      </c>
      <c r="C505" s="11" t="str">
        <f>IFERROR(__xludf.DUMMYFUNCTION("""COMPUTED_VALUE"""),"cyan reptilian tail")</f>
        <v>cyan reptilian tail</v>
      </c>
      <c r="D505" s="11" t="str">
        <f>IFERROR(__xludf.DUMMYFUNCTION("""COMPUTED_VALUE"""),"leaf stone")</f>
        <v>leaf stone</v>
      </c>
      <c r="E505" s="11" t="str">
        <f>IFERROR(__xludf.DUMMYFUNCTION("""COMPUTED_VALUE"""),"mythic grass orb")</f>
        <v>mythic grass orb</v>
      </c>
      <c r="F505" s="11"/>
      <c r="G505" s="11"/>
      <c r="H505" s="11"/>
      <c r="I505" s="11"/>
      <c r="J505" s="11"/>
      <c r="K505" s="11"/>
      <c r="L505" s="11"/>
    </row>
    <row r="506">
      <c r="A506" s="13" t="str">
        <f>IFERROR(__xludf.DUMMYFUNCTION("""COMPUTED_VALUE"""),"Grovyle")</f>
        <v>Grovyle</v>
      </c>
      <c r="B506" s="11" t="str">
        <f>IFERROR(__xludf.DUMMYFUNCTION("""COMPUTED_VALUE"""),"pile of seeds")</f>
        <v>pile of seeds</v>
      </c>
      <c r="C506" s="11" t="str">
        <f>IFERROR(__xludf.DUMMYFUNCTION("""COMPUTED_VALUE"""),"reptilian leaves")</f>
        <v>reptilian leaves</v>
      </c>
      <c r="D506" s="11" t="str">
        <f>IFERROR(__xludf.DUMMYFUNCTION("""COMPUTED_VALUE"""),"grass essence")</f>
        <v>grass essence</v>
      </c>
      <c r="E506" s="11" t="str">
        <f>IFERROR(__xludf.DUMMYFUNCTION("""COMPUTED_VALUE"""),"leaf stone")</f>
        <v>leaf stone</v>
      </c>
      <c r="F506" s="11"/>
      <c r="G506" s="11"/>
      <c r="H506" s="11"/>
      <c r="I506" s="11"/>
      <c r="J506" s="11"/>
      <c r="K506" s="11"/>
      <c r="L506" s="11"/>
    </row>
    <row r="507">
      <c r="A507" s="13" t="str">
        <f>IFERROR(__xludf.DUMMYFUNCTION("""COMPUTED_VALUE"""),"Shiny Grovyle")</f>
        <v>Shiny Grovyle</v>
      </c>
      <c r="B507" s="11" t="str">
        <f>IFERROR(__xludf.DUMMYFUNCTION("""COMPUTED_VALUE"""),"pile of seeds")</f>
        <v>pile of seeds</v>
      </c>
      <c r="C507" s="11" t="str">
        <f>IFERROR(__xludf.DUMMYFUNCTION("""COMPUTED_VALUE"""),"cyan reptilian leaves")</f>
        <v>cyan reptilian leaves</v>
      </c>
      <c r="D507" s="11" t="str">
        <f>IFERROR(__xludf.DUMMYFUNCTION("""COMPUTED_VALUE"""),"leaf stone")</f>
        <v>leaf stone</v>
      </c>
      <c r="E507" s="11" t="str">
        <f>IFERROR(__xludf.DUMMYFUNCTION("""COMPUTED_VALUE"""),"mythic grass orb")</f>
        <v>mythic grass orb</v>
      </c>
      <c r="F507" s="11"/>
      <c r="G507" s="11"/>
      <c r="H507" s="11"/>
      <c r="I507" s="11"/>
      <c r="J507" s="11"/>
      <c r="K507" s="11"/>
      <c r="L507" s="11"/>
    </row>
    <row r="508">
      <c r="A508" s="13" t="str">
        <f>IFERROR(__xludf.DUMMYFUNCTION("""COMPUTED_VALUE"""),"Sceptile")</f>
        <v>Sceptile</v>
      </c>
      <c r="B508" s="11" t="str">
        <f>IFERROR(__xludf.DUMMYFUNCTION("""COMPUTED_VALUE"""),"pile of seeds")</f>
        <v>pile of seeds</v>
      </c>
      <c r="C508" s="11" t="str">
        <f>IFERROR(__xludf.DUMMYFUNCTION("""COMPUTED_VALUE"""),"greens")</f>
        <v>greens</v>
      </c>
      <c r="D508" s="11" t="str">
        <f>IFERROR(__xludf.DUMMYFUNCTION("""COMPUTED_VALUE"""),"grass essence")</f>
        <v>grass essence</v>
      </c>
      <c r="E508" s="11" t="str">
        <f>IFERROR(__xludf.DUMMYFUNCTION("""COMPUTED_VALUE"""),"leaf stone")</f>
        <v>leaf stone</v>
      </c>
      <c r="F508" s="11"/>
      <c r="G508" s="11"/>
      <c r="H508" s="11"/>
      <c r="I508" s="11"/>
      <c r="J508" s="11"/>
      <c r="K508" s="11"/>
      <c r="L508" s="11"/>
    </row>
    <row r="509">
      <c r="A509" s="13" t="str">
        <f>IFERROR(__xludf.DUMMYFUNCTION("""COMPUTED_VALUE"""),"Shiny Sceptile")</f>
        <v>Shiny Sceptile</v>
      </c>
      <c r="B509" s="11" t="str">
        <f>IFERROR(__xludf.DUMMYFUNCTION("""COMPUTED_VALUE"""),"pile of seeds")</f>
        <v>pile of seeds</v>
      </c>
      <c r="C509" s="11" t="str">
        <f>IFERROR(__xludf.DUMMYFUNCTION("""COMPUTED_VALUE"""),"cyan greens")</f>
        <v>cyan greens</v>
      </c>
      <c r="D509" s="11" t="str">
        <f>IFERROR(__xludf.DUMMYFUNCTION("""COMPUTED_VALUE"""),"leaf stone")</f>
        <v>leaf stone</v>
      </c>
      <c r="E509" s="11" t="str">
        <f>IFERROR(__xludf.DUMMYFUNCTION("""COMPUTED_VALUE"""),"celestial grass orb")</f>
        <v>celestial grass orb</v>
      </c>
      <c r="F509" s="11"/>
      <c r="G509" s="11"/>
      <c r="H509" s="11"/>
      <c r="I509" s="11"/>
      <c r="J509" s="11"/>
      <c r="K509" s="11"/>
      <c r="L509" s="11"/>
    </row>
    <row r="510">
      <c r="A510" s="13" t="str">
        <f>IFERROR(__xludf.DUMMYFUNCTION("""COMPUTED_VALUE"""),"Torchic")</f>
        <v>Torchic</v>
      </c>
      <c r="B510" s="11" t="str">
        <f>IFERROR(__xludf.DUMMYFUNCTION("""COMPUTED_VALUE"""),"compressed fire")</f>
        <v>compressed fire</v>
      </c>
      <c r="C510" s="11" t="str">
        <f>IFERROR(__xludf.DUMMYFUNCTION("""COMPUTED_VALUE"""),"fire plume")</f>
        <v>fire plume</v>
      </c>
      <c r="D510" s="11" t="str">
        <f>IFERROR(__xludf.DUMMYFUNCTION("""COMPUTED_VALUE"""),"fire essence")</f>
        <v>fire essence</v>
      </c>
      <c r="E510" s="11" t="str">
        <f>IFERROR(__xludf.DUMMYFUNCTION("""COMPUTED_VALUE"""),"fire stone")</f>
        <v>fire stone</v>
      </c>
      <c r="F510" s="11"/>
      <c r="G510" s="11"/>
      <c r="H510" s="11"/>
      <c r="I510" s="11"/>
      <c r="J510" s="11"/>
      <c r="K510" s="11"/>
      <c r="L510" s="11"/>
    </row>
    <row r="511">
      <c r="A511" s="13" t="str">
        <f>IFERROR(__xludf.DUMMYFUNCTION("""COMPUTED_VALUE"""),"Shiny Torchic")</f>
        <v>Shiny Torchic</v>
      </c>
      <c r="B511" s="11" t="str">
        <f>IFERROR(__xludf.DUMMYFUNCTION("""COMPUTED_VALUE"""),"compressed fire")</f>
        <v>compressed fire</v>
      </c>
      <c r="C511" s="11" t="str">
        <f>IFERROR(__xludf.DUMMYFUNCTION("""COMPUTED_VALUE"""),"reddish fire plume")</f>
        <v>reddish fire plume</v>
      </c>
      <c r="D511" s="11" t="str">
        <f>IFERROR(__xludf.DUMMYFUNCTION("""COMPUTED_VALUE"""),"fire stone")</f>
        <v>fire stone</v>
      </c>
      <c r="E511" s="11" t="str">
        <f>IFERROR(__xludf.DUMMYFUNCTION("""COMPUTED_VALUE"""),"mythic fire orb")</f>
        <v>mythic fire orb</v>
      </c>
      <c r="F511" s="11"/>
      <c r="G511" s="11"/>
      <c r="H511" s="11"/>
      <c r="I511" s="11"/>
      <c r="J511" s="11"/>
      <c r="K511" s="11"/>
      <c r="L511" s="11"/>
    </row>
    <row r="512">
      <c r="A512" s="13" t="str">
        <f>IFERROR(__xludf.DUMMYFUNCTION("""COMPUTED_VALUE"""),"Combusken")</f>
        <v>Combusken</v>
      </c>
      <c r="B512" s="11" t="str">
        <f>IFERROR(__xludf.DUMMYFUNCTION("""COMPUTED_VALUE"""),"compressed fire")</f>
        <v>compressed fire</v>
      </c>
      <c r="C512" s="11" t="str">
        <f>IFERROR(__xludf.DUMMYFUNCTION("""COMPUTED_VALUE"""),"injection")</f>
        <v>injection</v>
      </c>
      <c r="D512" s="11" t="str">
        <f>IFERROR(__xludf.DUMMYFUNCTION("""COMPUTED_VALUE"""),"chicken feet")</f>
        <v>chicken feet</v>
      </c>
      <c r="E512" s="11" t="str">
        <f>IFERROR(__xludf.DUMMYFUNCTION("""COMPUTED_VALUE"""),"fire essence")</f>
        <v>fire essence</v>
      </c>
      <c r="F512" s="11" t="str">
        <f>IFERROR(__xludf.DUMMYFUNCTION("""COMPUTED_VALUE"""),"fighter essence")</f>
        <v>fighter essence</v>
      </c>
      <c r="G512" s="11" t="str">
        <f>IFERROR(__xludf.DUMMYFUNCTION("""COMPUTED_VALUE"""),"fire stone")</f>
        <v>fire stone</v>
      </c>
      <c r="H512" s="11" t="str">
        <f>IFERROR(__xludf.DUMMYFUNCTION("""COMPUTED_VALUE"""),"punch stone")</f>
        <v>punch stone</v>
      </c>
      <c r="I512" s="11"/>
      <c r="J512" s="11"/>
      <c r="K512" s="11"/>
      <c r="L512" s="11"/>
    </row>
    <row r="513">
      <c r="A513" s="13" t="str">
        <f>IFERROR(__xludf.DUMMYFUNCTION("""COMPUTED_VALUE"""),"Shiny Combusken")</f>
        <v>Shiny Combusken</v>
      </c>
      <c r="B513" s="11" t="str">
        <f>IFERROR(__xludf.DUMMYFUNCTION("""COMPUTED_VALUE"""),"compressed fire")</f>
        <v>compressed fire</v>
      </c>
      <c r="C513" s="11" t="str">
        <f>IFERROR(__xludf.DUMMYFUNCTION("""COMPUTED_VALUE"""),"injection")</f>
        <v>injection</v>
      </c>
      <c r="D513" s="11" t="str">
        <f>IFERROR(__xludf.DUMMYFUNCTION("""COMPUTED_VALUE"""),"black chicken feet")</f>
        <v>black chicken feet</v>
      </c>
      <c r="E513" s="11" t="str">
        <f>IFERROR(__xludf.DUMMYFUNCTION("""COMPUTED_VALUE"""),"fire stone")</f>
        <v>fire stone</v>
      </c>
      <c r="F513" s="11" t="str">
        <f>IFERROR(__xludf.DUMMYFUNCTION("""COMPUTED_VALUE"""),"punch stone")</f>
        <v>punch stone</v>
      </c>
      <c r="G513" s="11" t="str">
        <f>IFERROR(__xludf.DUMMYFUNCTION("""COMPUTED_VALUE"""),"mythic fire orb")</f>
        <v>mythic fire orb</v>
      </c>
      <c r="H513" s="11"/>
      <c r="I513" s="11"/>
      <c r="J513" s="11"/>
      <c r="K513" s="11"/>
      <c r="L513" s="11"/>
    </row>
    <row r="514">
      <c r="A514" s="13" t="str">
        <f>IFERROR(__xludf.DUMMYFUNCTION("""COMPUTED_VALUE"""),"Blaziken")</f>
        <v>Blaziken</v>
      </c>
      <c r="B514" s="11" t="str">
        <f>IFERROR(__xludf.DUMMYFUNCTION("""COMPUTED_VALUE"""),"compressed fire")</f>
        <v>compressed fire</v>
      </c>
      <c r="C514" s="11" t="str">
        <f>IFERROR(__xludf.DUMMYFUNCTION("""COMPUTED_VALUE"""),"injection")</f>
        <v>injection</v>
      </c>
      <c r="D514" s="11" t="str">
        <f>IFERROR(__xludf.DUMMYFUNCTION("""COMPUTED_VALUE"""),"fire feather")</f>
        <v>fire feather</v>
      </c>
      <c r="E514" s="11" t="str">
        <f>IFERROR(__xludf.DUMMYFUNCTION("""COMPUTED_VALUE"""),"fire essence")</f>
        <v>fire essence</v>
      </c>
      <c r="F514" s="11" t="str">
        <f>IFERROR(__xludf.DUMMYFUNCTION("""COMPUTED_VALUE"""),"fighter essence")</f>
        <v>fighter essence</v>
      </c>
      <c r="G514" s="11" t="str">
        <f>IFERROR(__xludf.DUMMYFUNCTION("""COMPUTED_VALUE"""),"fire stone")</f>
        <v>fire stone</v>
      </c>
      <c r="H514" s="11" t="str">
        <f>IFERROR(__xludf.DUMMYFUNCTION("""COMPUTED_VALUE"""),"punch stone")</f>
        <v>punch stone</v>
      </c>
      <c r="I514" s="11"/>
      <c r="J514" s="11"/>
      <c r="K514" s="11"/>
      <c r="L514" s="11"/>
    </row>
    <row r="515">
      <c r="A515" s="13" t="str">
        <f>IFERROR(__xludf.DUMMYFUNCTION("""COMPUTED_VALUE"""),"Shiny Blaziken")</f>
        <v>Shiny Blaziken</v>
      </c>
      <c r="B515" s="11" t="str">
        <f>IFERROR(__xludf.DUMMYFUNCTION("""COMPUTED_VALUE"""),"compressed fire")</f>
        <v>compressed fire</v>
      </c>
      <c r="C515" s="11" t="str">
        <f>IFERROR(__xludf.DUMMYFUNCTION("""COMPUTED_VALUE"""),"injection")</f>
        <v>injection</v>
      </c>
      <c r="D515" s="11" t="str">
        <f>IFERROR(__xludf.DUMMYFUNCTION("""COMPUTED_VALUE"""),"black fire feather")</f>
        <v>black fire feather</v>
      </c>
      <c r="E515" s="11" t="str">
        <f>IFERROR(__xludf.DUMMYFUNCTION("""COMPUTED_VALUE"""),"fire stone")</f>
        <v>fire stone</v>
      </c>
      <c r="F515" s="11" t="str">
        <f>IFERROR(__xludf.DUMMYFUNCTION("""COMPUTED_VALUE"""),"punch stone")</f>
        <v>punch stone</v>
      </c>
      <c r="G515" s="11" t="str">
        <f>IFERROR(__xludf.DUMMYFUNCTION("""COMPUTED_VALUE"""),"celestial fire orb")</f>
        <v>celestial fire orb</v>
      </c>
      <c r="H515" s="11" t="str">
        <f>IFERROR(__xludf.DUMMYFUNCTION("""COMPUTED_VALUE"""),"celestial fighting orb")</f>
        <v>celestial fighting orb</v>
      </c>
      <c r="I515" s="11"/>
      <c r="J515" s="11"/>
      <c r="K515" s="11"/>
      <c r="L515" s="11"/>
    </row>
    <row r="516">
      <c r="A516" s="13" t="str">
        <f>IFERROR(__xludf.DUMMYFUNCTION("""COMPUTED_VALUE"""),"Mudkip")</f>
        <v>Mudkip</v>
      </c>
      <c r="B516" s="11" t="str">
        <f>IFERROR(__xludf.DUMMYFUNCTION("""COMPUTED_VALUE"""),"solid water gem")</f>
        <v>solid water gem</v>
      </c>
      <c r="C516" s="11" t="str">
        <f>IFERROR(__xludf.DUMMYFUNCTION("""COMPUTED_VALUE"""),"mud tail")</f>
        <v>mud tail</v>
      </c>
      <c r="D516" s="11" t="str">
        <f>IFERROR(__xludf.DUMMYFUNCTION("""COMPUTED_VALUE"""),"water stone")</f>
        <v>water stone</v>
      </c>
      <c r="E516" s="11"/>
      <c r="F516" s="11"/>
      <c r="G516" s="11"/>
      <c r="H516" s="11"/>
      <c r="I516" s="11"/>
      <c r="J516" s="11"/>
      <c r="K516" s="11"/>
      <c r="L516" s="11"/>
    </row>
    <row r="517">
      <c r="A517" s="13" t="str">
        <f>IFERROR(__xludf.DUMMYFUNCTION("""COMPUTED_VALUE"""),"Shiny Mudkip")</f>
        <v>Shiny Mudkip</v>
      </c>
      <c r="B517" s="11" t="str">
        <f>IFERROR(__xludf.DUMMYFUNCTION("""COMPUTED_VALUE"""),"solid water gem")</f>
        <v>solid water gem</v>
      </c>
      <c r="C517" s="11" t="str">
        <f>IFERROR(__xludf.DUMMYFUNCTION("""COMPUTED_VALUE"""),"greenish mud tail")</f>
        <v>greenish mud tail</v>
      </c>
      <c r="D517" s="11" t="str">
        <f>IFERROR(__xludf.DUMMYFUNCTION("""COMPUTED_VALUE"""),"water stone")</f>
        <v>water stone</v>
      </c>
      <c r="E517" s="11" t="str">
        <f>IFERROR(__xludf.DUMMYFUNCTION("""COMPUTED_VALUE"""),"mythic water orb")</f>
        <v>mythic water orb</v>
      </c>
      <c r="F517" s="11"/>
      <c r="G517" s="11"/>
      <c r="H517" s="11"/>
      <c r="I517" s="11"/>
      <c r="J517" s="11"/>
      <c r="K517" s="11"/>
      <c r="L517" s="11"/>
    </row>
    <row r="518">
      <c r="A518" s="13" t="str">
        <f>IFERROR(__xludf.DUMMYFUNCTION("""COMPUTED_VALUE"""),"Marshtomp")</f>
        <v>Marshtomp</v>
      </c>
      <c r="B518" s="11" t="str">
        <f>IFERROR(__xludf.DUMMYFUNCTION("""COMPUTED_VALUE"""),"solid water gem")</f>
        <v>solid water gem</v>
      </c>
      <c r="C518" s="11" t="str">
        <f>IFERROR(__xludf.DUMMYFUNCTION("""COMPUTED_VALUE"""),"solid earth piece")</f>
        <v>solid earth piece</v>
      </c>
      <c r="D518" s="11" t="str">
        <f>IFERROR(__xludf.DUMMYFUNCTION("""COMPUTED_VALUE"""),"marsh tail")</f>
        <v>marsh tail</v>
      </c>
      <c r="E518" s="11" t="str">
        <f>IFERROR(__xludf.DUMMYFUNCTION("""COMPUTED_VALUE"""),"ground essence")</f>
        <v>ground essence</v>
      </c>
      <c r="F518" s="11" t="str">
        <f>IFERROR(__xludf.DUMMYFUNCTION("""COMPUTED_VALUE"""),"water essence")</f>
        <v>water essence</v>
      </c>
      <c r="G518" s="11" t="str">
        <f>IFERROR(__xludf.DUMMYFUNCTION("""COMPUTED_VALUE"""),"water stone")</f>
        <v>water stone</v>
      </c>
      <c r="H518" s="11" t="str">
        <f>IFERROR(__xludf.DUMMYFUNCTION("""COMPUTED_VALUE"""),"earth stone")</f>
        <v>earth stone</v>
      </c>
      <c r="I518" s="11"/>
      <c r="J518" s="11"/>
      <c r="K518" s="11"/>
      <c r="L518" s="11"/>
    </row>
    <row r="519">
      <c r="A519" s="13" t="str">
        <f>IFERROR(__xludf.DUMMYFUNCTION("""COMPUTED_VALUE"""),"Shiny Marshtomp")</f>
        <v>Shiny Marshtomp</v>
      </c>
      <c r="B519" s="11" t="str">
        <f>IFERROR(__xludf.DUMMYFUNCTION("""COMPUTED_VALUE"""),"solid water gem")</f>
        <v>solid water gem</v>
      </c>
      <c r="C519" s="11" t="str">
        <f>IFERROR(__xludf.DUMMYFUNCTION("""COMPUTED_VALUE"""),"solid earth piece")</f>
        <v>solid earth piece</v>
      </c>
      <c r="D519" s="11" t="str">
        <f>IFERROR(__xludf.DUMMYFUNCTION("""COMPUTED_VALUE"""),"greenish marsh tail")</f>
        <v>greenish marsh tail</v>
      </c>
      <c r="E519" s="11" t="str">
        <f>IFERROR(__xludf.DUMMYFUNCTION("""COMPUTED_VALUE"""),"water stone")</f>
        <v>water stone</v>
      </c>
      <c r="F519" s="11" t="str">
        <f>IFERROR(__xludf.DUMMYFUNCTION("""COMPUTED_VALUE"""),"earth stone")</f>
        <v>earth stone</v>
      </c>
      <c r="G519" s="11" t="str">
        <f>IFERROR(__xludf.DUMMYFUNCTION("""COMPUTED_VALUE"""),"mythic water orb")</f>
        <v>mythic water orb</v>
      </c>
      <c r="H519" s="11"/>
      <c r="I519" s="11"/>
      <c r="J519" s="11"/>
      <c r="K519" s="11"/>
      <c r="L519" s="11"/>
    </row>
    <row r="520">
      <c r="A520" s="13" t="str">
        <f>IFERROR(__xludf.DUMMYFUNCTION("""COMPUTED_VALUE"""),"Swampert")</f>
        <v>Swampert</v>
      </c>
      <c r="B520" s="11" t="str">
        <f>IFERROR(__xludf.DUMMYFUNCTION("""COMPUTED_VALUE"""),"solid water gem")</f>
        <v>solid water gem</v>
      </c>
      <c r="C520" s="11" t="str">
        <f>IFERROR(__xludf.DUMMYFUNCTION("""COMPUTED_VALUE"""),"solid earth piece")</f>
        <v>solid earth piece</v>
      </c>
      <c r="D520" s="11" t="str">
        <f>IFERROR(__xludf.DUMMYFUNCTION("""COMPUTED_VALUE"""),"black fins")</f>
        <v>black fins</v>
      </c>
      <c r="E520" s="11" t="str">
        <f>IFERROR(__xludf.DUMMYFUNCTION("""COMPUTED_VALUE"""),"ground essence")</f>
        <v>ground essence</v>
      </c>
      <c r="F520" s="11" t="str">
        <f>IFERROR(__xludf.DUMMYFUNCTION("""COMPUTED_VALUE"""),"water essence")</f>
        <v>water essence</v>
      </c>
      <c r="G520" s="11" t="str">
        <f>IFERROR(__xludf.DUMMYFUNCTION("""COMPUTED_VALUE"""),"water stone")</f>
        <v>water stone</v>
      </c>
      <c r="H520" s="11" t="str">
        <f>IFERROR(__xludf.DUMMYFUNCTION("""COMPUTED_VALUE"""),"earth stone")</f>
        <v>earth stone</v>
      </c>
      <c r="I520" s="11"/>
      <c r="J520" s="11"/>
      <c r="K520" s="11"/>
      <c r="L520" s="11"/>
    </row>
    <row r="521">
      <c r="A521" s="13" t="str">
        <f>IFERROR(__xludf.DUMMYFUNCTION("""COMPUTED_VALUE"""),"Shiny Swampert")</f>
        <v>Shiny Swampert</v>
      </c>
      <c r="B521" s="11" t="str">
        <f>IFERROR(__xludf.DUMMYFUNCTION("""COMPUTED_VALUE"""),"solid water gem")</f>
        <v>solid water gem</v>
      </c>
      <c r="C521" s="11" t="str">
        <f>IFERROR(__xludf.DUMMYFUNCTION("""COMPUTED_VALUE"""),"solid earth piece")</f>
        <v>solid earth piece</v>
      </c>
      <c r="D521" s="11" t="str">
        <f>IFERROR(__xludf.DUMMYFUNCTION("""COMPUTED_VALUE"""),"greenish fins")</f>
        <v>greenish fins</v>
      </c>
      <c r="E521" s="11" t="str">
        <f>IFERROR(__xludf.DUMMYFUNCTION("""COMPUTED_VALUE"""),"water stone")</f>
        <v>water stone</v>
      </c>
      <c r="F521" s="11" t="str">
        <f>IFERROR(__xludf.DUMMYFUNCTION("""COMPUTED_VALUE"""),"earth stone")</f>
        <v>earth stone</v>
      </c>
      <c r="G521" s="11" t="str">
        <f>IFERROR(__xludf.DUMMYFUNCTION("""COMPUTED_VALUE"""),"celestial water orb")</f>
        <v>celestial water orb</v>
      </c>
      <c r="H521" s="11" t="str">
        <f>IFERROR(__xludf.DUMMYFUNCTION("""COMPUTED_VALUE"""),"celestial ground orb")</f>
        <v>celestial ground orb</v>
      </c>
      <c r="I521" s="11"/>
      <c r="J521" s="11"/>
      <c r="K521" s="11"/>
      <c r="L521" s="11"/>
    </row>
    <row r="522">
      <c r="A522" s="13" t="str">
        <f>IFERROR(__xludf.DUMMYFUNCTION("""COMPUTED_VALUE"""),"Poochyena")</f>
        <v>Poochyena</v>
      </c>
      <c r="B522" s="11" t="str">
        <f>IFERROR(__xludf.DUMMYFUNCTION("""COMPUTED_VALUE"""),"solid dark gem")</f>
        <v>solid dark gem</v>
      </c>
      <c r="C522" s="11" t="str">
        <f>IFERROR(__xludf.DUMMYFUNCTION("""COMPUTED_VALUE"""),"pooch fur")</f>
        <v>pooch fur</v>
      </c>
      <c r="D522" s="11" t="str">
        <f>IFERROR(__xludf.DUMMYFUNCTION("""COMPUTED_VALUE"""),"darkness stone")</f>
        <v>darkness stone</v>
      </c>
      <c r="E522" s="11"/>
      <c r="F522" s="11"/>
      <c r="G522" s="11"/>
      <c r="H522" s="11"/>
      <c r="I522" s="11"/>
      <c r="J522" s="11"/>
      <c r="K522" s="11"/>
      <c r="L522" s="11"/>
    </row>
    <row r="523">
      <c r="A523" s="13" t="str">
        <f>IFERROR(__xludf.DUMMYFUNCTION("""COMPUTED_VALUE"""),"Shiny Poochyena")</f>
        <v>Shiny Poochyena</v>
      </c>
      <c r="B523" s="11" t="str">
        <f>IFERROR(__xludf.DUMMYFUNCTION("""COMPUTED_VALUE"""),"solid dark gem")</f>
        <v>solid dark gem</v>
      </c>
      <c r="C523" s="11" t="str">
        <f>IFERROR(__xludf.DUMMYFUNCTION("""COMPUTED_VALUE"""),"yellowish pooch fur")</f>
        <v>yellowish pooch fur</v>
      </c>
      <c r="D523" s="11" t="str">
        <f>IFERROR(__xludf.DUMMYFUNCTION("""COMPUTED_VALUE"""),"darkness stone")</f>
        <v>darkness stone</v>
      </c>
      <c r="E523" s="11" t="str">
        <f>IFERROR(__xludf.DUMMYFUNCTION("""COMPUTED_VALUE"""),"mythic dark orb")</f>
        <v>mythic dark orb</v>
      </c>
      <c r="F523" s="11"/>
      <c r="G523" s="11"/>
      <c r="H523" s="11"/>
      <c r="I523" s="11"/>
      <c r="J523" s="11"/>
      <c r="K523" s="11"/>
      <c r="L523" s="11"/>
    </row>
    <row r="524">
      <c r="A524" s="13" t="str">
        <f>IFERROR(__xludf.DUMMYFUNCTION("""COMPUTED_VALUE"""),"Mightyena")</f>
        <v>Mightyena</v>
      </c>
      <c r="B524" s="11" t="str">
        <f>IFERROR(__xludf.DUMMYFUNCTION("""COMPUTED_VALUE"""),"solid dark gem")</f>
        <v>solid dark gem</v>
      </c>
      <c r="C524" s="11" t="str">
        <f>IFERROR(__xludf.DUMMYFUNCTION("""COMPUTED_VALUE"""),"hyena tail")</f>
        <v>hyena tail</v>
      </c>
      <c r="D524" s="11" t="str">
        <f>IFERROR(__xludf.DUMMYFUNCTION("""COMPUTED_VALUE"""),"dark essence")</f>
        <v>dark essence</v>
      </c>
      <c r="E524" s="11" t="str">
        <f>IFERROR(__xludf.DUMMYFUNCTION("""COMPUTED_VALUE"""),"darkness stone")</f>
        <v>darkness stone</v>
      </c>
      <c r="F524" s="11"/>
      <c r="G524" s="11"/>
      <c r="H524" s="11"/>
      <c r="I524" s="11"/>
      <c r="J524" s="11"/>
      <c r="K524" s="11"/>
      <c r="L524" s="11"/>
    </row>
    <row r="525">
      <c r="A525" s="13" t="str">
        <f>IFERROR(__xludf.DUMMYFUNCTION("""COMPUTED_VALUE"""),"Shiny Mightyena")</f>
        <v>Shiny Mightyena</v>
      </c>
      <c r="B525" s="11" t="str">
        <f>IFERROR(__xludf.DUMMYFUNCTION("""COMPUTED_VALUE"""),"solid dark gem")</f>
        <v>solid dark gem</v>
      </c>
      <c r="C525" s="11" t="str">
        <f>IFERROR(__xludf.DUMMYFUNCTION("""COMPUTED_VALUE"""),"yellowish hyena tail")</f>
        <v>yellowish hyena tail</v>
      </c>
      <c r="D525" s="11" t="str">
        <f>IFERROR(__xludf.DUMMYFUNCTION("""COMPUTED_VALUE"""),"darkness stone")</f>
        <v>darkness stone</v>
      </c>
      <c r="E525" s="11" t="str">
        <f>IFERROR(__xludf.DUMMYFUNCTION("""COMPUTED_VALUE"""),"celestial dark orb")</f>
        <v>celestial dark orb</v>
      </c>
      <c r="F525" s="11"/>
      <c r="G525" s="11"/>
      <c r="H525" s="11"/>
      <c r="I525" s="11"/>
      <c r="J525" s="11"/>
      <c r="K525" s="11"/>
      <c r="L525" s="11"/>
    </row>
    <row r="526">
      <c r="A526" s="13" t="str">
        <f>IFERROR(__xludf.DUMMYFUNCTION("""COMPUTED_VALUE"""),"Zigzagoon")</f>
        <v>Zigzagoon</v>
      </c>
      <c r="B526" s="11" t="str">
        <f>IFERROR(__xludf.DUMMYFUNCTION("""COMPUTED_VALUE"""),"solid rubber ball")</f>
        <v>solid rubber ball</v>
      </c>
      <c r="C526" s="11" t="str">
        <f>IFERROR(__xludf.DUMMYFUNCTION("""COMPUTED_VALUE"""),"bicollor tail")</f>
        <v>bicollor tail</v>
      </c>
      <c r="D526" s="11" t="str">
        <f>IFERROR(__xludf.DUMMYFUNCTION("""COMPUTED_VALUE"""),"normal essence")</f>
        <v>normal essence</v>
      </c>
      <c r="E526" s="11" t="str">
        <f>IFERROR(__xludf.DUMMYFUNCTION("""COMPUTED_VALUE"""),"heart stone")</f>
        <v>heart stone</v>
      </c>
      <c r="F526" s="11"/>
      <c r="G526" s="11"/>
      <c r="H526" s="11"/>
      <c r="I526" s="11"/>
      <c r="J526" s="11"/>
      <c r="K526" s="11"/>
      <c r="L526" s="11"/>
    </row>
    <row r="527">
      <c r="A527" s="13" t="str">
        <f>IFERROR(__xludf.DUMMYFUNCTION("""COMPUTED_VALUE"""),"Shiny Zigzagoon")</f>
        <v>Shiny Zigzagoon</v>
      </c>
      <c r="B527" s="11" t="str">
        <f>IFERROR(__xludf.DUMMYFUNCTION("""COMPUTED_VALUE"""),"solid rubber ball")</f>
        <v>solid rubber ball</v>
      </c>
      <c r="C527" s="11" t="str">
        <f>IFERROR(__xludf.DUMMYFUNCTION("""COMPUTED_VALUE"""),"reddish tail")</f>
        <v>reddish tail</v>
      </c>
      <c r="D527" s="11" t="str">
        <f>IFERROR(__xludf.DUMMYFUNCTION("""COMPUTED_VALUE"""),"heart stone")</f>
        <v>heart stone</v>
      </c>
      <c r="E527" s="11" t="str">
        <f>IFERROR(__xludf.DUMMYFUNCTION("""COMPUTED_VALUE"""),"mythic normal orb")</f>
        <v>mythic normal orb</v>
      </c>
      <c r="F527" s="11"/>
      <c r="G527" s="11"/>
      <c r="H527" s="11"/>
      <c r="I527" s="11"/>
      <c r="J527" s="11"/>
      <c r="K527" s="11"/>
      <c r="L527" s="11"/>
    </row>
    <row r="528">
      <c r="A528" s="13" t="str">
        <f>IFERROR(__xludf.DUMMYFUNCTION("""COMPUTED_VALUE"""),"Linoone")</f>
        <v>Linoone</v>
      </c>
      <c r="B528" s="11" t="str">
        <f>IFERROR(__xludf.DUMMYFUNCTION("""COMPUTED_VALUE"""),"solid rubber ball")</f>
        <v>solid rubber ball</v>
      </c>
      <c r="C528" s="11" t="str">
        <f>IFERROR(__xludf.DUMMYFUNCTION("""COMPUTED_VALUE"""),"tiny raccoon fur")</f>
        <v>tiny raccoon fur</v>
      </c>
      <c r="D528" s="11" t="str">
        <f>IFERROR(__xludf.DUMMYFUNCTION("""COMPUTED_VALUE"""),"normal essence")</f>
        <v>normal essence</v>
      </c>
      <c r="E528" s="11" t="str">
        <f>IFERROR(__xludf.DUMMYFUNCTION("""COMPUTED_VALUE"""),"heart stone")</f>
        <v>heart stone</v>
      </c>
      <c r="F528" s="11"/>
      <c r="G528" s="11"/>
      <c r="H528" s="11"/>
      <c r="I528" s="11"/>
      <c r="J528" s="11"/>
      <c r="K528" s="11"/>
      <c r="L528" s="11"/>
    </row>
    <row r="529">
      <c r="A529" s="13" t="str">
        <f>IFERROR(__xludf.DUMMYFUNCTION("""COMPUTED_VALUE"""),"Shiny Linoone")</f>
        <v>Shiny Linoone</v>
      </c>
      <c r="B529" s="11" t="str">
        <f>IFERROR(__xludf.DUMMYFUNCTION("""COMPUTED_VALUE"""),"solid rubber ball")</f>
        <v>solid rubber ball</v>
      </c>
      <c r="C529" s="11" t="str">
        <f>IFERROR(__xludf.DUMMYFUNCTION("""COMPUTED_VALUE"""),"reddish tiny raccoon fur")</f>
        <v>reddish tiny raccoon fur</v>
      </c>
      <c r="D529" s="11" t="str">
        <f>IFERROR(__xludf.DUMMYFUNCTION("""COMPUTED_VALUE"""),"heart stone")</f>
        <v>heart stone</v>
      </c>
      <c r="E529" s="11" t="str">
        <f>IFERROR(__xludf.DUMMYFUNCTION("""COMPUTED_VALUE"""),"mythic normal orb")</f>
        <v>mythic normal orb</v>
      </c>
      <c r="F529" s="11"/>
      <c r="G529" s="11"/>
      <c r="H529" s="11"/>
      <c r="I529" s="11"/>
      <c r="J529" s="11"/>
      <c r="K529" s="11"/>
      <c r="L529" s="11"/>
    </row>
    <row r="530">
      <c r="A530" s="13" t="str">
        <f>IFERROR(__xludf.DUMMYFUNCTION("""COMPUTED_VALUE"""),"Wurmple")</f>
        <v>Wurmple</v>
      </c>
      <c r="B530" s="11" t="str">
        <f>IFERROR(__xludf.DUMMYFUNCTION("""COMPUTED_VALUE"""),"big bug gosme")</f>
        <v>big bug gosme</v>
      </c>
      <c r="C530" s="11" t="str">
        <f>IFERROR(__xludf.DUMMYFUNCTION("""COMPUTED_VALUE"""),"worm horn")</f>
        <v>worm horn</v>
      </c>
      <c r="D530" s="11" t="str">
        <f>IFERROR(__xludf.DUMMYFUNCTION("""COMPUTED_VALUE"""),"bug essence")</f>
        <v>bug essence</v>
      </c>
      <c r="E530" s="11" t="str">
        <f>IFERROR(__xludf.DUMMYFUNCTION("""COMPUTED_VALUE"""),"cocoon stone")</f>
        <v>cocoon stone</v>
      </c>
      <c r="F530" s="11"/>
      <c r="G530" s="11"/>
      <c r="H530" s="11"/>
      <c r="I530" s="11"/>
      <c r="J530" s="11"/>
      <c r="K530" s="11"/>
      <c r="L530" s="11"/>
    </row>
    <row r="531">
      <c r="A531" s="13" t="str">
        <f>IFERROR(__xludf.DUMMYFUNCTION("""COMPUTED_VALUE"""),"Shiny Wurmple")</f>
        <v>Shiny Wurmple</v>
      </c>
      <c r="B531" s="11" t="str">
        <f>IFERROR(__xludf.DUMMYFUNCTION("""COMPUTED_VALUE"""),"big bug gosme")</f>
        <v>big bug gosme</v>
      </c>
      <c r="C531" s="11" t="str">
        <f>IFERROR(__xludf.DUMMYFUNCTION("""COMPUTED_VALUE"""),"purple worm horn")</f>
        <v>purple worm horn</v>
      </c>
      <c r="D531" s="11" t="str">
        <f>IFERROR(__xludf.DUMMYFUNCTION("""COMPUTED_VALUE"""),"cocoon stone")</f>
        <v>cocoon stone</v>
      </c>
      <c r="E531" s="11" t="str">
        <f>IFERROR(__xludf.DUMMYFUNCTION("""COMPUTED_VALUE"""),"mythic bug orb")</f>
        <v>mythic bug orb</v>
      </c>
      <c r="F531" s="11"/>
      <c r="G531" s="11"/>
      <c r="H531" s="11"/>
      <c r="I531" s="11"/>
      <c r="J531" s="11"/>
      <c r="K531" s="11"/>
      <c r="L531" s="11"/>
    </row>
    <row r="532">
      <c r="A532" s="13" t="str">
        <f>IFERROR(__xludf.DUMMYFUNCTION("""COMPUTED_VALUE"""),"Silcoon")</f>
        <v>Silcoon</v>
      </c>
      <c r="B532" s="11" t="str">
        <f>IFERROR(__xludf.DUMMYFUNCTION("""COMPUTED_VALUE"""),"big bug gosme")</f>
        <v>big bug gosme</v>
      </c>
      <c r="C532" s="11" t="str">
        <f>IFERROR(__xludf.DUMMYFUNCTION("""COMPUTED_VALUE"""),"white cocoon thorn")</f>
        <v>white cocoon thorn</v>
      </c>
      <c r="D532" s="11" t="str">
        <f>IFERROR(__xludf.DUMMYFUNCTION("""COMPUTED_VALUE"""),"bug essence")</f>
        <v>bug essence</v>
      </c>
      <c r="E532" s="11" t="str">
        <f>IFERROR(__xludf.DUMMYFUNCTION("""COMPUTED_VALUE"""),"cocoon stone")</f>
        <v>cocoon stone</v>
      </c>
      <c r="F532" s="11"/>
      <c r="G532" s="11"/>
      <c r="H532" s="11"/>
      <c r="I532" s="11"/>
      <c r="J532" s="11"/>
      <c r="K532" s="11"/>
      <c r="L532" s="11"/>
    </row>
    <row r="533">
      <c r="A533" s="13" t="str">
        <f>IFERROR(__xludf.DUMMYFUNCTION("""COMPUTED_VALUE"""),"Shiny Silcoon")</f>
        <v>Shiny Silcoon</v>
      </c>
      <c r="B533" s="11" t="str">
        <f>IFERROR(__xludf.DUMMYFUNCTION("""COMPUTED_VALUE"""),"big bug gosme")</f>
        <v>big bug gosme</v>
      </c>
      <c r="C533" s="11" t="str">
        <f>IFERROR(__xludf.DUMMYFUNCTION("""COMPUTED_VALUE"""),"yellowish cocoon thorn")</f>
        <v>yellowish cocoon thorn</v>
      </c>
      <c r="D533" s="11" t="str">
        <f>IFERROR(__xludf.DUMMYFUNCTION("""COMPUTED_VALUE"""),"cocoon stone")</f>
        <v>cocoon stone</v>
      </c>
      <c r="E533" s="11" t="str">
        <f>IFERROR(__xludf.DUMMYFUNCTION("""COMPUTED_VALUE"""),"mythic bug orb")</f>
        <v>mythic bug orb</v>
      </c>
      <c r="F533" s="11"/>
      <c r="G533" s="11"/>
      <c r="H533" s="11"/>
      <c r="I533" s="11"/>
      <c r="J533" s="11"/>
      <c r="K533" s="11"/>
      <c r="L533" s="11"/>
    </row>
    <row r="534">
      <c r="A534" s="13" t="str">
        <f>IFERROR(__xludf.DUMMYFUNCTION("""COMPUTED_VALUE"""),"Beautifly")</f>
        <v>Beautifly</v>
      </c>
      <c r="B534" s="11" t="str">
        <f>IFERROR(__xludf.DUMMYFUNCTION("""COMPUTED_VALUE"""),"big bug gosme")</f>
        <v>big bug gosme</v>
      </c>
      <c r="C534" s="11" t="str">
        <f>IFERROR(__xludf.DUMMYFUNCTION("""COMPUTED_VALUE"""),"compressed straw")</f>
        <v>compressed straw</v>
      </c>
      <c r="D534" s="11" t="str">
        <f>IFERROR(__xludf.DUMMYFUNCTION("""COMPUTED_VALUE"""),"colored wings")</f>
        <v>colored wings</v>
      </c>
      <c r="E534" s="11" t="str">
        <f>IFERROR(__xludf.DUMMYFUNCTION("""COMPUTED_VALUE"""),"bug essence")</f>
        <v>bug essence</v>
      </c>
      <c r="F534" s="11" t="str">
        <f>IFERROR(__xludf.DUMMYFUNCTION("""COMPUTED_VALUE"""),"flying essence")</f>
        <v>flying essence</v>
      </c>
      <c r="G534" s="11" t="str">
        <f>IFERROR(__xludf.DUMMYFUNCTION("""COMPUTED_VALUE"""),"cocoon stone")</f>
        <v>cocoon stone</v>
      </c>
      <c r="H534" s="11" t="str">
        <f>IFERROR(__xludf.DUMMYFUNCTION("""COMPUTED_VALUE"""),"feather stone")</f>
        <v>feather stone</v>
      </c>
      <c r="I534" s="11"/>
      <c r="J534" s="11"/>
      <c r="K534" s="11"/>
      <c r="L534" s="11"/>
    </row>
    <row r="535">
      <c r="A535" s="13" t="str">
        <f>IFERROR(__xludf.DUMMYFUNCTION("""COMPUTED_VALUE"""),"Shiny Beautifly")</f>
        <v>Shiny Beautifly</v>
      </c>
      <c r="B535" s="11" t="str">
        <f>IFERROR(__xludf.DUMMYFUNCTION("""COMPUTED_VALUE"""),"big bug gosme")</f>
        <v>big bug gosme</v>
      </c>
      <c r="C535" s="11" t="str">
        <f>IFERROR(__xludf.DUMMYFUNCTION("""COMPUTED_VALUE"""),"compressed straw")</f>
        <v>compressed straw</v>
      </c>
      <c r="D535" s="11" t="str">
        <f>IFERROR(__xludf.DUMMYFUNCTION("""COMPUTED_VALUE"""),"purple beautifly wings")</f>
        <v>purple beautifly wings</v>
      </c>
      <c r="E535" s="11" t="str">
        <f>IFERROR(__xludf.DUMMYFUNCTION("""COMPUTED_VALUE"""),"cocoon stone")</f>
        <v>cocoon stone</v>
      </c>
      <c r="F535" s="11" t="str">
        <f>IFERROR(__xludf.DUMMYFUNCTION("""COMPUTED_VALUE"""),"feather stone")</f>
        <v>feather stone</v>
      </c>
      <c r="G535" s="11" t="str">
        <f>IFERROR(__xludf.DUMMYFUNCTION("""COMPUTED_VALUE"""),"celestial bug orb")</f>
        <v>celestial bug orb</v>
      </c>
      <c r="H535" s="11"/>
      <c r="I535" s="11"/>
      <c r="J535" s="11"/>
      <c r="K535" s="11"/>
      <c r="L535" s="11"/>
    </row>
    <row r="536">
      <c r="A536" s="13" t="str">
        <f>IFERROR(__xludf.DUMMYFUNCTION("""COMPUTED_VALUE"""),"Cascoon")</f>
        <v>Cascoon</v>
      </c>
      <c r="B536" s="11" t="str">
        <f>IFERROR(__xludf.DUMMYFUNCTION("""COMPUTED_VALUE"""),"big bug gosme")</f>
        <v>big bug gosme</v>
      </c>
      <c r="C536" s="11" t="str">
        <f>IFERROR(__xludf.DUMMYFUNCTION("""COMPUTED_VALUE"""),"purple cocoon thorn")</f>
        <v>purple cocoon thorn</v>
      </c>
      <c r="D536" s="11" t="str">
        <f>IFERROR(__xludf.DUMMYFUNCTION("""COMPUTED_VALUE"""),"bug essence")</f>
        <v>bug essence</v>
      </c>
      <c r="E536" s="11" t="str">
        <f>IFERROR(__xludf.DUMMYFUNCTION("""COMPUTED_VALUE"""),"cocoon stone")</f>
        <v>cocoon stone</v>
      </c>
      <c r="F536" s="11"/>
      <c r="G536" s="11"/>
      <c r="H536" s="11"/>
      <c r="I536" s="11"/>
      <c r="J536" s="11"/>
      <c r="K536" s="11"/>
      <c r="L536" s="11"/>
    </row>
    <row r="537">
      <c r="A537" s="13" t="str">
        <f>IFERROR(__xludf.DUMMYFUNCTION("""COMPUTED_VALUE"""),"Shiny Cascoon")</f>
        <v>Shiny Cascoon</v>
      </c>
      <c r="B537" s="11" t="str">
        <f>IFERROR(__xludf.DUMMYFUNCTION("""COMPUTED_VALUE"""),"big bug gosme")</f>
        <v>big bug gosme</v>
      </c>
      <c r="C537" s="11" t="str">
        <f>IFERROR(__xludf.DUMMYFUNCTION("""COMPUTED_VALUE"""),"greenish cocoon thorn")</f>
        <v>greenish cocoon thorn</v>
      </c>
      <c r="D537" s="11" t="str">
        <f>IFERROR(__xludf.DUMMYFUNCTION("""COMPUTED_VALUE"""),"cocoon stone")</f>
        <v>cocoon stone</v>
      </c>
      <c r="E537" s="11" t="str">
        <f>IFERROR(__xludf.DUMMYFUNCTION("""COMPUTED_VALUE"""),"mythic bug orb")</f>
        <v>mythic bug orb</v>
      </c>
      <c r="F537" s="11"/>
      <c r="G537" s="11"/>
      <c r="H537" s="11"/>
      <c r="I537" s="11"/>
      <c r="J537" s="11"/>
      <c r="K537" s="11"/>
      <c r="L537" s="11"/>
    </row>
    <row r="538">
      <c r="A538" s="13" t="str">
        <f>IFERROR(__xludf.DUMMYFUNCTION("""COMPUTED_VALUE"""),"Dustox")</f>
        <v>Dustox</v>
      </c>
      <c r="B538" s="11" t="str">
        <f>IFERROR(__xludf.DUMMYFUNCTION("""COMPUTED_VALUE"""),"big bug gosme")</f>
        <v>big bug gosme</v>
      </c>
      <c r="C538" s="11" t="str">
        <f>IFERROR(__xludf.DUMMYFUNCTION("""COMPUTED_VALUE"""),"compressed straw")</f>
        <v>compressed straw</v>
      </c>
      <c r="D538" s="11" t="str">
        <f>IFERROR(__xludf.DUMMYFUNCTION("""COMPUTED_VALUE"""),"poison moth wings")</f>
        <v>poison moth wings</v>
      </c>
      <c r="E538" s="11" t="str">
        <f>IFERROR(__xludf.DUMMYFUNCTION("""COMPUTED_VALUE"""),"bug essence")</f>
        <v>bug essence</v>
      </c>
      <c r="F538" s="11" t="str">
        <f>IFERROR(__xludf.DUMMYFUNCTION("""COMPUTED_VALUE"""),"poison essence")</f>
        <v>poison essence</v>
      </c>
      <c r="G538" s="11" t="str">
        <f>IFERROR(__xludf.DUMMYFUNCTION("""COMPUTED_VALUE"""),"cocoon stone")</f>
        <v>cocoon stone</v>
      </c>
      <c r="H538" s="11" t="str">
        <f>IFERROR(__xludf.DUMMYFUNCTION("""COMPUTED_VALUE"""),"venom stone")</f>
        <v>venom stone</v>
      </c>
      <c r="I538" s="11"/>
      <c r="J538" s="11"/>
      <c r="K538" s="11"/>
      <c r="L538" s="11"/>
    </row>
    <row r="539">
      <c r="A539" s="13" t="str">
        <f>IFERROR(__xludf.DUMMYFUNCTION("""COMPUTED_VALUE"""),"Shiny Dustox")</f>
        <v>Shiny Dustox</v>
      </c>
      <c r="B539" s="11" t="str">
        <f>IFERROR(__xludf.DUMMYFUNCTION("""COMPUTED_VALUE"""),"big bug gosme")</f>
        <v>big bug gosme</v>
      </c>
      <c r="C539" s="11" t="str">
        <f>IFERROR(__xludf.DUMMYFUNCTION("""COMPUTED_VALUE"""),"compressed straw")</f>
        <v>compressed straw</v>
      </c>
      <c r="D539" s="11" t="str">
        <f>IFERROR(__xludf.DUMMYFUNCTION("""COMPUTED_VALUE"""),"yellowish poison moth wings")</f>
        <v>yellowish poison moth wings</v>
      </c>
      <c r="E539" s="11" t="str">
        <f>IFERROR(__xludf.DUMMYFUNCTION("""COMPUTED_VALUE"""),"cocoon stone")</f>
        <v>cocoon stone</v>
      </c>
      <c r="F539" s="11" t="str">
        <f>IFERROR(__xludf.DUMMYFUNCTION("""COMPUTED_VALUE"""),"venom stone")</f>
        <v>venom stone</v>
      </c>
      <c r="G539" s="11" t="str">
        <f>IFERROR(__xludf.DUMMYFUNCTION("""COMPUTED_VALUE"""),"celestial bug orb")</f>
        <v>celestial bug orb</v>
      </c>
      <c r="H539" s="11"/>
      <c r="I539" s="11"/>
      <c r="J539" s="11"/>
      <c r="K539" s="11"/>
      <c r="L539" s="11"/>
    </row>
    <row r="540">
      <c r="A540" s="13" t="str">
        <f>IFERROR(__xludf.DUMMYFUNCTION("""COMPUTED_VALUE"""),"Lotad")</f>
        <v>Lotad</v>
      </c>
      <c r="B540" s="11" t="str">
        <f>IFERROR(__xludf.DUMMYFUNCTION("""COMPUTED_VALUE"""),"solid water gem")</f>
        <v>solid water gem</v>
      </c>
      <c r="C540" s="11" t="str">
        <f>IFERROR(__xludf.DUMMYFUNCTION("""COMPUTED_VALUE"""),"pile of seeds")</f>
        <v>pile of seeds</v>
      </c>
      <c r="D540" s="11" t="str">
        <f>IFERROR(__xludf.DUMMYFUNCTION("""COMPUTED_VALUE"""),"lotad beak")</f>
        <v>lotad beak</v>
      </c>
      <c r="E540" s="11" t="str">
        <f>IFERROR(__xludf.DUMMYFUNCTION("""COMPUTED_VALUE"""),"water essence")</f>
        <v>water essence</v>
      </c>
      <c r="F540" s="11" t="str">
        <f>IFERROR(__xludf.DUMMYFUNCTION("""COMPUTED_VALUE"""),"grass essence")</f>
        <v>grass essence</v>
      </c>
      <c r="G540" s="11" t="str">
        <f>IFERROR(__xludf.DUMMYFUNCTION("""COMPUTED_VALUE"""),"water stone")</f>
        <v>water stone</v>
      </c>
      <c r="H540" s="11" t="str">
        <f>IFERROR(__xludf.DUMMYFUNCTION("""COMPUTED_VALUE"""),"leaf stone")</f>
        <v>leaf stone</v>
      </c>
      <c r="I540" s="11"/>
      <c r="J540" s="11"/>
      <c r="K540" s="11"/>
      <c r="L540" s="11"/>
    </row>
    <row r="541">
      <c r="A541" s="13" t="str">
        <f>IFERROR(__xludf.DUMMYFUNCTION("""COMPUTED_VALUE"""),"Shiny Lotad")</f>
        <v>Shiny Lotad</v>
      </c>
      <c r="B541" s="11" t="str">
        <f>IFERROR(__xludf.DUMMYFUNCTION("""COMPUTED_VALUE"""),"solid water gem")</f>
        <v>solid water gem</v>
      </c>
      <c r="C541" s="11" t="str">
        <f>IFERROR(__xludf.DUMMYFUNCTION("""COMPUTED_VALUE"""),"pile of seeds")</f>
        <v>pile of seeds</v>
      </c>
      <c r="D541" s="11" t="str">
        <f>IFERROR(__xludf.DUMMYFUNCTION("""COMPUTED_VALUE"""),"cyan lotad beak")</f>
        <v>cyan lotad beak</v>
      </c>
      <c r="E541" s="11" t="str">
        <f>IFERROR(__xludf.DUMMYFUNCTION("""COMPUTED_VALUE"""),"water stone")</f>
        <v>water stone</v>
      </c>
      <c r="F541" s="11" t="str">
        <f>IFERROR(__xludf.DUMMYFUNCTION("""COMPUTED_VALUE"""),"leaf stone")</f>
        <v>leaf stone</v>
      </c>
      <c r="G541" s="11" t="str">
        <f>IFERROR(__xludf.DUMMYFUNCTION("""COMPUTED_VALUE"""),"mythic water orb")</f>
        <v>mythic water orb</v>
      </c>
      <c r="H541" s="11"/>
      <c r="I541" s="11"/>
      <c r="J541" s="11"/>
      <c r="K541" s="11"/>
      <c r="L541" s="11"/>
    </row>
    <row r="542">
      <c r="A542" s="13" t="str">
        <f>IFERROR(__xludf.DUMMYFUNCTION("""COMPUTED_VALUE"""),"Lombre")</f>
        <v>Lombre</v>
      </c>
      <c r="B542" s="11" t="str">
        <f>IFERROR(__xludf.DUMMYFUNCTION("""COMPUTED_VALUE"""),"solid water gem")</f>
        <v>solid water gem</v>
      </c>
      <c r="C542" s="11" t="str">
        <f>IFERROR(__xludf.DUMMYFUNCTION("""COMPUTED_VALUE"""),"pile of seeds")</f>
        <v>pile of seeds</v>
      </c>
      <c r="D542" s="11" t="str">
        <f>IFERROR(__xludf.DUMMYFUNCTION("""COMPUTED_VALUE"""),"circular leaf")</f>
        <v>circular leaf</v>
      </c>
      <c r="E542" s="11" t="str">
        <f>IFERROR(__xludf.DUMMYFUNCTION("""COMPUTED_VALUE"""),"water essence")</f>
        <v>water essence</v>
      </c>
      <c r="F542" s="11" t="str">
        <f>IFERROR(__xludf.DUMMYFUNCTION("""COMPUTED_VALUE"""),"grass essence")</f>
        <v>grass essence</v>
      </c>
      <c r="G542" s="11" t="str">
        <f>IFERROR(__xludf.DUMMYFUNCTION("""COMPUTED_VALUE"""),"water stone")</f>
        <v>water stone</v>
      </c>
      <c r="H542" s="11" t="str">
        <f>IFERROR(__xludf.DUMMYFUNCTION("""COMPUTED_VALUE"""),"leaf stone")</f>
        <v>leaf stone</v>
      </c>
      <c r="I542" s="11"/>
      <c r="J542" s="11"/>
      <c r="K542" s="11"/>
      <c r="L542" s="11"/>
    </row>
    <row r="543">
      <c r="A543" s="13" t="str">
        <f>IFERROR(__xludf.DUMMYFUNCTION("""COMPUTED_VALUE"""),"Shiny Lombre")</f>
        <v>Shiny Lombre</v>
      </c>
      <c r="B543" s="11" t="str">
        <f>IFERROR(__xludf.DUMMYFUNCTION("""COMPUTED_VALUE"""),"solid water gem")</f>
        <v>solid water gem</v>
      </c>
      <c r="C543" s="11" t="str">
        <f>IFERROR(__xludf.DUMMYFUNCTION("""COMPUTED_VALUE"""),"pile of seeds")</f>
        <v>pile of seeds</v>
      </c>
      <c r="D543" s="11" t="str">
        <f>IFERROR(__xludf.DUMMYFUNCTION("""COMPUTED_VALUE"""),"cyan circular leaf")</f>
        <v>cyan circular leaf</v>
      </c>
      <c r="E543" s="11" t="str">
        <f>IFERROR(__xludf.DUMMYFUNCTION("""COMPUTED_VALUE"""),"water stone")</f>
        <v>water stone</v>
      </c>
      <c r="F543" s="11" t="str">
        <f>IFERROR(__xludf.DUMMYFUNCTION("""COMPUTED_VALUE"""),"leaf stone")</f>
        <v>leaf stone</v>
      </c>
      <c r="G543" s="11" t="str">
        <f>IFERROR(__xludf.DUMMYFUNCTION("""COMPUTED_VALUE"""),"mythic water orb")</f>
        <v>mythic water orb</v>
      </c>
      <c r="H543" s="11"/>
      <c r="I543" s="11"/>
      <c r="J543" s="11"/>
      <c r="K543" s="11"/>
      <c r="L543" s="11"/>
    </row>
    <row r="544">
      <c r="A544" s="13" t="str">
        <f>IFERROR(__xludf.DUMMYFUNCTION("""COMPUTED_VALUE"""),"Ludicolo")</f>
        <v>Ludicolo</v>
      </c>
      <c r="B544" s="11" t="str">
        <f>IFERROR(__xludf.DUMMYFUNCTION("""COMPUTED_VALUE"""),"solid water gem")</f>
        <v>solid water gem</v>
      </c>
      <c r="C544" s="11" t="str">
        <f>IFERROR(__xludf.DUMMYFUNCTION("""COMPUTED_VALUE"""),"pile of seeds")</f>
        <v>pile of seeds</v>
      </c>
      <c r="D544" s="11" t="str">
        <f>IFERROR(__xludf.DUMMYFUNCTION("""COMPUTED_VALUE"""),"sombrero plant")</f>
        <v>sombrero plant</v>
      </c>
      <c r="E544" s="11" t="str">
        <f>IFERROR(__xludf.DUMMYFUNCTION("""COMPUTED_VALUE"""),"water essence")</f>
        <v>water essence</v>
      </c>
      <c r="F544" s="11" t="str">
        <f>IFERROR(__xludf.DUMMYFUNCTION("""COMPUTED_VALUE"""),"grass essence")</f>
        <v>grass essence</v>
      </c>
      <c r="G544" s="11" t="str">
        <f>IFERROR(__xludf.DUMMYFUNCTION("""COMPUTED_VALUE"""),"water stone")</f>
        <v>water stone</v>
      </c>
      <c r="H544" s="11" t="str">
        <f>IFERROR(__xludf.DUMMYFUNCTION("""COMPUTED_VALUE"""),"leaf stone")</f>
        <v>leaf stone</v>
      </c>
      <c r="I544" s="11"/>
      <c r="J544" s="11"/>
      <c r="K544" s="11"/>
      <c r="L544" s="11"/>
    </row>
    <row r="545">
      <c r="A545" s="13" t="str">
        <f>IFERROR(__xludf.DUMMYFUNCTION("""COMPUTED_VALUE"""),"Shiny Ludicolo")</f>
        <v>Shiny Ludicolo</v>
      </c>
      <c r="B545" s="11" t="str">
        <f>IFERROR(__xludf.DUMMYFUNCTION("""COMPUTED_VALUE"""),"solid water gem")</f>
        <v>solid water gem</v>
      </c>
      <c r="C545" s="11" t="str">
        <f>IFERROR(__xludf.DUMMYFUNCTION("""COMPUTED_VALUE"""),"pile of seeds")</f>
        <v>pile of seeds</v>
      </c>
      <c r="D545" s="11" t="str">
        <f>IFERROR(__xludf.DUMMYFUNCTION("""COMPUTED_VALUE"""),"cyan sombrero plant")</f>
        <v>cyan sombrero plant</v>
      </c>
      <c r="E545" s="11" t="str">
        <f>IFERROR(__xludf.DUMMYFUNCTION("""COMPUTED_VALUE"""),"water stone")</f>
        <v>water stone</v>
      </c>
      <c r="F545" s="11" t="str">
        <f>IFERROR(__xludf.DUMMYFUNCTION("""COMPUTED_VALUE"""),"leaf stone")</f>
        <v>leaf stone</v>
      </c>
      <c r="G545" s="11" t="str">
        <f>IFERROR(__xludf.DUMMYFUNCTION("""COMPUTED_VALUE"""),"celestial water orb")</f>
        <v>celestial water orb</v>
      </c>
      <c r="H545" s="11"/>
      <c r="I545" s="11"/>
      <c r="J545" s="11"/>
      <c r="K545" s="11"/>
      <c r="L545" s="11"/>
    </row>
    <row r="546">
      <c r="A546" s="13" t="str">
        <f>IFERROR(__xludf.DUMMYFUNCTION("""COMPUTED_VALUE"""),"Seedot")</f>
        <v>Seedot</v>
      </c>
      <c r="B546" s="11" t="str">
        <f>IFERROR(__xludf.DUMMYFUNCTION("""COMPUTED_VALUE"""),"pile of seeds")</f>
        <v>pile of seeds</v>
      </c>
      <c r="C546" s="11" t="str">
        <f>IFERROR(__xludf.DUMMYFUNCTION("""COMPUTED_VALUE"""),"nut shell")</f>
        <v>nut shell</v>
      </c>
      <c r="D546" s="11" t="str">
        <f>IFERROR(__xludf.DUMMYFUNCTION("""COMPUTED_VALUE"""),"grass essence")</f>
        <v>grass essence</v>
      </c>
      <c r="E546" s="11" t="str">
        <f>IFERROR(__xludf.DUMMYFUNCTION("""COMPUTED_VALUE"""),"leaf stone")</f>
        <v>leaf stone</v>
      </c>
      <c r="F546" s="11"/>
      <c r="G546" s="11"/>
      <c r="H546" s="11"/>
      <c r="I546" s="11"/>
      <c r="J546" s="11"/>
      <c r="K546" s="11"/>
      <c r="L546" s="11"/>
    </row>
    <row r="547">
      <c r="A547" s="13" t="str">
        <f>IFERROR(__xludf.DUMMYFUNCTION("""COMPUTED_VALUE"""),"Shiny Seedot")</f>
        <v>Shiny Seedot</v>
      </c>
      <c r="B547" s="11" t="str">
        <f>IFERROR(__xludf.DUMMYFUNCTION("""COMPUTED_VALUE"""),"pile of seeds")</f>
        <v>pile of seeds</v>
      </c>
      <c r="C547" s="11" t="str">
        <f>IFERROR(__xludf.DUMMYFUNCTION("""COMPUTED_VALUE"""),"dark nut shell")</f>
        <v>dark nut shell</v>
      </c>
      <c r="D547" s="11" t="str">
        <f>IFERROR(__xludf.DUMMYFUNCTION("""COMPUTED_VALUE"""),"leaf stone")</f>
        <v>leaf stone</v>
      </c>
      <c r="E547" s="11" t="str">
        <f>IFERROR(__xludf.DUMMYFUNCTION("""COMPUTED_VALUE"""),"mythic grass orb")</f>
        <v>mythic grass orb</v>
      </c>
      <c r="F547" s="11"/>
      <c r="G547" s="11"/>
      <c r="H547" s="11"/>
      <c r="I547" s="11"/>
      <c r="J547" s="11"/>
      <c r="K547" s="11"/>
      <c r="L547" s="11"/>
    </row>
    <row r="548">
      <c r="A548" s="13" t="str">
        <f>IFERROR(__xludf.DUMMYFUNCTION("""COMPUTED_VALUE"""),"Nuzleaf")</f>
        <v>Nuzleaf</v>
      </c>
      <c r="B548" s="11" t="str">
        <f>IFERROR(__xludf.DUMMYFUNCTION("""COMPUTED_VALUE"""),"pile of seeds")</f>
        <v>pile of seeds</v>
      </c>
      <c r="C548" s="11" t="str">
        <f>IFERROR(__xludf.DUMMYFUNCTION("""COMPUTED_VALUE"""),"solid dark gem")</f>
        <v>solid dark gem</v>
      </c>
      <c r="D548" s="11" t="str">
        <f>IFERROR(__xludf.DUMMYFUNCTION("""COMPUTED_VALUE"""),"big seed")</f>
        <v>big seed</v>
      </c>
      <c r="E548" s="11" t="str">
        <f>IFERROR(__xludf.DUMMYFUNCTION("""COMPUTED_VALUE"""),"dark essence")</f>
        <v>dark essence</v>
      </c>
      <c r="F548" s="11" t="str">
        <f>IFERROR(__xludf.DUMMYFUNCTION("""COMPUTED_VALUE"""),"grass essence")</f>
        <v>grass essence</v>
      </c>
      <c r="G548" s="11" t="str">
        <f>IFERROR(__xludf.DUMMYFUNCTION("""COMPUTED_VALUE"""),"leaf stone")</f>
        <v>leaf stone</v>
      </c>
      <c r="H548" s="11" t="str">
        <f>IFERROR(__xludf.DUMMYFUNCTION("""COMPUTED_VALUE"""),"darkness stone")</f>
        <v>darkness stone</v>
      </c>
      <c r="I548" s="11"/>
      <c r="J548" s="11"/>
      <c r="K548" s="11"/>
      <c r="L548" s="11"/>
    </row>
    <row r="549">
      <c r="A549" s="13" t="str">
        <f>IFERROR(__xludf.DUMMYFUNCTION("""COMPUTED_VALUE"""),"Shiny Nuzleaf")</f>
        <v>Shiny Nuzleaf</v>
      </c>
      <c r="B549" s="11" t="str">
        <f>IFERROR(__xludf.DUMMYFUNCTION("""COMPUTED_VALUE"""),"pile of seeds")</f>
        <v>pile of seeds</v>
      </c>
      <c r="C549" s="11" t="str">
        <f>IFERROR(__xludf.DUMMYFUNCTION("""COMPUTED_VALUE"""),"solid dark gem")</f>
        <v>solid dark gem</v>
      </c>
      <c r="D549" s="11" t="str">
        <f>IFERROR(__xludf.DUMMYFUNCTION("""COMPUTED_VALUE"""),"dark big seed")</f>
        <v>dark big seed</v>
      </c>
      <c r="E549" s="11" t="str">
        <f>IFERROR(__xludf.DUMMYFUNCTION("""COMPUTED_VALUE"""),"leaf stone")</f>
        <v>leaf stone</v>
      </c>
      <c r="F549" s="11" t="str">
        <f>IFERROR(__xludf.DUMMYFUNCTION("""COMPUTED_VALUE"""),"darkness stone")</f>
        <v>darkness stone</v>
      </c>
      <c r="G549" s="11" t="str">
        <f>IFERROR(__xludf.DUMMYFUNCTION("""COMPUTED_VALUE"""),"mythic grass orb")</f>
        <v>mythic grass orb</v>
      </c>
      <c r="H549" s="11"/>
      <c r="I549" s="11"/>
      <c r="J549" s="11"/>
      <c r="K549" s="11"/>
      <c r="L549" s="11"/>
    </row>
    <row r="550">
      <c r="A550" s="13" t="str">
        <f>IFERROR(__xludf.DUMMYFUNCTION("""COMPUTED_VALUE"""),"Shiftry")</f>
        <v>Shiftry</v>
      </c>
      <c r="B550" s="11" t="str">
        <f>IFERROR(__xludf.DUMMYFUNCTION("""COMPUTED_VALUE"""),"pile of seeds")</f>
        <v>pile of seeds</v>
      </c>
      <c r="C550" s="11" t="str">
        <f>IFERROR(__xludf.DUMMYFUNCTION("""COMPUTED_VALUE"""),"solid dark gem")</f>
        <v>solid dark gem</v>
      </c>
      <c r="D550" s="11" t="str">
        <f>IFERROR(__xludf.DUMMYFUNCTION("""COMPUTED_VALUE"""),"sharp leaves")</f>
        <v>sharp leaves</v>
      </c>
      <c r="E550" s="11" t="str">
        <f>IFERROR(__xludf.DUMMYFUNCTION("""COMPUTED_VALUE"""),"dark essence")</f>
        <v>dark essence</v>
      </c>
      <c r="F550" s="11" t="str">
        <f>IFERROR(__xludf.DUMMYFUNCTION("""COMPUTED_VALUE"""),"grass essence")</f>
        <v>grass essence</v>
      </c>
      <c r="G550" s="11" t="str">
        <f>IFERROR(__xludf.DUMMYFUNCTION("""COMPUTED_VALUE"""),"leaf stone")</f>
        <v>leaf stone</v>
      </c>
      <c r="H550" s="11" t="str">
        <f>IFERROR(__xludf.DUMMYFUNCTION("""COMPUTED_VALUE"""),"darkness stone")</f>
        <v>darkness stone</v>
      </c>
      <c r="I550" s="11"/>
      <c r="J550" s="11"/>
      <c r="K550" s="11"/>
      <c r="L550" s="11"/>
    </row>
    <row r="551">
      <c r="A551" s="13" t="str">
        <f>IFERROR(__xludf.DUMMYFUNCTION("""COMPUTED_VALUE"""),"Shiny Shiftry")</f>
        <v>Shiny Shiftry</v>
      </c>
      <c r="B551" s="11" t="str">
        <f>IFERROR(__xludf.DUMMYFUNCTION("""COMPUTED_VALUE"""),"pile of seeds")</f>
        <v>pile of seeds</v>
      </c>
      <c r="C551" s="11" t="str">
        <f>IFERROR(__xludf.DUMMYFUNCTION("""COMPUTED_VALUE"""),"solid dark gem")</f>
        <v>solid dark gem</v>
      </c>
      <c r="D551" s="11" t="str">
        <f>IFERROR(__xludf.DUMMYFUNCTION("""COMPUTED_VALUE"""),"dark sharp leaves")</f>
        <v>dark sharp leaves</v>
      </c>
      <c r="E551" s="11" t="str">
        <f>IFERROR(__xludf.DUMMYFUNCTION("""COMPUTED_VALUE"""),"leaf stone")</f>
        <v>leaf stone</v>
      </c>
      <c r="F551" s="11" t="str">
        <f>IFERROR(__xludf.DUMMYFUNCTION("""COMPUTED_VALUE"""),"darkness stone")</f>
        <v>darkness stone</v>
      </c>
      <c r="G551" s="11" t="str">
        <f>IFERROR(__xludf.DUMMYFUNCTION("""COMPUTED_VALUE"""),"celestial grass orb")</f>
        <v>celestial grass orb</v>
      </c>
      <c r="H551" s="11"/>
      <c r="I551" s="11"/>
      <c r="J551" s="11"/>
      <c r="K551" s="11"/>
      <c r="L551" s="11"/>
    </row>
    <row r="552">
      <c r="A552" s="13" t="str">
        <f>IFERROR(__xludf.DUMMYFUNCTION("""COMPUTED_VALUE"""),"Taillow")</f>
        <v>Taillow</v>
      </c>
      <c r="B552" s="11" t="str">
        <f>IFERROR(__xludf.DUMMYFUNCTION("""COMPUTED_VALUE"""),"solid rubber ball")</f>
        <v>solid rubber ball</v>
      </c>
      <c r="C552" s="11" t="str">
        <f>IFERROR(__xludf.DUMMYFUNCTION("""COMPUTED_VALUE"""),"compressed straw")</f>
        <v>compressed straw</v>
      </c>
      <c r="D552" s="11" t="str">
        <f>IFERROR(__xludf.DUMMYFUNCTION("""COMPUTED_VALUE"""),"feather tail")</f>
        <v>feather tail</v>
      </c>
      <c r="E552" s="11" t="str">
        <f>IFERROR(__xludf.DUMMYFUNCTION("""COMPUTED_VALUE"""),"normal essence")</f>
        <v>normal essence</v>
      </c>
      <c r="F552" s="11" t="str">
        <f>IFERROR(__xludf.DUMMYFUNCTION("""COMPUTED_VALUE"""),"flying essence")</f>
        <v>flying essence</v>
      </c>
      <c r="G552" s="11" t="str">
        <f>IFERROR(__xludf.DUMMYFUNCTION("""COMPUTED_VALUE"""),"heart stone")</f>
        <v>heart stone</v>
      </c>
      <c r="H552" s="11" t="str">
        <f>IFERROR(__xludf.DUMMYFUNCTION("""COMPUTED_VALUE"""),"feather stone")</f>
        <v>feather stone</v>
      </c>
      <c r="I552" s="11"/>
      <c r="J552" s="11"/>
      <c r="K552" s="11"/>
      <c r="L552" s="11"/>
    </row>
    <row r="553">
      <c r="A553" s="13" t="str">
        <f>IFERROR(__xludf.DUMMYFUNCTION("""COMPUTED_VALUE"""),"Shiny Taillow")</f>
        <v>Shiny Taillow</v>
      </c>
      <c r="B553" s="11" t="str">
        <f>IFERROR(__xludf.DUMMYFUNCTION("""COMPUTED_VALUE"""),"solid rubber ball")</f>
        <v>solid rubber ball</v>
      </c>
      <c r="C553" s="11" t="str">
        <f>IFERROR(__xludf.DUMMYFUNCTION("""COMPUTED_VALUE"""),"compressed straw")</f>
        <v>compressed straw</v>
      </c>
      <c r="D553" s="11" t="str">
        <f>IFERROR(__xludf.DUMMYFUNCTION("""COMPUTED_VALUE"""),"greenish feather tail")</f>
        <v>greenish feather tail</v>
      </c>
      <c r="E553" s="11" t="str">
        <f>IFERROR(__xludf.DUMMYFUNCTION("""COMPUTED_VALUE"""),"heart stone")</f>
        <v>heart stone</v>
      </c>
      <c r="F553" s="11" t="str">
        <f>IFERROR(__xludf.DUMMYFUNCTION("""COMPUTED_VALUE"""),"feather stone")</f>
        <v>feather stone</v>
      </c>
      <c r="G553" s="11" t="str">
        <f>IFERROR(__xludf.DUMMYFUNCTION("""COMPUTED_VALUE"""),"mythic flying orb")</f>
        <v>mythic flying orb</v>
      </c>
      <c r="H553" s="11"/>
      <c r="I553" s="11"/>
      <c r="J553" s="11"/>
      <c r="K553" s="11"/>
      <c r="L553" s="11"/>
    </row>
    <row r="554">
      <c r="A554" s="13" t="str">
        <f>IFERROR(__xludf.DUMMYFUNCTION("""COMPUTED_VALUE"""),"Swellow")</f>
        <v>Swellow</v>
      </c>
      <c r="B554" s="11" t="str">
        <f>IFERROR(__xludf.DUMMYFUNCTION("""COMPUTED_VALUE"""),"solid rubber ball")</f>
        <v>solid rubber ball</v>
      </c>
      <c r="C554" s="11" t="str">
        <f>IFERROR(__xludf.DUMMYFUNCTION("""COMPUTED_VALUE"""),"compressed straw")</f>
        <v>compressed straw</v>
      </c>
      <c r="D554" s="11" t="str">
        <f>IFERROR(__xludf.DUMMYFUNCTION("""COMPUTED_VALUE"""),"crimson feather")</f>
        <v>crimson feather</v>
      </c>
      <c r="E554" s="11" t="str">
        <f>IFERROR(__xludf.DUMMYFUNCTION("""COMPUTED_VALUE"""),"normal essence")</f>
        <v>normal essence</v>
      </c>
      <c r="F554" s="11" t="str">
        <f>IFERROR(__xludf.DUMMYFUNCTION("""COMPUTED_VALUE"""),"flying essence")</f>
        <v>flying essence</v>
      </c>
      <c r="G554" s="11" t="str">
        <f>IFERROR(__xludf.DUMMYFUNCTION("""COMPUTED_VALUE"""),"heart stone")</f>
        <v>heart stone</v>
      </c>
      <c r="H554" s="11" t="str">
        <f>IFERROR(__xludf.DUMMYFUNCTION("""COMPUTED_VALUE"""),"feather stone")</f>
        <v>feather stone</v>
      </c>
      <c r="I554" s="11"/>
      <c r="J554" s="11"/>
      <c r="K554" s="11"/>
      <c r="L554" s="11"/>
    </row>
    <row r="555">
      <c r="A555" s="13" t="str">
        <f>IFERROR(__xludf.DUMMYFUNCTION("""COMPUTED_VALUE"""),"Shiny Swellow")</f>
        <v>Shiny Swellow</v>
      </c>
      <c r="B555" s="11" t="str">
        <f>IFERROR(__xludf.DUMMYFUNCTION("""COMPUTED_VALUE"""),"solid rubber ball")</f>
        <v>solid rubber ball</v>
      </c>
      <c r="C555" s="11" t="str">
        <f>IFERROR(__xludf.DUMMYFUNCTION("""COMPUTED_VALUE"""),"compressed straw")</f>
        <v>compressed straw</v>
      </c>
      <c r="D555" s="11" t="str">
        <f>IFERROR(__xludf.DUMMYFUNCTION("""COMPUTED_VALUE"""),"greenish crimson tail")</f>
        <v>greenish crimson tail</v>
      </c>
      <c r="E555" s="11" t="str">
        <f>IFERROR(__xludf.DUMMYFUNCTION("""COMPUTED_VALUE"""),"heart stone")</f>
        <v>heart stone</v>
      </c>
      <c r="F555" s="11" t="str">
        <f>IFERROR(__xludf.DUMMYFUNCTION("""COMPUTED_VALUE"""),"feather stone")</f>
        <v>feather stone</v>
      </c>
      <c r="G555" s="11" t="str">
        <f>IFERROR(__xludf.DUMMYFUNCTION("""COMPUTED_VALUE"""),"celestial flying orb")</f>
        <v>celestial flying orb</v>
      </c>
      <c r="H555" s="11"/>
      <c r="I555" s="11"/>
      <c r="J555" s="11"/>
      <c r="K555" s="11"/>
      <c r="L555" s="11"/>
    </row>
    <row r="556">
      <c r="A556" s="13" t="str">
        <f>IFERROR(__xludf.DUMMYFUNCTION("""COMPUTED_VALUE"""),"Wingull")</f>
        <v>Wingull</v>
      </c>
      <c r="B556" s="11" t="str">
        <f>IFERROR(__xludf.DUMMYFUNCTION("""COMPUTED_VALUE"""),"solid water gem")</f>
        <v>solid water gem</v>
      </c>
      <c r="C556" s="11" t="str">
        <f>IFERROR(__xludf.DUMMYFUNCTION("""COMPUTED_VALUE"""),"compressed straw")</f>
        <v>compressed straw</v>
      </c>
      <c r="D556" s="11" t="str">
        <f>IFERROR(__xludf.DUMMYFUNCTION("""COMPUTED_VALUE"""),"bicollor beak")</f>
        <v>bicollor beak</v>
      </c>
      <c r="E556" s="11" t="str">
        <f>IFERROR(__xludf.DUMMYFUNCTION("""COMPUTED_VALUE"""),"water essence")</f>
        <v>water essence</v>
      </c>
      <c r="F556" s="11" t="str">
        <f>IFERROR(__xludf.DUMMYFUNCTION("""COMPUTED_VALUE"""),"flying essence")</f>
        <v>flying essence</v>
      </c>
      <c r="G556" s="11" t="str">
        <f>IFERROR(__xludf.DUMMYFUNCTION("""COMPUTED_VALUE"""),"water stone")</f>
        <v>water stone</v>
      </c>
      <c r="H556" s="11" t="str">
        <f>IFERROR(__xludf.DUMMYFUNCTION("""COMPUTED_VALUE"""),"feather stone")</f>
        <v>feather stone</v>
      </c>
      <c r="I556" s="11"/>
      <c r="J556" s="11"/>
      <c r="K556" s="11"/>
      <c r="L556" s="11"/>
    </row>
    <row r="557">
      <c r="A557" s="13" t="str">
        <f>IFERROR(__xludf.DUMMYFUNCTION("""COMPUTED_VALUE"""),"Shiny Wingull")</f>
        <v>Shiny Wingull</v>
      </c>
      <c r="B557" s="11" t="str">
        <f>IFERROR(__xludf.DUMMYFUNCTION("""COMPUTED_VALUE"""),"solid water gem")</f>
        <v>solid water gem</v>
      </c>
      <c r="C557" s="11" t="str">
        <f>IFERROR(__xludf.DUMMYFUNCTION("""COMPUTED_VALUE"""),"compressed straw")</f>
        <v>compressed straw</v>
      </c>
      <c r="D557" s="11" t="str">
        <f>IFERROR(__xludf.DUMMYFUNCTION("""COMPUTED_VALUE"""),"greenish wingull tail")</f>
        <v>greenish wingull tail</v>
      </c>
      <c r="E557" s="11" t="str">
        <f>IFERROR(__xludf.DUMMYFUNCTION("""COMPUTED_VALUE"""),"water stone")</f>
        <v>water stone</v>
      </c>
      <c r="F557" s="11" t="str">
        <f>IFERROR(__xludf.DUMMYFUNCTION("""COMPUTED_VALUE"""),"feather stone")</f>
        <v>feather stone</v>
      </c>
      <c r="G557" s="11" t="str">
        <f>IFERROR(__xludf.DUMMYFUNCTION("""COMPUTED_VALUE"""),"mythic water orb")</f>
        <v>mythic water orb</v>
      </c>
      <c r="H557" s="11"/>
      <c r="I557" s="11"/>
      <c r="J557" s="11"/>
      <c r="K557" s="11"/>
      <c r="L557" s="11"/>
    </row>
    <row r="558">
      <c r="A558" s="13" t="str">
        <f>IFERROR(__xludf.DUMMYFUNCTION("""COMPUTED_VALUE"""),"Pelipper")</f>
        <v>Pelipper</v>
      </c>
      <c r="B558" s="11" t="str">
        <f>IFERROR(__xludf.DUMMYFUNCTION("""COMPUTED_VALUE"""),"solid water gem")</f>
        <v>solid water gem</v>
      </c>
      <c r="C558" s="11" t="str">
        <f>IFERROR(__xludf.DUMMYFUNCTION("""COMPUTED_VALUE"""),"compressed straw")</f>
        <v>compressed straw</v>
      </c>
      <c r="D558" s="11" t="str">
        <f>IFERROR(__xludf.DUMMYFUNCTION("""COMPUTED_VALUE"""),"pelican wing")</f>
        <v>pelican wing</v>
      </c>
      <c r="E558" s="11" t="str">
        <f>IFERROR(__xludf.DUMMYFUNCTION("""COMPUTED_VALUE"""),"water essence")</f>
        <v>water essence</v>
      </c>
      <c r="F558" s="11" t="str">
        <f>IFERROR(__xludf.DUMMYFUNCTION("""COMPUTED_VALUE"""),"flying essence")</f>
        <v>flying essence</v>
      </c>
      <c r="G558" s="11" t="str">
        <f>IFERROR(__xludf.DUMMYFUNCTION("""COMPUTED_VALUE"""),"water stone")</f>
        <v>water stone</v>
      </c>
      <c r="H558" s="11" t="str">
        <f>IFERROR(__xludf.DUMMYFUNCTION("""COMPUTED_VALUE"""),"feather stone")</f>
        <v>feather stone</v>
      </c>
      <c r="I558" s="11"/>
      <c r="J558" s="11"/>
      <c r="K558" s="11"/>
      <c r="L558" s="11"/>
    </row>
    <row r="559">
      <c r="A559" s="13" t="str">
        <f>IFERROR(__xludf.DUMMYFUNCTION("""COMPUTED_VALUE"""),"Shiny Pelipper")</f>
        <v>Shiny Pelipper</v>
      </c>
      <c r="B559" s="11" t="str">
        <f>IFERROR(__xludf.DUMMYFUNCTION("""COMPUTED_VALUE"""),"solid water gem")</f>
        <v>solid water gem</v>
      </c>
      <c r="C559" s="11" t="str">
        <f>IFERROR(__xludf.DUMMYFUNCTION("""COMPUTED_VALUE"""),"compressed straw")</f>
        <v>compressed straw</v>
      </c>
      <c r="D559" s="11" t="str">
        <f>IFERROR(__xludf.DUMMYFUNCTION("""COMPUTED_VALUE"""),"greenish pelican wing")</f>
        <v>greenish pelican wing</v>
      </c>
      <c r="E559" s="11" t="str">
        <f>IFERROR(__xludf.DUMMYFUNCTION("""COMPUTED_VALUE"""),"water stone")</f>
        <v>water stone</v>
      </c>
      <c r="F559" s="11" t="str">
        <f>IFERROR(__xludf.DUMMYFUNCTION("""COMPUTED_VALUE"""),"feather stone")</f>
        <v>feather stone</v>
      </c>
      <c r="G559" s="11" t="str">
        <f>IFERROR(__xludf.DUMMYFUNCTION("""COMPUTED_VALUE"""),"celestial water orb")</f>
        <v>celestial water orb</v>
      </c>
      <c r="H559" s="11"/>
      <c r="I559" s="11"/>
      <c r="J559" s="11"/>
      <c r="K559" s="11"/>
      <c r="L559" s="11"/>
    </row>
    <row r="560">
      <c r="A560" s="13" t="str">
        <f>IFERROR(__xludf.DUMMYFUNCTION("""COMPUTED_VALUE"""),"Ralts")</f>
        <v>Ralts</v>
      </c>
      <c r="B560" s="11" t="str">
        <f>IFERROR(__xludf.DUMMYFUNCTION("""COMPUTED_VALUE"""),"big enchanted gem")</f>
        <v>big enchanted gem</v>
      </c>
      <c r="C560" s="11" t="str">
        <f>IFERROR(__xludf.DUMMYFUNCTION("""COMPUTED_VALUE"""),"channeled fairy essence")</f>
        <v>channeled fairy essence</v>
      </c>
      <c r="D560" s="11" t="str">
        <f>IFERROR(__xludf.DUMMYFUNCTION("""COMPUTED_VALUE"""),"bowl hair")</f>
        <v>bowl hair</v>
      </c>
      <c r="E560" s="11" t="str">
        <f>IFERROR(__xludf.DUMMYFUNCTION("""COMPUTED_VALUE"""),"fairy essence")</f>
        <v>fairy essence</v>
      </c>
      <c r="F560" s="11" t="str">
        <f>IFERROR(__xludf.DUMMYFUNCTION("""COMPUTED_VALUE"""),"psychic essence")</f>
        <v>psychic essence</v>
      </c>
      <c r="G560" s="11" t="str">
        <f>IFERROR(__xludf.DUMMYFUNCTION("""COMPUTED_VALUE"""),"enigma stone")</f>
        <v>enigma stone</v>
      </c>
      <c r="H560" s="11" t="str">
        <f>IFERROR(__xludf.DUMMYFUNCTION("""COMPUTED_VALUE"""),"fairy stone")</f>
        <v>fairy stone</v>
      </c>
      <c r="I560" s="11"/>
      <c r="J560" s="11"/>
      <c r="K560" s="11"/>
      <c r="L560" s="11"/>
    </row>
    <row r="561">
      <c r="A561" s="13" t="str">
        <f>IFERROR(__xludf.DUMMYFUNCTION("""COMPUTED_VALUE"""),"Shiny Ralts")</f>
        <v>Shiny Ralts</v>
      </c>
      <c r="B561" s="11" t="str">
        <f>IFERROR(__xludf.DUMMYFUNCTION("""COMPUTED_VALUE"""),"big enchanted gem")</f>
        <v>big enchanted gem</v>
      </c>
      <c r="C561" s="11" t="str">
        <f>IFERROR(__xludf.DUMMYFUNCTION("""COMPUTED_VALUE"""),"channeled fairy essence")</f>
        <v>channeled fairy essence</v>
      </c>
      <c r="D561" s="11" t="str">
        <f>IFERROR(__xludf.DUMMYFUNCTION("""COMPUTED_VALUE"""),"blue bowl hair")</f>
        <v>blue bowl hair</v>
      </c>
      <c r="E561" s="11" t="str">
        <f>IFERROR(__xludf.DUMMYFUNCTION("""COMPUTED_VALUE"""),"enigma stone")</f>
        <v>enigma stone</v>
      </c>
      <c r="F561" s="11" t="str">
        <f>IFERROR(__xludf.DUMMYFUNCTION("""COMPUTED_VALUE"""),"fairy stone")</f>
        <v>fairy stone</v>
      </c>
      <c r="G561" s="11" t="str">
        <f>IFERROR(__xludf.DUMMYFUNCTION("""COMPUTED_VALUE"""),"mythic psychic orb")</f>
        <v>mythic psychic orb</v>
      </c>
      <c r="H561" s="11"/>
      <c r="I561" s="11"/>
      <c r="J561" s="11"/>
      <c r="K561" s="11"/>
      <c r="L561" s="11"/>
    </row>
    <row r="562">
      <c r="A562" s="13" t="str">
        <f>IFERROR(__xludf.DUMMYFUNCTION("""COMPUTED_VALUE"""),"Kirlia")</f>
        <v>Kirlia</v>
      </c>
      <c r="B562" s="11" t="str">
        <f>IFERROR(__xludf.DUMMYFUNCTION("""COMPUTED_VALUE"""),"big enchanted gem")</f>
        <v>big enchanted gem</v>
      </c>
      <c r="C562" s="11" t="str">
        <f>IFERROR(__xludf.DUMMYFUNCTION("""COMPUTED_VALUE"""),"channeled fairy essence")</f>
        <v>channeled fairy essence</v>
      </c>
      <c r="D562" s="11" t="str">
        <f>IFERROR(__xludf.DUMMYFUNCTION("""COMPUTED_VALUE"""),"tutu")</f>
        <v>tutu</v>
      </c>
      <c r="E562" s="11" t="str">
        <f>IFERROR(__xludf.DUMMYFUNCTION("""COMPUTED_VALUE"""),"fairy essence")</f>
        <v>fairy essence</v>
      </c>
      <c r="F562" s="11" t="str">
        <f>IFERROR(__xludf.DUMMYFUNCTION("""COMPUTED_VALUE"""),"psychic essence")</f>
        <v>psychic essence</v>
      </c>
      <c r="G562" s="11" t="str">
        <f>IFERROR(__xludf.DUMMYFUNCTION("""COMPUTED_VALUE"""),"enigma stone")</f>
        <v>enigma stone</v>
      </c>
      <c r="H562" s="11" t="str">
        <f>IFERROR(__xludf.DUMMYFUNCTION("""COMPUTED_VALUE"""),"fairy stone")</f>
        <v>fairy stone</v>
      </c>
      <c r="I562" s="11"/>
      <c r="J562" s="11"/>
      <c r="K562" s="11"/>
      <c r="L562" s="11"/>
    </row>
    <row r="563">
      <c r="A563" s="13" t="str">
        <f>IFERROR(__xludf.DUMMYFUNCTION("""COMPUTED_VALUE"""),"Shiny Kirlia")</f>
        <v>Shiny Kirlia</v>
      </c>
      <c r="B563" s="11" t="str">
        <f>IFERROR(__xludf.DUMMYFUNCTION("""COMPUTED_VALUE"""),"big enchanted gem")</f>
        <v>big enchanted gem</v>
      </c>
      <c r="C563" s="11" t="str">
        <f>IFERROR(__xludf.DUMMYFUNCTION("""COMPUTED_VALUE"""),"channeled fairy essence")</f>
        <v>channeled fairy essence</v>
      </c>
      <c r="D563" s="11" t="str">
        <f>IFERROR(__xludf.DUMMYFUNCTION("""COMPUTED_VALUE"""),"blue tutu")</f>
        <v>blue tutu</v>
      </c>
      <c r="E563" s="11" t="str">
        <f>IFERROR(__xludf.DUMMYFUNCTION("""COMPUTED_VALUE"""),"enigma stone")</f>
        <v>enigma stone</v>
      </c>
      <c r="F563" s="11" t="str">
        <f>IFERROR(__xludf.DUMMYFUNCTION("""COMPUTED_VALUE"""),"fairy stone")</f>
        <v>fairy stone</v>
      </c>
      <c r="G563" s="11" t="str">
        <f>IFERROR(__xludf.DUMMYFUNCTION("""COMPUTED_VALUE"""),"mythic psychic orb")</f>
        <v>mythic psychic orb</v>
      </c>
      <c r="H563" s="11"/>
      <c r="I563" s="11"/>
      <c r="J563" s="11"/>
      <c r="K563" s="11"/>
      <c r="L563" s="11"/>
    </row>
    <row r="564">
      <c r="A564" s="13" t="str">
        <f>IFERROR(__xludf.DUMMYFUNCTION("""COMPUTED_VALUE"""),"Gardevoir")</f>
        <v>Gardevoir</v>
      </c>
      <c r="B564" s="11" t="str">
        <f>IFERROR(__xludf.DUMMYFUNCTION("""COMPUTED_VALUE"""),"big enchanted gem")</f>
        <v>big enchanted gem</v>
      </c>
      <c r="C564" s="11" t="str">
        <f>IFERROR(__xludf.DUMMYFUNCTION("""COMPUTED_VALUE"""),"channeled fairy essence")</f>
        <v>channeled fairy essence</v>
      </c>
      <c r="D564" s="11" t="str">
        <f>IFERROR(__xludf.DUMMYFUNCTION("""COMPUTED_VALUE"""),"cure flower")</f>
        <v>cure flower</v>
      </c>
      <c r="E564" s="11" t="str">
        <f>IFERROR(__xludf.DUMMYFUNCTION("""COMPUTED_VALUE"""),"fairy essence")</f>
        <v>fairy essence</v>
      </c>
      <c r="F564" s="11" t="str">
        <f>IFERROR(__xludf.DUMMYFUNCTION("""COMPUTED_VALUE"""),"psychic essence")</f>
        <v>psychic essence</v>
      </c>
      <c r="G564" s="11" t="str">
        <f>IFERROR(__xludf.DUMMYFUNCTION("""COMPUTED_VALUE"""),"enigma stone")</f>
        <v>enigma stone</v>
      </c>
      <c r="H564" s="11" t="str">
        <f>IFERROR(__xludf.DUMMYFUNCTION("""COMPUTED_VALUE"""),"fairy stone")</f>
        <v>fairy stone</v>
      </c>
      <c r="I564" s="11"/>
      <c r="J564" s="11"/>
      <c r="K564" s="11"/>
      <c r="L564" s="11"/>
    </row>
    <row r="565">
      <c r="A565" s="13" t="str">
        <f>IFERROR(__xludf.DUMMYFUNCTION("""COMPUTED_VALUE"""),"Shiny Gardevoir")</f>
        <v>Shiny Gardevoir</v>
      </c>
      <c r="B565" s="11" t="str">
        <f>IFERROR(__xludf.DUMMYFUNCTION("""COMPUTED_VALUE"""),"big enchanted gem")</f>
        <v>big enchanted gem</v>
      </c>
      <c r="C565" s="11" t="str">
        <f>IFERROR(__xludf.DUMMYFUNCTION("""COMPUTED_VALUE"""),"channeled fairy essence")</f>
        <v>channeled fairy essence</v>
      </c>
      <c r="D565" s="11" t="str">
        <f>IFERROR(__xludf.DUMMYFUNCTION("""COMPUTED_VALUE"""),"fairy flower")</f>
        <v>fairy flower</v>
      </c>
      <c r="E565" s="11" t="str">
        <f>IFERROR(__xludf.DUMMYFUNCTION("""COMPUTED_VALUE"""),"enigma stone")</f>
        <v>enigma stone</v>
      </c>
      <c r="F565" s="11" t="str">
        <f>IFERROR(__xludf.DUMMYFUNCTION("""COMPUTED_VALUE"""),"fairy stone")</f>
        <v>fairy stone</v>
      </c>
      <c r="G565" s="11" t="str">
        <f>IFERROR(__xludf.DUMMYFUNCTION("""COMPUTED_VALUE"""),"celestial psychic orb")</f>
        <v>celestial psychic orb</v>
      </c>
      <c r="H565" s="11"/>
      <c r="I565" s="11"/>
      <c r="J565" s="11"/>
      <c r="K565" s="11"/>
      <c r="L565" s="11"/>
    </row>
    <row r="566">
      <c r="A566" s="13" t="str">
        <f>IFERROR(__xludf.DUMMYFUNCTION("""COMPUTED_VALUE"""),"Surskit")</f>
        <v>Surskit</v>
      </c>
      <c r="B566" s="11" t="str">
        <f>IFERROR(__xludf.DUMMYFUNCTION("""COMPUTED_VALUE"""),"big bug gosme")</f>
        <v>big bug gosme</v>
      </c>
      <c r="C566" s="11" t="str">
        <f>IFERROR(__xludf.DUMMYFUNCTION("""COMPUTED_VALUE"""),"solid water gem")</f>
        <v>solid water gem</v>
      </c>
      <c r="D566" s="11" t="str">
        <f>IFERROR(__xludf.DUMMYFUNCTION("""COMPUTED_VALUE"""),"pond skater legs")</f>
        <v>pond skater legs</v>
      </c>
      <c r="E566" s="11" t="str">
        <f>IFERROR(__xludf.DUMMYFUNCTION("""COMPUTED_VALUE"""),"bug essence")</f>
        <v>bug essence</v>
      </c>
      <c r="F566" s="11" t="str">
        <f>IFERROR(__xludf.DUMMYFUNCTION("""COMPUTED_VALUE"""),"water essence")</f>
        <v>water essence</v>
      </c>
      <c r="G566" s="11" t="str">
        <f>IFERROR(__xludf.DUMMYFUNCTION("""COMPUTED_VALUE"""),"cocoon stone")</f>
        <v>cocoon stone</v>
      </c>
      <c r="H566" s="11" t="str">
        <f>IFERROR(__xludf.DUMMYFUNCTION("""COMPUTED_VALUE"""),"water stone")</f>
        <v>water stone</v>
      </c>
      <c r="I566" s="11"/>
      <c r="J566" s="11"/>
      <c r="K566" s="11"/>
      <c r="L566" s="11"/>
    </row>
    <row r="567">
      <c r="A567" s="13" t="str">
        <f>IFERROR(__xludf.DUMMYFUNCTION("""COMPUTED_VALUE"""),"Shiny Surskit")</f>
        <v>Shiny Surskit</v>
      </c>
      <c r="B567" s="11" t="str">
        <f>IFERROR(__xludf.DUMMYFUNCTION("""COMPUTED_VALUE"""),"big bug gosme")</f>
        <v>big bug gosme</v>
      </c>
      <c r="C567" s="11" t="str">
        <f>IFERROR(__xludf.DUMMYFUNCTION("""COMPUTED_VALUE"""),"solid water gem")</f>
        <v>solid water gem</v>
      </c>
      <c r="D567" s="11" t="str">
        <f>IFERROR(__xludf.DUMMYFUNCTION("""COMPUTED_VALUE"""),"purple pond skater legs")</f>
        <v>purple pond skater legs</v>
      </c>
      <c r="E567" s="11" t="str">
        <f>IFERROR(__xludf.DUMMYFUNCTION("""COMPUTED_VALUE"""),"cocoon stone")</f>
        <v>cocoon stone</v>
      </c>
      <c r="F567" s="11" t="str">
        <f>IFERROR(__xludf.DUMMYFUNCTION("""COMPUTED_VALUE"""),"water stone")</f>
        <v>water stone</v>
      </c>
      <c r="G567" s="11" t="str">
        <f>IFERROR(__xludf.DUMMYFUNCTION("""COMPUTED_VALUE"""),"mythic bug orb")</f>
        <v>mythic bug orb</v>
      </c>
      <c r="H567" s="11"/>
      <c r="I567" s="11"/>
      <c r="J567" s="11"/>
      <c r="K567" s="11"/>
      <c r="L567" s="11"/>
    </row>
    <row r="568">
      <c r="A568" s="13" t="str">
        <f>IFERROR(__xludf.DUMMYFUNCTION("""COMPUTED_VALUE"""),"Masquerain")</f>
        <v>Masquerain</v>
      </c>
      <c r="B568" s="11" t="str">
        <f>IFERROR(__xludf.DUMMYFUNCTION("""COMPUTED_VALUE"""),"big bug gosme")</f>
        <v>big bug gosme</v>
      </c>
      <c r="C568" s="11" t="str">
        <f>IFERROR(__xludf.DUMMYFUNCTION("""COMPUTED_VALUE"""),"compressed straw")</f>
        <v>compressed straw</v>
      </c>
      <c r="D568" s="11" t="str">
        <f>IFERROR(__xludf.DUMMYFUNCTION("""COMPUTED_VALUE"""),"eyeball wings")</f>
        <v>eyeball wings</v>
      </c>
      <c r="E568" s="11" t="str">
        <f>IFERROR(__xludf.DUMMYFUNCTION("""COMPUTED_VALUE"""),"bug essence")</f>
        <v>bug essence</v>
      </c>
      <c r="F568" s="11" t="str">
        <f>IFERROR(__xludf.DUMMYFUNCTION("""COMPUTED_VALUE"""),"flying essence")</f>
        <v>flying essence</v>
      </c>
      <c r="G568" s="11" t="str">
        <f>IFERROR(__xludf.DUMMYFUNCTION("""COMPUTED_VALUE"""),"cocoon stone")</f>
        <v>cocoon stone</v>
      </c>
      <c r="H568" s="11" t="str">
        <f>IFERROR(__xludf.DUMMYFUNCTION("""COMPUTED_VALUE"""),"feather stone")</f>
        <v>feather stone</v>
      </c>
      <c r="I568" s="11"/>
      <c r="J568" s="11"/>
      <c r="K568" s="11"/>
      <c r="L568" s="11"/>
    </row>
    <row r="569">
      <c r="A569" s="13" t="str">
        <f>IFERROR(__xludf.DUMMYFUNCTION("""COMPUTED_VALUE"""),"Shiny Masquerain")</f>
        <v>Shiny Masquerain</v>
      </c>
      <c r="B569" s="11" t="str">
        <f>IFERROR(__xludf.DUMMYFUNCTION("""COMPUTED_VALUE"""),"big bug gosme")</f>
        <v>big bug gosme</v>
      </c>
      <c r="C569" s="11" t="str">
        <f>IFERROR(__xludf.DUMMYFUNCTION("""COMPUTED_VALUE"""),"compressed straw")</f>
        <v>compressed straw</v>
      </c>
      <c r="D569" s="11" t="str">
        <f>IFERROR(__xludf.DUMMYFUNCTION("""COMPUTED_VALUE"""),"green eyeball wings")</f>
        <v>green eyeball wings</v>
      </c>
      <c r="E569" s="11" t="str">
        <f>IFERROR(__xludf.DUMMYFUNCTION("""COMPUTED_VALUE"""),"cocoon stone")</f>
        <v>cocoon stone</v>
      </c>
      <c r="F569" s="11" t="str">
        <f>IFERROR(__xludf.DUMMYFUNCTION("""COMPUTED_VALUE"""),"feather stone")</f>
        <v>feather stone</v>
      </c>
      <c r="G569" s="11" t="str">
        <f>IFERROR(__xludf.DUMMYFUNCTION("""COMPUTED_VALUE"""),"celestial bug orb")</f>
        <v>celestial bug orb</v>
      </c>
      <c r="H569" s="11"/>
      <c r="I569" s="11"/>
      <c r="J569" s="11"/>
      <c r="K569" s="11"/>
      <c r="L569" s="11"/>
    </row>
    <row r="570">
      <c r="A570" s="13" t="str">
        <f>IFERROR(__xludf.DUMMYFUNCTION("""COMPUTED_VALUE"""),"Shroomish")</f>
        <v>Shroomish</v>
      </c>
      <c r="B570" s="11" t="str">
        <f>IFERROR(__xludf.DUMMYFUNCTION("""COMPUTED_VALUE"""),"pile of seeds")</f>
        <v>pile of seeds</v>
      </c>
      <c r="C570" s="11" t="str">
        <f>IFERROR(__xludf.DUMMYFUNCTION("""COMPUTED_VALUE"""),"green spore")</f>
        <v>green spore</v>
      </c>
      <c r="D570" s="11" t="str">
        <f>IFERROR(__xludf.DUMMYFUNCTION("""COMPUTED_VALUE"""),"grass essence")</f>
        <v>grass essence</v>
      </c>
      <c r="E570" s="11" t="str">
        <f>IFERROR(__xludf.DUMMYFUNCTION("""COMPUTED_VALUE"""),"leaf stone")</f>
        <v>leaf stone</v>
      </c>
      <c r="F570" s="11"/>
      <c r="G570" s="11"/>
      <c r="H570" s="11"/>
      <c r="I570" s="11"/>
      <c r="J570" s="11"/>
      <c r="K570" s="11"/>
      <c r="L570" s="11"/>
    </row>
    <row r="571">
      <c r="A571" s="13" t="str">
        <f>IFERROR(__xludf.DUMMYFUNCTION("""COMPUTED_VALUE"""),"Shiny Shroomish")</f>
        <v>Shiny Shroomish</v>
      </c>
      <c r="B571" s="11" t="str">
        <f>IFERROR(__xludf.DUMMYFUNCTION("""COMPUTED_VALUE"""),"pile of seeds")</f>
        <v>pile of seeds</v>
      </c>
      <c r="C571" s="11" t="str">
        <f>IFERROR(__xludf.DUMMYFUNCTION("""COMPUTED_VALUE"""),"reddish spore")</f>
        <v>reddish spore</v>
      </c>
      <c r="D571" s="11" t="str">
        <f>IFERROR(__xludf.DUMMYFUNCTION("""COMPUTED_VALUE"""),"leaf stone")</f>
        <v>leaf stone</v>
      </c>
      <c r="E571" s="11" t="str">
        <f>IFERROR(__xludf.DUMMYFUNCTION("""COMPUTED_VALUE"""),"mythic grass orb")</f>
        <v>mythic grass orb</v>
      </c>
      <c r="F571" s="11"/>
      <c r="G571" s="11"/>
      <c r="H571" s="11"/>
      <c r="I571" s="11"/>
      <c r="J571" s="11"/>
      <c r="K571" s="11"/>
      <c r="L571" s="11"/>
    </row>
    <row r="572">
      <c r="A572" s="13" t="str">
        <f>IFERROR(__xludf.DUMMYFUNCTION("""COMPUTED_VALUE"""),"Breloom")</f>
        <v>Breloom</v>
      </c>
      <c r="B572" s="11" t="str">
        <f>IFERROR(__xludf.DUMMYFUNCTION("""COMPUTED_VALUE"""),"pile of seeds")</f>
        <v>pile of seeds</v>
      </c>
      <c r="C572" s="11" t="str">
        <f>IFERROR(__xludf.DUMMYFUNCTION("""COMPUTED_VALUE"""),"injection")</f>
        <v>injection</v>
      </c>
      <c r="D572" s="11" t="str">
        <f>IFERROR(__xludf.DUMMYFUNCTION("""COMPUTED_VALUE"""),"breloom tail")</f>
        <v>breloom tail</v>
      </c>
      <c r="E572" s="11" t="str">
        <f>IFERROR(__xludf.DUMMYFUNCTION("""COMPUTED_VALUE"""),"grass essence")</f>
        <v>grass essence</v>
      </c>
      <c r="F572" s="11" t="str">
        <f>IFERROR(__xludf.DUMMYFUNCTION("""COMPUTED_VALUE"""),"fighter essence")</f>
        <v>fighter essence</v>
      </c>
      <c r="G572" s="11" t="str">
        <f>IFERROR(__xludf.DUMMYFUNCTION("""COMPUTED_VALUE"""),"leaf stone")</f>
        <v>leaf stone</v>
      </c>
      <c r="H572" s="11" t="str">
        <f>IFERROR(__xludf.DUMMYFUNCTION("""COMPUTED_VALUE"""),"punch stone")</f>
        <v>punch stone</v>
      </c>
      <c r="I572" s="11"/>
      <c r="J572" s="11"/>
      <c r="K572" s="11"/>
      <c r="L572" s="11"/>
    </row>
    <row r="573">
      <c r="A573" s="13" t="str">
        <f>IFERROR(__xludf.DUMMYFUNCTION("""COMPUTED_VALUE"""),"Shiny Breloom")</f>
        <v>Shiny Breloom</v>
      </c>
      <c r="B573" s="11" t="str">
        <f>IFERROR(__xludf.DUMMYFUNCTION("""COMPUTED_VALUE"""),"pile of seeds")</f>
        <v>pile of seeds</v>
      </c>
      <c r="C573" s="11" t="str">
        <f>IFERROR(__xludf.DUMMYFUNCTION("""COMPUTED_VALUE"""),"injection")</f>
        <v>injection</v>
      </c>
      <c r="D573" s="11" t="str">
        <f>IFERROR(__xludf.DUMMYFUNCTION("""COMPUTED_VALUE"""),"reddish breloom tail")</f>
        <v>reddish breloom tail</v>
      </c>
      <c r="E573" s="11" t="str">
        <f>IFERROR(__xludf.DUMMYFUNCTION("""COMPUTED_VALUE"""),"leaf stone")</f>
        <v>leaf stone</v>
      </c>
      <c r="F573" s="11" t="str">
        <f>IFERROR(__xludf.DUMMYFUNCTION("""COMPUTED_VALUE"""),"punch stone")</f>
        <v>punch stone</v>
      </c>
      <c r="G573" s="11" t="str">
        <f>IFERROR(__xludf.DUMMYFUNCTION("""COMPUTED_VALUE"""),"celestial fighting orb")</f>
        <v>celestial fighting orb</v>
      </c>
      <c r="H573" s="11"/>
      <c r="I573" s="11"/>
      <c r="J573" s="11"/>
      <c r="K573" s="11"/>
      <c r="L573" s="11"/>
    </row>
    <row r="574">
      <c r="A574" s="13" t="str">
        <f>IFERROR(__xludf.DUMMYFUNCTION("""COMPUTED_VALUE"""),"Slakoth")</f>
        <v>Slakoth</v>
      </c>
      <c r="B574" s="11" t="str">
        <f>IFERROR(__xludf.DUMMYFUNCTION("""COMPUTED_VALUE"""),"solid rubber ball")</f>
        <v>solid rubber ball</v>
      </c>
      <c r="C574" s="11" t="str">
        <f>IFERROR(__xludf.DUMMYFUNCTION("""COMPUTED_VALUE"""),"sloth claw")</f>
        <v>sloth claw</v>
      </c>
      <c r="D574" s="11" t="str">
        <f>IFERROR(__xludf.DUMMYFUNCTION("""COMPUTED_VALUE"""),"normal essence")</f>
        <v>normal essence</v>
      </c>
      <c r="E574" s="11" t="str">
        <f>IFERROR(__xludf.DUMMYFUNCTION("""COMPUTED_VALUE"""),"heart stone")</f>
        <v>heart stone</v>
      </c>
      <c r="F574" s="11"/>
      <c r="G574" s="11"/>
      <c r="H574" s="11"/>
      <c r="I574" s="11"/>
      <c r="J574" s="11"/>
      <c r="K574" s="11"/>
      <c r="L574" s="11"/>
    </row>
    <row r="575">
      <c r="A575" s="13" t="str">
        <f>IFERROR(__xludf.DUMMYFUNCTION("""COMPUTED_VALUE"""),"Shiny Slakoth")</f>
        <v>Shiny Slakoth</v>
      </c>
      <c r="B575" s="11" t="str">
        <f>IFERROR(__xludf.DUMMYFUNCTION("""COMPUTED_VALUE"""),"solid rubber ball")</f>
        <v>solid rubber ball</v>
      </c>
      <c r="C575" s="11" t="str">
        <f>IFERROR(__xludf.DUMMYFUNCTION("""COMPUTED_VALUE"""),"rosy sloth claw")</f>
        <v>rosy sloth claw</v>
      </c>
      <c r="D575" s="11" t="str">
        <f>IFERROR(__xludf.DUMMYFUNCTION("""COMPUTED_VALUE"""),"heart stone")</f>
        <v>heart stone</v>
      </c>
      <c r="E575" s="11" t="str">
        <f>IFERROR(__xludf.DUMMYFUNCTION("""COMPUTED_VALUE"""),"mythic normal orb")</f>
        <v>mythic normal orb</v>
      </c>
      <c r="F575" s="11"/>
      <c r="G575" s="11"/>
      <c r="H575" s="11"/>
      <c r="I575" s="11"/>
      <c r="J575" s="11"/>
      <c r="K575" s="11"/>
      <c r="L575" s="11"/>
    </row>
    <row r="576">
      <c r="A576" s="13" t="str">
        <f>IFERROR(__xludf.DUMMYFUNCTION("""COMPUTED_VALUE"""),"Vigoroth")</f>
        <v>Vigoroth</v>
      </c>
      <c r="B576" s="11" t="str">
        <f>IFERROR(__xludf.DUMMYFUNCTION("""COMPUTED_VALUE"""),"solid rubber ball")</f>
        <v>solid rubber ball</v>
      </c>
      <c r="C576" s="11" t="str">
        <f>IFERROR(__xludf.DUMMYFUNCTION("""COMPUTED_VALUE"""),"teardrop fur")</f>
        <v>teardrop fur</v>
      </c>
      <c r="D576" s="11" t="str">
        <f>IFERROR(__xludf.DUMMYFUNCTION("""COMPUTED_VALUE"""),"normal essence")</f>
        <v>normal essence</v>
      </c>
      <c r="E576" s="11" t="str">
        <f>IFERROR(__xludf.DUMMYFUNCTION("""COMPUTED_VALUE"""),"heart stone")</f>
        <v>heart stone</v>
      </c>
      <c r="F576" s="11"/>
      <c r="G576" s="11"/>
      <c r="H576" s="11"/>
      <c r="I576" s="11"/>
      <c r="J576" s="11"/>
      <c r="K576" s="11"/>
      <c r="L576" s="11"/>
    </row>
    <row r="577">
      <c r="A577" s="13" t="str">
        <f>IFERROR(__xludf.DUMMYFUNCTION("""COMPUTED_VALUE"""),"Shiny Vigoroth")</f>
        <v>Shiny Vigoroth</v>
      </c>
      <c r="B577" s="11" t="str">
        <f>IFERROR(__xludf.DUMMYFUNCTION("""COMPUTED_VALUE"""),"solid rubber ball")</f>
        <v>solid rubber ball</v>
      </c>
      <c r="C577" s="11" t="str">
        <f>IFERROR(__xludf.DUMMYFUNCTION("""COMPUTED_VALUE"""),"purple teardrop fur")</f>
        <v>purple teardrop fur</v>
      </c>
      <c r="D577" s="11" t="str">
        <f>IFERROR(__xludf.DUMMYFUNCTION("""COMPUTED_VALUE"""),"heart stone")</f>
        <v>heart stone</v>
      </c>
      <c r="E577" s="11" t="str">
        <f>IFERROR(__xludf.DUMMYFUNCTION("""COMPUTED_VALUE"""),"mythic normal orb")</f>
        <v>mythic normal orb</v>
      </c>
      <c r="F577" s="11"/>
      <c r="G577" s="11"/>
      <c r="H577" s="11"/>
      <c r="I577" s="11"/>
      <c r="J577" s="11"/>
      <c r="K577" s="11"/>
      <c r="L577" s="11"/>
    </row>
    <row r="578">
      <c r="A578" s="13" t="str">
        <f>IFERROR(__xludf.DUMMYFUNCTION("""COMPUTED_VALUE"""),"Slaking")</f>
        <v>Slaking</v>
      </c>
      <c r="B578" s="11" t="str">
        <f>IFERROR(__xludf.DUMMYFUNCTION("""COMPUTED_VALUE"""),"solid rubber ball")</f>
        <v>solid rubber ball</v>
      </c>
      <c r="C578" s="11" t="str">
        <f>IFERROR(__xludf.DUMMYFUNCTION("""COMPUTED_VALUE"""),"fur ball")</f>
        <v>fur ball</v>
      </c>
      <c r="D578" s="11" t="str">
        <f>IFERROR(__xludf.DUMMYFUNCTION("""COMPUTED_VALUE"""),"normal essence")</f>
        <v>normal essence</v>
      </c>
      <c r="E578" s="11" t="str">
        <f>IFERROR(__xludf.DUMMYFUNCTION("""COMPUTED_VALUE"""),"heart stone")</f>
        <v>heart stone</v>
      </c>
      <c r="F578" s="11"/>
      <c r="G578" s="11"/>
      <c r="H578" s="11"/>
      <c r="I578" s="11"/>
      <c r="J578" s="11"/>
      <c r="K578" s="11"/>
      <c r="L578" s="11"/>
    </row>
    <row r="579">
      <c r="A579" s="13" t="str">
        <f>IFERROR(__xludf.DUMMYFUNCTION("""COMPUTED_VALUE"""),"Shiny Slaking")</f>
        <v>Shiny Slaking</v>
      </c>
      <c r="B579" s="11" t="str">
        <f>IFERROR(__xludf.DUMMYFUNCTION("""COMPUTED_VALUE"""),"solid rubber ball")</f>
        <v>solid rubber ball</v>
      </c>
      <c r="C579" s="11" t="str">
        <f>IFERROR(__xludf.DUMMYFUNCTION("""COMPUTED_VALUE"""),"reddish fur ball")</f>
        <v>reddish fur ball</v>
      </c>
      <c r="D579" s="11" t="str">
        <f>IFERROR(__xludf.DUMMYFUNCTION("""COMPUTED_VALUE"""),"heart stone")</f>
        <v>heart stone</v>
      </c>
      <c r="E579" s="11" t="str">
        <f>IFERROR(__xludf.DUMMYFUNCTION("""COMPUTED_VALUE"""),"celestial normal orb")</f>
        <v>celestial normal orb</v>
      </c>
      <c r="F579" s="11"/>
      <c r="G579" s="11"/>
      <c r="H579" s="11"/>
      <c r="I579" s="11"/>
      <c r="J579" s="11"/>
      <c r="K579" s="11"/>
      <c r="L579" s="11"/>
    </row>
    <row r="580">
      <c r="A580" s="13" t="str">
        <f>IFERROR(__xludf.DUMMYFUNCTION("""COMPUTED_VALUE"""),"Nincada")</f>
        <v>Nincada</v>
      </c>
      <c r="B580" s="11" t="str">
        <f>IFERROR(__xludf.DUMMYFUNCTION("""COMPUTED_VALUE"""),"big bug gosme")</f>
        <v>big bug gosme</v>
      </c>
      <c r="C580" s="11" t="str">
        <f>IFERROR(__xludf.DUMMYFUNCTION("""COMPUTED_VALUE"""),"solid earth piece")</f>
        <v>solid earth piece</v>
      </c>
      <c r="D580" s="11" t="str">
        <f>IFERROR(__xludf.DUMMYFUNCTION("""COMPUTED_VALUE"""),"bug legs")</f>
        <v>bug legs</v>
      </c>
      <c r="E580" s="11" t="str">
        <f>IFERROR(__xludf.DUMMYFUNCTION("""COMPUTED_VALUE"""),"bug essence")</f>
        <v>bug essence</v>
      </c>
      <c r="F580" s="11" t="str">
        <f>IFERROR(__xludf.DUMMYFUNCTION("""COMPUTED_VALUE"""),"ground essence")</f>
        <v>ground essence</v>
      </c>
      <c r="G580" s="11" t="str">
        <f>IFERROR(__xludf.DUMMYFUNCTION("""COMPUTED_VALUE"""),"cocoon stone")</f>
        <v>cocoon stone</v>
      </c>
      <c r="H580" s="11" t="str">
        <f>IFERROR(__xludf.DUMMYFUNCTION("""COMPUTED_VALUE"""),"earth stone")</f>
        <v>earth stone</v>
      </c>
      <c r="I580" s="11"/>
      <c r="J580" s="11"/>
      <c r="K580" s="11"/>
      <c r="L580" s="11"/>
    </row>
    <row r="581">
      <c r="A581" s="13" t="str">
        <f>IFERROR(__xludf.DUMMYFUNCTION("""COMPUTED_VALUE"""),"Shiny Nincada")</f>
        <v>Shiny Nincada</v>
      </c>
      <c r="B581" s="11" t="str">
        <f>IFERROR(__xludf.DUMMYFUNCTION("""COMPUTED_VALUE"""),"big bug gosme")</f>
        <v>big bug gosme</v>
      </c>
      <c r="C581" s="11" t="str">
        <f>IFERROR(__xludf.DUMMYFUNCTION("""COMPUTED_VALUE"""),"solid earth piece")</f>
        <v>solid earth piece</v>
      </c>
      <c r="D581" s="11" t="str">
        <f>IFERROR(__xludf.DUMMYFUNCTION("""COMPUTED_VALUE"""),"yellowish bug legs")</f>
        <v>yellowish bug legs</v>
      </c>
      <c r="E581" s="11" t="str">
        <f>IFERROR(__xludf.DUMMYFUNCTION("""COMPUTED_VALUE"""),"cocoon stone")</f>
        <v>cocoon stone</v>
      </c>
      <c r="F581" s="11" t="str">
        <f>IFERROR(__xludf.DUMMYFUNCTION("""COMPUTED_VALUE"""),"earth stone")</f>
        <v>earth stone</v>
      </c>
      <c r="G581" s="11" t="str">
        <f>IFERROR(__xludf.DUMMYFUNCTION("""COMPUTED_VALUE"""),"mythic bug orb")</f>
        <v>mythic bug orb</v>
      </c>
      <c r="H581" s="11"/>
      <c r="I581" s="11"/>
      <c r="J581" s="11"/>
      <c r="K581" s="11"/>
      <c r="L581" s="11"/>
    </row>
    <row r="582">
      <c r="A582" s="13" t="str">
        <f>IFERROR(__xludf.DUMMYFUNCTION("""COMPUTED_VALUE"""),"Ninjask")</f>
        <v>Ninjask</v>
      </c>
      <c r="B582" s="11" t="str">
        <f>IFERROR(__xludf.DUMMYFUNCTION("""COMPUTED_VALUE"""),"big bug gosme")</f>
        <v>big bug gosme</v>
      </c>
      <c r="C582" s="11" t="str">
        <f>IFERROR(__xludf.DUMMYFUNCTION("""COMPUTED_VALUE"""),"compressed straw")</f>
        <v>compressed straw</v>
      </c>
      <c r="D582" s="11" t="str">
        <f>IFERROR(__xludf.DUMMYFUNCTION("""COMPUTED_VALUE"""),"cicada wings")</f>
        <v>cicada wings</v>
      </c>
      <c r="E582" s="11" t="str">
        <f>IFERROR(__xludf.DUMMYFUNCTION("""COMPUTED_VALUE"""),"bug essence")</f>
        <v>bug essence</v>
      </c>
      <c r="F582" s="11" t="str">
        <f>IFERROR(__xludf.DUMMYFUNCTION("""COMPUTED_VALUE"""),"flying essence")</f>
        <v>flying essence</v>
      </c>
      <c r="G582" s="11" t="str">
        <f>IFERROR(__xludf.DUMMYFUNCTION("""COMPUTED_VALUE"""),"cocoon stone")</f>
        <v>cocoon stone</v>
      </c>
      <c r="H582" s="11" t="str">
        <f>IFERROR(__xludf.DUMMYFUNCTION("""COMPUTED_VALUE"""),"feather stone")</f>
        <v>feather stone</v>
      </c>
      <c r="I582" s="11"/>
      <c r="J582" s="11"/>
      <c r="K582" s="11"/>
      <c r="L582" s="11"/>
    </row>
    <row r="583">
      <c r="A583" s="13" t="str">
        <f>IFERROR(__xludf.DUMMYFUNCTION("""COMPUTED_VALUE"""),"Shiny Ninjask")</f>
        <v>Shiny Ninjask</v>
      </c>
      <c r="B583" s="11" t="str">
        <f>IFERROR(__xludf.DUMMYFUNCTION("""COMPUTED_VALUE"""),"big bug gosme")</f>
        <v>big bug gosme</v>
      </c>
      <c r="C583" s="11" t="str">
        <f>IFERROR(__xludf.DUMMYFUNCTION("""COMPUTED_VALUE"""),"compressed straw")</f>
        <v>compressed straw</v>
      </c>
      <c r="D583" s="11" t="str">
        <f>IFERROR(__xludf.DUMMYFUNCTION("""COMPUTED_VALUE"""),"cicada head")</f>
        <v>cicada head</v>
      </c>
      <c r="E583" s="11" t="str">
        <f>IFERROR(__xludf.DUMMYFUNCTION("""COMPUTED_VALUE"""),"cocoon stone")</f>
        <v>cocoon stone</v>
      </c>
      <c r="F583" s="11" t="str">
        <f>IFERROR(__xludf.DUMMYFUNCTION("""COMPUTED_VALUE"""),"feather stone")</f>
        <v>feather stone</v>
      </c>
      <c r="G583" s="11" t="str">
        <f>IFERROR(__xludf.DUMMYFUNCTION("""COMPUTED_VALUE"""),"celestial bug orb")</f>
        <v>celestial bug orb</v>
      </c>
      <c r="H583" s="11"/>
      <c r="I583" s="11"/>
      <c r="J583" s="11"/>
      <c r="K583" s="11"/>
      <c r="L583" s="11"/>
    </row>
    <row r="584">
      <c r="A584" s="13" t="str">
        <f>IFERROR(__xludf.DUMMYFUNCTION("""COMPUTED_VALUE"""),"Shedinja")</f>
        <v>Shedinja</v>
      </c>
      <c r="B584" s="11" t="str">
        <f>IFERROR(__xludf.DUMMYFUNCTION("""COMPUTED_VALUE"""),"big bug gosme")</f>
        <v>big bug gosme</v>
      </c>
      <c r="C584" s="11" t="str">
        <f>IFERROR(__xludf.DUMMYFUNCTION("""COMPUTED_VALUE"""),"compressed ghost essence")</f>
        <v>compressed ghost essence</v>
      </c>
      <c r="D584" s="11" t="str">
        <f>IFERROR(__xludf.DUMMYFUNCTION("""COMPUTED_VALUE"""),"white halo")</f>
        <v>white halo</v>
      </c>
      <c r="E584" s="11" t="str">
        <f>IFERROR(__xludf.DUMMYFUNCTION("""COMPUTED_VALUE"""),"bug essence")</f>
        <v>bug essence</v>
      </c>
      <c r="F584" s="11" t="str">
        <f>IFERROR(__xludf.DUMMYFUNCTION("""COMPUTED_VALUE"""),"ghost essence")</f>
        <v>ghost essence</v>
      </c>
      <c r="G584" s="11" t="str">
        <f>IFERROR(__xludf.DUMMYFUNCTION("""COMPUTED_VALUE"""),"cocoon stone")</f>
        <v>cocoon stone</v>
      </c>
      <c r="H584" s="11" t="str">
        <f>IFERROR(__xludf.DUMMYFUNCTION("""COMPUTED_VALUE"""),"ghost essence")</f>
        <v>ghost essence</v>
      </c>
      <c r="I584" s="11"/>
      <c r="J584" s="11"/>
      <c r="K584" s="11"/>
      <c r="L584" s="11"/>
    </row>
    <row r="585">
      <c r="A585" s="13" t="str">
        <f>IFERROR(__xludf.DUMMYFUNCTION("""COMPUTED_VALUE"""),"Shiny Shedinja")</f>
        <v>Shiny Shedinja</v>
      </c>
      <c r="B585" s="11" t="str">
        <f>IFERROR(__xludf.DUMMYFUNCTION("""COMPUTED_VALUE"""),"big bug gosme")</f>
        <v>big bug gosme</v>
      </c>
      <c r="C585" s="11" t="str">
        <f>IFERROR(__xludf.DUMMYFUNCTION("""COMPUTED_VALUE"""),"compressed ghost essence")</f>
        <v>compressed ghost essence</v>
      </c>
      <c r="D585" s="11" t="str">
        <f>IFERROR(__xludf.DUMMYFUNCTION("""COMPUTED_VALUE"""),"reddish halo wings")</f>
        <v>reddish halo wings</v>
      </c>
      <c r="E585" s="11" t="str">
        <f>IFERROR(__xludf.DUMMYFUNCTION("""COMPUTED_VALUE"""),"cocoon stone")</f>
        <v>cocoon stone</v>
      </c>
      <c r="F585" s="11" t="str">
        <f>IFERROR(__xludf.DUMMYFUNCTION("""COMPUTED_VALUE"""),"ghost stone")</f>
        <v>ghost stone</v>
      </c>
      <c r="G585" s="11" t="str">
        <f>IFERROR(__xludf.DUMMYFUNCTION("""COMPUTED_VALUE"""),"celestial bug orb")</f>
        <v>celestial bug orb</v>
      </c>
      <c r="H585" s="11"/>
      <c r="I585" s="11"/>
      <c r="J585" s="11"/>
      <c r="K585" s="11"/>
      <c r="L585" s="11"/>
    </row>
    <row r="586">
      <c r="A586" s="13" t="str">
        <f>IFERROR(__xludf.DUMMYFUNCTION("""COMPUTED_VALUE"""),"Whismur")</f>
        <v>Whismur</v>
      </c>
      <c r="B586" s="11" t="str">
        <f>IFERROR(__xludf.DUMMYFUNCTION("""COMPUTED_VALUE"""),"solid rubber ball")</f>
        <v>solid rubber ball</v>
      </c>
      <c r="C586" s="11" t="str">
        <f>IFERROR(__xludf.DUMMYFUNCTION("""COMPUTED_VALUE"""),"cute ball")</f>
        <v>cute ball</v>
      </c>
      <c r="D586" s="11" t="str">
        <f>IFERROR(__xludf.DUMMYFUNCTION("""COMPUTED_VALUE"""),"normal essence")</f>
        <v>normal essence</v>
      </c>
      <c r="E586" s="11" t="str">
        <f>IFERROR(__xludf.DUMMYFUNCTION("""COMPUTED_VALUE"""),"heart stone")</f>
        <v>heart stone</v>
      </c>
      <c r="F586" s="11"/>
      <c r="G586" s="11"/>
      <c r="H586" s="11"/>
      <c r="I586" s="11"/>
      <c r="J586" s="11"/>
      <c r="K586" s="11"/>
      <c r="L586" s="11"/>
    </row>
    <row r="587">
      <c r="A587" s="13" t="str">
        <f>IFERROR(__xludf.DUMMYFUNCTION("""COMPUTED_VALUE"""),"Shiny Whismur")</f>
        <v>Shiny Whismur</v>
      </c>
      <c r="B587" s="11" t="str">
        <f>IFERROR(__xludf.DUMMYFUNCTION("""COMPUTED_VALUE"""),"solid rubber ball")</f>
        <v>solid rubber ball</v>
      </c>
      <c r="C587" s="11" t="str">
        <f>IFERROR(__xludf.DUMMYFUNCTION("""COMPUTED_VALUE"""),"greenish cute ball")</f>
        <v>greenish cute ball</v>
      </c>
      <c r="D587" s="11" t="str">
        <f>IFERROR(__xludf.DUMMYFUNCTION("""COMPUTED_VALUE"""),"heart stone")</f>
        <v>heart stone</v>
      </c>
      <c r="E587" s="11" t="str">
        <f>IFERROR(__xludf.DUMMYFUNCTION("""COMPUTED_VALUE"""),"mythic normal orb")</f>
        <v>mythic normal orb</v>
      </c>
      <c r="F587" s="11"/>
      <c r="G587" s="11"/>
      <c r="H587" s="11"/>
      <c r="I587" s="11"/>
      <c r="J587" s="11"/>
      <c r="K587" s="11"/>
      <c r="L587" s="11"/>
    </row>
    <row r="588">
      <c r="A588" s="13" t="str">
        <f>IFERROR(__xludf.DUMMYFUNCTION("""COMPUTED_VALUE"""),"Loudred")</f>
        <v>Loudred</v>
      </c>
      <c r="B588" s="11" t="str">
        <f>IFERROR(__xludf.DUMMYFUNCTION("""COMPUTED_VALUE"""),"solid rubber ball")</f>
        <v>solid rubber ball</v>
      </c>
      <c r="C588" s="11" t="str">
        <f>IFERROR(__xludf.DUMMYFUNCTION("""COMPUTED_VALUE"""),"sound ear")</f>
        <v>sound ear</v>
      </c>
      <c r="D588" s="11" t="str">
        <f>IFERROR(__xludf.DUMMYFUNCTION("""COMPUTED_VALUE"""),"normal essence")</f>
        <v>normal essence</v>
      </c>
      <c r="E588" s="11" t="str">
        <f>IFERROR(__xludf.DUMMYFUNCTION("""COMPUTED_VALUE"""),"heart stone")</f>
        <v>heart stone</v>
      </c>
      <c r="F588" s="11"/>
      <c r="G588" s="11"/>
      <c r="H588" s="11"/>
      <c r="I588" s="11"/>
      <c r="J588" s="11"/>
      <c r="K588" s="11"/>
      <c r="L588" s="11"/>
    </row>
    <row r="589">
      <c r="A589" s="13" t="str">
        <f>IFERROR(__xludf.DUMMYFUNCTION("""COMPUTED_VALUE"""),"Shiny Loudred")</f>
        <v>Shiny Loudred</v>
      </c>
      <c r="B589" s="11" t="str">
        <f>IFERROR(__xludf.DUMMYFUNCTION("""COMPUTED_VALUE"""),"solid rubber ball")</f>
        <v>solid rubber ball</v>
      </c>
      <c r="C589" s="11" t="str">
        <f>IFERROR(__xludf.DUMMYFUNCTION("""COMPUTED_VALUE"""),"bluish sound ear")</f>
        <v>bluish sound ear</v>
      </c>
      <c r="D589" s="11" t="str">
        <f>IFERROR(__xludf.DUMMYFUNCTION("""COMPUTED_VALUE"""),"heart stone")</f>
        <v>heart stone</v>
      </c>
      <c r="E589" s="11" t="str">
        <f>IFERROR(__xludf.DUMMYFUNCTION("""COMPUTED_VALUE"""),"mythic normal orb")</f>
        <v>mythic normal orb</v>
      </c>
      <c r="F589" s="11"/>
      <c r="G589" s="11"/>
      <c r="H589" s="11"/>
      <c r="I589" s="11"/>
      <c r="J589" s="11"/>
      <c r="K589" s="11"/>
      <c r="L589" s="11"/>
    </row>
    <row r="590">
      <c r="A590" s="13" t="str">
        <f>IFERROR(__xludf.DUMMYFUNCTION("""COMPUTED_VALUE"""),"Exploud")</f>
        <v>Exploud</v>
      </c>
      <c r="B590" s="11" t="str">
        <f>IFERROR(__xludf.DUMMYFUNCTION("""COMPUTED_VALUE"""),"solid rubber ball")</f>
        <v>solid rubber ball</v>
      </c>
      <c r="C590" s="11" t="str">
        <f>IFERROR(__xludf.DUMMYFUNCTION("""COMPUTED_VALUE"""),"eruption ears")</f>
        <v>eruption ears</v>
      </c>
      <c r="D590" s="11" t="str">
        <f>IFERROR(__xludf.DUMMYFUNCTION("""COMPUTED_VALUE"""),"normal essence")</f>
        <v>normal essence</v>
      </c>
      <c r="E590" s="11" t="str">
        <f>IFERROR(__xludf.DUMMYFUNCTION("""COMPUTED_VALUE"""),"heart stone")</f>
        <v>heart stone</v>
      </c>
      <c r="F590" s="11"/>
      <c r="G590" s="11"/>
      <c r="H590" s="11"/>
      <c r="I590" s="11"/>
      <c r="J590" s="11"/>
      <c r="K590" s="11"/>
      <c r="L590" s="11"/>
    </row>
    <row r="591">
      <c r="A591" s="13" t="str">
        <f>IFERROR(__xludf.DUMMYFUNCTION("""COMPUTED_VALUE"""),"Shiny Exploud")</f>
        <v>Shiny Exploud</v>
      </c>
      <c r="B591" s="11" t="str">
        <f>IFERROR(__xludf.DUMMYFUNCTION("""COMPUTED_VALUE"""),"solid rubber ball")</f>
        <v>solid rubber ball</v>
      </c>
      <c r="C591" s="11" t="str">
        <f>IFERROR(__xludf.DUMMYFUNCTION("""COMPUTED_VALUE"""),"bluish eruption ears")</f>
        <v>bluish eruption ears</v>
      </c>
      <c r="D591" s="11" t="str">
        <f>IFERROR(__xludf.DUMMYFUNCTION("""COMPUTED_VALUE"""),"heart stone")</f>
        <v>heart stone</v>
      </c>
      <c r="E591" s="11" t="str">
        <f>IFERROR(__xludf.DUMMYFUNCTION("""COMPUTED_VALUE"""),"celestial normal orb")</f>
        <v>celestial normal orb</v>
      </c>
      <c r="F591" s="11"/>
      <c r="G591" s="11"/>
      <c r="H591" s="11"/>
      <c r="I591" s="11"/>
      <c r="J591" s="11"/>
      <c r="K591" s="11"/>
      <c r="L591" s="11"/>
    </row>
    <row r="592">
      <c r="A592" s="13" t="str">
        <f>IFERROR(__xludf.DUMMYFUNCTION("""COMPUTED_VALUE"""),"Makuhita")</f>
        <v>Makuhita</v>
      </c>
      <c r="B592" s="11" t="str">
        <f>IFERROR(__xludf.DUMMYFUNCTION("""COMPUTED_VALUE"""),"injection")</f>
        <v>injection</v>
      </c>
      <c r="C592" s="11" t="str">
        <f>IFERROR(__xludf.DUMMYFUNCTION("""COMPUTED_VALUE"""),"boxing gloves")</f>
        <v>boxing gloves</v>
      </c>
      <c r="D592" s="11" t="str">
        <f>IFERROR(__xludf.DUMMYFUNCTION("""COMPUTED_VALUE"""),"fighter essence")</f>
        <v>fighter essence</v>
      </c>
      <c r="E592" s="11" t="str">
        <f>IFERROR(__xludf.DUMMYFUNCTION("""COMPUTED_VALUE"""),"punch stone")</f>
        <v>punch stone</v>
      </c>
      <c r="F592" s="11"/>
      <c r="G592" s="11"/>
      <c r="H592" s="11"/>
      <c r="I592" s="11"/>
      <c r="J592" s="11"/>
      <c r="K592" s="11"/>
      <c r="L592" s="11"/>
    </row>
    <row r="593">
      <c r="A593" s="13" t="str">
        <f>IFERROR(__xludf.DUMMYFUNCTION("""COMPUTED_VALUE"""),"Shiny Makuhita")</f>
        <v>Shiny Makuhita</v>
      </c>
      <c r="B593" s="11" t="str">
        <f>IFERROR(__xludf.DUMMYFUNCTION("""COMPUTED_VALUE"""),"injection")</f>
        <v>injection</v>
      </c>
      <c r="C593" s="11" t="str">
        <f>IFERROR(__xludf.DUMMYFUNCTION("""COMPUTED_VALUE"""),"reddish boxing gloves")</f>
        <v>reddish boxing gloves</v>
      </c>
      <c r="D593" s="11" t="str">
        <f>IFERROR(__xludf.DUMMYFUNCTION("""COMPUTED_VALUE"""),"punch stone")</f>
        <v>punch stone</v>
      </c>
      <c r="E593" s="11" t="str">
        <f>IFERROR(__xludf.DUMMYFUNCTION("""COMPUTED_VALUE"""),"mythic fighting orb")</f>
        <v>mythic fighting orb</v>
      </c>
      <c r="F593" s="11"/>
      <c r="G593" s="11"/>
      <c r="H593" s="11"/>
      <c r="I593" s="11"/>
      <c r="J593" s="11"/>
      <c r="K593" s="11"/>
      <c r="L593" s="11"/>
    </row>
    <row r="594">
      <c r="A594" s="13" t="str">
        <f>IFERROR(__xludf.DUMMYFUNCTION("""COMPUTED_VALUE"""),"Hariyama")</f>
        <v>Hariyama</v>
      </c>
      <c r="B594" s="11" t="str">
        <f>IFERROR(__xludf.DUMMYFUNCTION("""COMPUTED_VALUE"""),"injection")</f>
        <v>injection</v>
      </c>
      <c r="C594" s="11" t="str">
        <f>IFERROR(__xludf.DUMMYFUNCTION("""COMPUTED_VALUE"""),"big hands")</f>
        <v>big hands</v>
      </c>
      <c r="D594" s="11" t="str">
        <f>IFERROR(__xludf.DUMMYFUNCTION("""COMPUTED_VALUE"""),"fighter essence")</f>
        <v>fighter essence</v>
      </c>
      <c r="E594" s="11" t="str">
        <f>IFERROR(__xludf.DUMMYFUNCTION("""COMPUTED_VALUE"""),"punch stone")</f>
        <v>punch stone</v>
      </c>
      <c r="F594" s="11"/>
      <c r="G594" s="11"/>
      <c r="H594" s="11"/>
      <c r="I594" s="11"/>
      <c r="J594" s="11"/>
      <c r="K594" s="11"/>
      <c r="L594" s="11"/>
    </row>
    <row r="595">
      <c r="A595" s="13" t="str">
        <f>IFERROR(__xludf.DUMMYFUNCTION("""COMPUTED_VALUE"""),"Shiny Hariyama")</f>
        <v>Shiny Hariyama</v>
      </c>
      <c r="B595" s="11" t="str">
        <f>IFERROR(__xludf.DUMMYFUNCTION("""COMPUTED_VALUE"""),"injection")</f>
        <v>injection</v>
      </c>
      <c r="C595" s="11" t="str">
        <f>IFERROR(__xludf.DUMMYFUNCTION("""COMPUTED_VALUE"""),"red big hands")</f>
        <v>red big hands</v>
      </c>
      <c r="D595" s="11" t="str">
        <f>IFERROR(__xludf.DUMMYFUNCTION("""COMPUTED_VALUE"""),"punch stone")</f>
        <v>punch stone</v>
      </c>
      <c r="E595" s="11" t="str">
        <f>IFERROR(__xludf.DUMMYFUNCTION("""COMPUTED_VALUE"""),"celestial fighting orb")</f>
        <v>celestial fighting orb</v>
      </c>
      <c r="F595" s="11"/>
      <c r="G595" s="11"/>
      <c r="H595" s="11"/>
      <c r="I595" s="11"/>
      <c r="J595" s="11"/>
      <c r="K595" s="11"/>
      <c r="L595" s="11"/>
    </row>
    <row r="596">
      <c r="A596" s="13" t="str">
        <f>IFERROR(__xludf.DUMMYFUNCTION("""COMPUTED_VALUE"""),"Azurill")</f>
        <v>Azurill</v>
      </c>
      <c r="B596" s="11" t="str">
        <f>IFERROR(__xludf.DUMMYFUNCTION("""COMPUTED_VALUE"""),"solid rubber ball")</f>
        <v>solid rubber ball</v>
      </c>
      <c r="C596" s="11" t="str">
        <f>IFERROR(__xludf.DUMMYFUNCTION("""COMPUTED_VALUE"""),"channeled fairy essence")</f>
        <v>channeled fairy essence</v>
      </c>
      <c r="D596" s="11" t="str">
        <f>IFERROR(__xludf.DUMMYFUNCTION("""COMPUTED_VALUE"""),"baby blue tail")</f>
        <v>baby blue tail</v>
      </c>
      <c r="E596" s="11" t="str">
        <f>IFERROR(__xludf.DUMMYFUNCTION("""COMPUTED_VALUE"""),"fairy essence")</f>
        <v>fairy essence</v>
      </c>
      <c r="F596" s="11" t="str">
        <f>IFERROR(__xludf.DUMMYFUNCTION("""COMPUTED_VALUE"""),"normal essence")</f>
        <v>normal essence</v>
      </c>
      <c r="G596" s="11" t="str">
        <f>IFERROR(__xludf.DUMMYFUNCTION("""COMPUTED_VALUE"""),"heart stone")</f>
        <v>heart stone</v>
      </c>
      <c r="H596" s="11" t="str">
        <f>IFERROR(__xludf.DUMMYFUNCTION("""COMPUTED_VALUE"""),"fairy stone")</f>
        <v>fairy stone</v>
      </c>
      <c r="I596" s="11"/>
      <c r="J596" s="11"/>
      <c r="K596" s="11"/>
      <c r="L596" s="11"/>
    </row>
    <row r="597">
      <c r="A597" s="13" t="str">
        <f>IFERROR(__xludf.DUMMYFUNCTION("""COMPUTED_VALUE"""),"Shiny Azurill")</f>
        <v>Shiny Azurill</v>
      </c>
      <c r="B597" s="11" t="str">
        <f>IFERROR(__xludf.DUMMYFUNCTION("""COMPUTED_VALUE"""),"solid rubber ball")</f>
        <v>solid rubber ball</v>
      </c>
      <c r="C597" s="11" t="str">
        <f>IFERROR(__xludf.DUMMYFUNCTION("""COMPUTED_VALUE"""),"channeled fairy essence")</f>
        <v>channeled fairy essence</v>
      </c>
      <c r="D597" s="11" t="str">
        <f>IFERROR(__xludf.DUMMYFUNCTION("""COMPUTED_VALUE"""),"baby green tail")</f>
        <v>baby green tail</v>
      </c>
      <c r="E597" s="11" t="str">
        <f>IFERROR(__xludf.DUMMYFUNCTION("""COMPUTED_VALUE"""),"heart stone")</f>
        <v>heart stone</v>
      </c>
      <c r="F597" s="11" t="str">
        <f>IFERROR(__xludf.DUMMYFUNCTION("""COMPUTED_VALUE"""),"fairy stone")</f>
        <v>fairy stone</v>
      </c>
      <c r="G597" s="11" t="str">
        <f>IFERROR(__xludf.DUMMYFUNCTION("""COMPUTED_VALUE"""),"mythic normal orb")</f>
        <v>mythic normal orb</v>
      </c>
      <c r="H597" s="11"/>
      <c r="I597" s="11"/>
      <c r="J597" s="11"/>
      <c r="K597" s="11"/>
      <c r="L597" s="11"/>
    </row>
    <row r="598">
      <c r="A598" s="13" t="str">
        <f>IFERROR(__xludf.DUMMYFUNCTION("""COMPUTED_VALUE"""),"Nosepass")</f>
        <v>Nosepass</v>
      </c>
      <c r="B598" s="11" t="str">
        <f>IFERROR(__xludf.DUMMYFUNCTION("""COMPUTED_VALUE"""),"big stone")</f>
        <v>big stone</v>
      </c>
      <c r="C598" s="11" t="str">
        <f>IFERROR(__xludf.DUMMYFUNCTION("""COMPUTED_VALUE"""),"rock nose")</f>
        <v>rock nose</v>
      </c>
      <c r="D598" s="11" t="str">
        <f>IFERROR(__xludf.DUMMYFUNCTION("""COMPUTED_VALUE"""),"rock essence")</f>
        <v>rock essence</v>
      </c>
      <c r="E598" s="11" t="str">
        <f>IFERROR(__xludf.DUMMYFUNCTION("""COMPUTED_VALUE"""),"rock stone")</f>
        <v>rock stone</v>
      </c>
      <c r="F598" s="11"/>
      <c r="G598" s="11"/>
      <c r="H598" s="11"/>
      <c r="I598" s="11"/>
      <c r="J598" s="11"/>
      <c r="K598" s="11"/>
      <c r="L598" s="11"/>
    </row>
    <row r="599">
      <c r="A599" s="13" t="str">
        <f>IFERROR(__xludf.DUMMYFUNCTION("""COMPUTED_VALUE"""),"Shiny Nosepass")</f>
        <v>Shiny Nosepass</v>
      </c>
      <c r="B599" s="11" t="str">
        <f>IFERROR(__xludf.DUMMYFUNCTION("""COMPUTED_VALUE"""),"big stone")</f>
        <v>big stone</v>
      </c>
      <c r="C599" s="11" t="str">
        <f>IFERROR(__xludf.DUMMYFUNCTION("""COMPUTED_VALUE"""),"yellow shining point")</f>
        <v>yellow shining point</v>
      </c>
      <c r="D599" s="11" t="str">
        <f>IFERROR(__xludf.DUMMYFUNCTION("""COMPUTED_VALUE"""),"rock stone")</f>
        <v>rock stone</v>
      </c>
      <c r="E599" s="11" t="str">
        <f>IFERROR(__xludf.DUMMYFUNCTION("""COMPUTED_VALUE"""),"mythic rock orb")</f>
        <v>mythic rock orb</v>
      </c>
      <c r="F599" s="11"/>
      <c r="G599" s="11"/>
      <c r="H599" s="11"/>
      <c r="I599" s="11"/>
      <c r="J599" s="11"/>
      <c r="K599" s="11"/>
      <c r="L599" s="11"/>
    </row>
    <row r="600">
      <c r="A600" s="13" t="str">
        <f>IFERROR(__xludf.DUMMYFUNCTION("""COMPUTED_VALUE"""),"Skitty")</f>
        <v>Skitty</v>
      </c>
      <c r="B600" s="11" t="str">
        <f>IFERROR(__xludf.DUMMYFUNCTION("""COMPUTED_VALUE"""),"solid rubber ball")</f>
        <v>solid rubber ball</v>
      </c>
      <c r="C600" s="11" t="str">
        <f>IFERROR(__xludf.DUMMYFUNCTION("""COMPUTED_VALUE"""),"skitty tail")</f>
        <v>skitty tail</v>
      </c>
      <c r="D600" s="11" t="str">
        <f>IFERROR(__xludf.DUMMYFUNCTION("""COMPUTED_VALUE"""),"normal essence")</f>
        <v>normal essence</v>
      </c>
      <c r="E600" s="11" t="str">
        <f>IFERROR(__xludf.DUMMYFUNCTION("""COMPUTED_VALUE"""),"heart stone")</f>
        <v>heart stone</v>
      </c>
      <c r="F600" s="11"/>
      <c r="G600" s="11"/>
      <c r="H600" s="11"/>
      <c r="I600" s="11"/>
      <c r="J600" s="11"/>
      <c r="K600" s="11"/>
      <c r="L600" s="11"/>
    </row>
    <row r="601">
      <c r="A601" s="13" t="str">
        <f>IFERROR(__xludf.DUMMYFUNCTION("""COMPUTED_VALUE"""),"Shiny Skitty")</f>
        <v>Shiny Skitty</v>
      </c>
      <c r="B601" s="11" t="str">
        <f>IFERROR(__xludf.DUMMYFUNCTION("""COMPUTED_VALUE"""),"solid rubber ball")</f>
        <v>solid rubber ball</v>
      </c>
      <c r="C601" s="11" t="str">
        <f>IFERROR(__xludf.DUMMYFUNCTION("""COMPUTED_VALUE"""),"whitish skitty tail")</f>
        <v>whitish skitty tail</v>
      </c>
      <c r="D601" s="11" t="str">
        <f>IFERROR(__xludf.DUMMYFUNCTION("""COMPUTED_VALUE"""),"heart stone")</f>
        <v>heart stone</v>
      </c>
      <c r="E601" s="11" t="str">
        <f>IFERROR(__xludf.DUMMYFUNCTION("""COMPUTED_VALUE"""),"mythic normal orb")</f>
        <v>mythic normal orb</v>
      </c>
      <c r="F601" s="11"/>
      <c r="G601" s="11"/>
      <c r="H601" s="11"/>
      <c r="I601" s="11"/>
      <c r="J601" s="11"/>
      <c r="K601" s="11"/>
      <c r="L601" s="11"/>
    </row>
    <row r="602">
      <c r="A602" s="13" t="str">
        <f>IFERROR(__xludf.DUMMYFUNCTION("""COMPUTED_VALUE"""),"Delcatty")</f>
        <v>Delcatty</v>
      </c>
      <c r="B602" s="11" t="str">
        <f>IFERROR(__xludf.DUMMYFUNCTION("""COMPUTED_VALUE"""),"solid rubber ball")</f>
        <v>solid rubber ball</v>
      </c>
      <c r="C602" s="11" t="str">
        <f>IFERROR(__xludf.DUMMYFUNCTION("""COMPUTED_VALUE"""),"pin-like collar")</f>
        <v>pin-like collar</v>
      </c>
      <c r="D602" s="11" t="str">
        <f>IFERROR(__xludf.DUMMYFUNCTION("""COMPUTED_VALUE"""),"normal essence")</f>
        <v>normal essence</v>
      </c>
      <c r="E602" s="11" t="str">
        <f>IFERROR(__xludf.DUMMYFUNCTION("""COMPUTED_VALUE"""),"heart stone")</f>
        <v>heart stone</v>
      </c>
      <c r="F602" s="11"/>
      <c r="G602" s="11"/>
      <c r="H602" s="11"/>
      <c r="I602" s="11"/>
      <c r="J602" s="11"/>
      <c r="K602" s="11"/>
      <c r="L602" s="11"/>
    </row>
    <row r="603">
      <c r="A603" s="13" t="str">
        <f>IFERROR(__xludf.DUMMYFUNCTION("""COMPUTED_VALUE"""),"Shiny Delcatty")</f>
        <v>Shiny Delcatty</v>
      </c>
      <c r="B603" s="11" t="str">
        <f>IFERROR(__xludf.DUMMYFUNCTION("""COMPUTED_VALUE"""),"solid rubber ball")</f>
        <v>solid rubber ball</v>
      </c>
      <c r="C603" s="11" t="str">
        <f>IFERROR(__xludf.DUMMYFUNCTION("""COMPUTED_VALUE"""),"whitish pin-like collar")</f>
        <v>whitish pin-like collar</v>
      </c>
      <c r="D603" s="11" t="str">
        <f>IFERROR(__xludf.DUMMYFUNCTION("""COMPUTED_VALUE"""),"heart stone")</f>
        <v>heart stone</v>
      </c>
      <c r="E603" s="11" t="str">
        <f>IFERROR(__xludf.DUMMYFUNCTION("""COMPUTED_VALUE"""),"celestial normal orb")</f>
        <v>celestial normal orb</v>
      </c>
      <c r="F603" s="11"/>
      <c r="G603" s="11"/>
      <c r="H603" s="11"/>
      <c r="I603" s="11"/>
      <c r="J603" s="11"/>
      <c r="K603" s="11"/>
      <c r="L603" s="11"/>
    </row>
    <row r="604">
      <c r="A604" s="13" t="str">
        <f>IFERROR(__xludf.DUMMYFUNCTION("""COMPUTED_VALUE"""),"Sableye")</f>
        <v>Sableye</v>
      </c>
      <c r="B604" s="11" t="str">
        <f>IFERROR(__xludf.DUMMYFUNCTION("""COMPUTED_VALUE"""),"solid dark gem")</f>
        <v>solid dark gem</v>
      </c>
      <c r="C604" s="11" t="str">
        <f>IFERROR(__xludf.DUMMYFUNCTION("""COMPUTED_VALUE"""),"compressed ghost essence")</f>
        <v>compressed ghost essence</v>
      </c>
      <c r="D604" s="11" t="str">
        <f>IFERROR(__xludf.DUMMYFUNCTION("""COMPUTED_VALUE"""),"big crystal")</f>
        <v>big crystal</v>
      </c>
      <c r="E604" s="11" t="str">
        <f>IFERROR(__xludf.DUMMYFUNCTION("""COMPUTED_VALUE"""),"dark essence")</f>
        <v>dark essence</v>
      </c>
      <c r="F604" s="11" t="str">
        <f>IFERROR(__xludf.DUMMYFUNCTION("""COMPUTED_VALUE"""),"ghost essence")</f>
        <v>ghost essence</v>
      </c>
      <c r="G604" s="11" t="str">
        <f>IFERROR(__xludf.DUMMYFUNCTION("""COMPUTED_VALUE"""),"ghost stone")</f>
        <v>ghost stone</v>
      </c>
      <c r="H604" s="11" t="str">
        <f>IFERROR(__xludf.DUMMYFUNCTION("""COMPUTED_VALUE"""),"darkness stone")</f>
        <v>darkness stone</v>
      </c>
      <c r="I604" s="11"/>
      <c r="J604" s="11"/>
      <c r="K604" s="11"/>
      <c r="L604" s="11"/>
    </row>
    <row r="605">
      <c r="A605" s="13" t="str">
        <f>IFERROR(__xludf.DUMMYFUNCTION("""COMPUTED_VALUE"""),"Shiny Sableye")</f>
        <v>Shiny Sableye</v>
      </c>
      <c r="B605" s="11" t="str">
        <f>IFERROR(__xludf.DUMMYFUNCTION("""COMPUTED_VALUE"""),"solid dark gem")</f>
        <v>solid dark gem</v>
      </c>
      <c r="C605" s="11" t="str">
        <f>IFERROR(__xludf.DUMMYFUNCTION("""COMPUTED_VALUE"""),"compressed ghost essence")</f>
        <v>compressed ghost essence</v>
      </c>
      <c r="D605" s="11" t="str">
        <f>IFERROR(__xludf.DUMMYFUNCTION("""COMPUTED_VALUE"""),"yellowish big crystal")</f>
        <v>yellowish big crystal</v>
      </c>
      <c r="E605" s="11" t="str">
        <f>IFERROR(__xludf.DUMMYFUNCTION("""COMPUTED_VALUE"""),"ghost stone")</f>
        <v>ghost stone</v>
      </c>
      <c r="F605" s="11" t="str">
        <f>IFERROR(__xludf.DUMMYFUNCTION("""COMPUTED_VALUE"""),"darkness stone")</f>
        <v>darkness stone</v>
      </c>
      <c r="G605" s="11" t="str">
        <f>IFERROR(__xludf.DUMMYFUNCTION("""COMPUTED_VALUE"""),"celestial dark orb")</f>
        <v>celestial dark orb</v>
      </c>
      <c r="H605" s="11"/>
      <c r="I605" s="11"/>
      <c r="J605" s="11"/>
      <c r="K605" s="11"/>
      <c r="L605" s="11"/>
    </row>
    <row r="606">
      <c r="A606" s="13" t="str">
        <f>IFERROR(__xludf.DUMMYFUNCTION("""COMPUTED_VALUE"""),"Mawile")</f>
        <v>Mawile</v>
      </c>
      <c r="B606" s="11" t="str">
        <f>IFERROR(__xludf.DUMMYFUNCTION("""COMPUTED_VALUE"""),"compressed steel")</f>
        <v>compressed steel</v>
      </c>
      <c r="C606" s="11" t="str">
        <f>IFERROR(__xludf.DUMMYFUNCTION("""COMPUTED_VALUE"""),"channeled fairy essence")</f>
        <v>channeled fairy essence</v>
      </c>
      <c r="D606" s="11" t="str">
        <f>IFERROR(__xludf.DUMMYFUNCTION("""COMPUTED_VALUE"""),"metal jaw")</f>
        <v>metal jaw</v>
      </c>
      <c r="E606" s="11" t="str">
        <f>IFERROR(__xludf.DUMMYFUNCTION("""COMPUTED_VALUE"""),"fairy essence")</f>
        <v>fairy essence</v>
      </c>
      <c r="F606" s="11" t="str">
        <f>IFERROR(__xludf.DUMMYFUNCTION("""COMPUTED_VALUE"""),"steel essence")</f>
        <v>steel essence</v>
      </c>
      <c r="G606" s="11" t="str">
        <f>IFERROR(__xludf.DUMMYFUNCTION("""COMPUTED_VALUE"""),"metal stone")</f>
        <v>metal stone</v>
      </c>
      <c r="H606" s="11" t="str">
        <f>IFERROR(__xludf.DUMMYFUNCTION("""COMPUTED_VALUE"""),"fairy stone")</f>
        <v>fairy stone</v>
      </c>
      <c r="I606" s="11"/>
      <c r="J606" s="11"/>
      <c r="K606" s="11"/>
      <c r="L606" s="11"/>
    </row>
    <row r="607">
      <c r="A607" s="13" t="str">
        <f>IFERROR(__xludf.DUMMYFUNCTION("""COMPUTED_VALUE"""),"Shiny Mawile")</f>
        <v>Shiny Mawile</v>
      </c>
      <c r="B607" s="11" t="str">
        <f>IFERROR(__xludf.DUMMYFUNCTION("""COMPUTED_VALUE"""),"compressed steel")</f>
        <v>compressed steel</v>
      </c>
      <c r="C607" s="11" t="str">
        <f>IFERROR(__xludf.DUMMYFUNCTION("""COMPUTED_VALUE"""),"channeled fairy essence")</f>
        <v>channeled fairy essence</v>
      </c>
      <c r="D607" s="11" t="str">
        <f>IFERROR(__xludf.DUMMYFUNCTION("""COMPUTED_VALUE"""),"purple metal j aw")</f>
        <v>purple metal j aw</v>
      </c>
      <c r="E607" s="11" t="str">
        <f>IFERROR(__xludf.DUMMYFUNCTION("""COMPUTED_VALUE"""),"metal stone")</f>
        <v>metal stone</v>
      </c>
      <c r="F607" s="11" t="str">
        <f>IFERROR(__xludf.DUMMYFUNCTION("""COMPUTED_VALUE"""),"fairy stone")</f>
        <v>fairy stone</v>
      </c>
      <c r="G607" s="11" t="str">
        <f>IFERROR(__xludf.DUMMYFUNCTION("""COMPUTED_VALUE"""),"celestial metal orb")</f>
        <v>celestial metal orb</v>
      </c>
      <c r="H607" s="11"/>
      <c r="I607" s="11"/>
      <c r="J607" s="11"/>
      <c r="K607" s="11"/>
      <c r="L607" s="11"/>
    </row>
    <row r="608">
      <c r="A608" s="13" t="str">
        <f>IFERROR(__xludf.DUMMYFUNCTION("""COMPUTED_VALUE"""),"Aron")</f>
        <v>Aron</v>
      </c>
      <c r="B608" s="11" t="str">
        <f>IFERROR(__xludf.DUMMYFUNCTION("""COMPUTED_VALUE"""),"compressed steel")</f>
        <v>compressed steel</v>
      </c>
      <c r="C608" s="11" t="str">
        <f>IFERROR(__xludf.DUMMYFUNCTION("""COMPUTED_VALUE"""),"big stone")</f>
        <v>big stone</v>
      </c>
      <c r="D608" s="11" t="str">
        <f>IFERROR(__xludf.DUMMYFUNCTION("""COMPUTED_VALUE"""),"aron helmet")</f>
        <v>aron helmet</v>
      </c>
      <c r="E608" s="11" t="str">
        <f>IFERROR(__xludf.DUMMYFUNCTION("""COMPUTED_VALUE"""),"steel essence")</f>
        <v>steel essence</v>
      </c>
      <c r="F608" s="11" t="str">
        <f>IFERROR(__xludf.DUMMYFUNCTION("""COMPUTED_VALUE"""),"rock essence")</f>
        <v>rock essence</v>
      </c>
      <c r="G608" s="11" t="str">
        <f>IFERROR(__xludf.DUMMYFUNCTION("""COMPUTED_VALUE"""),"metal stone")</f>
        <v>metal stone</v>
      </c>
      <c r="H608" s="11" t="str">
        <f>IFERROR(__xludf.DUMMYFUNCTION("""COMPUTED_VALUE"""),"rock stone")</f>
        <v>rock stone</v>
      </c>
      <c r="I608" s="11"/>
      <c r="J608" s="11"/>
      <c r="K608" s="11"/>
      <c r="L608" s="11"/>
    </row>
    <row r="609">
      <c r="A609" s="13" t="str">
        <f>IFERROR(__xludf.DUMMYFUNCTION("""COMPUTED_VALUE"""),"Shiny Aron")</f>
        <v>Shiny Aron</v>
      </c>
      <c r="B609" s="11" t="str">
        <f>IFERROR(__xludf.DUMMYFUNCTION("""COMPUTED_VALUE"""),"compressed steel")</f>
        <v>compressed steel</v>
      </c>
      <c r="C609" s="11" t="str">
        <f>IFERROR(__xludf.DUMMYFUNCTION("""COMPUTED_VALUE"""),"big stone")</f>
        <v>big stone</v>
      </c>
      <c r="D609" s="11" t="str">
        <f>IFERROR(__xludf.DUMMYFUNCTION("""COMPUTED_VALUE"""),"bluish aron helmet")</f>
        <v>bluish aron helmet</v>
      </c>
      <c r="E609" s="11" t="str">
        <f>IFERROR(__xludf.DUMMYFUNCTION("""COMPUTED_VALUE"""),"metal stone")</f>
        <v>metal stone</v>
      </c>
      <c r="F609" s="11" t="str">
        <f>IFERROR(__xludf.DUMMYFUNCTION("""COMPUTED_VALUE"""),"rock stone")</f>
        <v>rock stone</v>
      </c>
      <c r="G609" s="11" t="str">
        <f>IFERROR(__xludf.DUMMYFUNCTION("""COMPUTED_VALUE"""),"mythic metal orb")</f>
        <v>mythic metal orb</v>
      </c>
      <c r="H609" s="11"/>
      <c r="I609" s="11"/>
      <c r="J609" s="11"/>
      <c r="K609" s="11"/>
      <c r="L609" s="11"/>
    </row>
    <row r="610">
      <c r="A610" s="13" t="str">
        <f>IFERROR(__xludf.DUMMYFUNCTION("""COMPUTED_VALUE"""),"Lairon")</f>
        <v>Lairon</v>
      </c>
      <c r="B610" s="11" t="str">
        <f>IFERROR(__xludf.DUMMYFUNCTION("""COMPUTED_VALUE"""),"compressed steel")</f>
        <v>compressed steel</v>
      </c>
      <c r="C610" s="11" t="str">
        <f>IFERROR(__xludf.DUMMYFUNCTION("""COMPUTED_VALUE"""),"big stone")</f>
        <v>big stone</v>
      </c>
      <c r="D610" s="11" t="str">
        <f>IFERROR(__xludf.DUMMYFUNCTION("""COMPUTED_VALUE"""),"iron armor")</f>
        <v>iron armor</v>
      </c>
      <c r="E610" s="11" t="str">
        <f>IFERROR(__xludf.DUMMYFUNCTION("""COMPUTED_VALUE"""),"steel essence")</f>
        <v>steel essence</v>
      </c>
      <c r="F610" s="11" t="str">
        <f>IFERROR(__xludf.DUMMYFUNCTION("""COMPUTED_VALUE"""),"rock essence")</f>
        <v>rock essence</v>
      </c>
      <c r="G610" s="11" t="str">
        <f>IFERROR(__xludf.DUMMYFUNCTION("""COMPUTED_VALUE"""),"metal stone")</f>
        <v>metal stone</v>
      </c>
      <c r="H610" s="11" t="str">
        <f>IFERROR(__xludf.DUMMYFUNCTION("""COMPUTED_VALUE"""),"rock stone")</f>
        <v>rock stone</v>
      </c>
      <c r="I610" s="11"/>
      <c r="J610" s="11"/>
      <c r="K610" s="11"/>
      <c r="L610" s="11"/>
    </row>
    <row r="611">
      <c r="A611" s="13" t="str">
        <f>IFERROR(__xludf.DUMMYFUNCTION("""COMPUTED_VALUE"""),"Shiny Lairon")</f>
        <v>Shiny Lairon</v>
      </c>
      <c r="B611" s="11" t="str">
        <f>IFERROR(__xludf.DUMMYFUNCTION("""COMPUTED_VALUE"""),"compressed steel")</f>
        <v>compressed steel</v>
      </c>
      <c r="C611" s="11" t="str">
        <f>IFERROR(__xludf.DUMMYFUNCTION("""COMPUTED_VALUE"""),"big stone")</f>
        <v>big stone</v>
      </c>
      <c r="D611" s="11" t="str">
        <f>IFERROR(__xludf.DUMMYFUNCTION("""COMPUTED_VALUE"""),"bluish iron armor")</f>
        <v>bluish iron armor</v>
      </c>
      <c r="E611" s="11" t="str">
        <f>IFERROR(__xludf.DUMMYFUNCTION("""COMPUTED_VALUE"""),"metal stone")</f>
        <v>metal stone</v>
      </c>
      <c r="F611" s="11" t="str">
        <f>IFERROR(__xludf.DUMMYFUNCTION("""COMPUTED_VALUE"""),"rock stone")</f>
        <v>rock stone</v>
      </c>
      <c r="G611" s="11" t="str">
        <f>IFERROR(__xludf.DUMMYFUNCTION("""COMPUTED_VALUE"""),"mythic metal orb")</f>
        <v>mythic metal orb</v>
      </c>
      <c r="H611" s="11"/>
      <c r="I611" s="11"/>
      <c r="J611" s="11"/>
      <c r="K611" s="11"/>
      <c r="L611" s="11"/>
    </row>
    <row r="612">
      <c r="A612" s="13" t="str">
        <f>IFERROR(__xludf.DUMMYFUNCTION("""COMPUTED_VALUE"""),"Aggron")</f>
        <v>Aggron</v>
      </c>
      <c r="B612" s="11" t="str">
        <f>IFERROR(__xludf.DUMMYFUNCTION("""COMPUTED_VALUE"""),"compressed steel")</f>
        <v>compressed steel</v>
      </c>
      <c r="C612" s="11" t="str">
        <f>IFERROR(__xludf.DUMMYFUNCTION("""COMPUTED_VALUE"""),"big stone")</f>
        <v>big stone</v>
      </c>
      <c r="D612" s="11" t="str">
        <f>IFERROR(__xludf.DUMMYFUNCTION("""COMPUTED_VALUE"""),"metal hull")</f>
        <v>metal hull</v>
      </c>
      <c r="E612" s="11" t="str">
        <f>IFERROR(__xludf.DUMMYFUNCTION("""COMPUTED_VALUE"""),"steel essence")</f>
        <v>steel essence</v>
      </c>
      <c r="F612" s="11" t="str">
        <f>IFERROR(__xludf.DUMMYFUNCTION("""COMPUTED_VALUE"""),"rock essence")</f>
        <v>rock essence</v>
      </c>
      <c r="G612" s="11" t="str">
        <f>IFERROR(__xludf.DUMMYFUNCTION("""COMPUTED_VALUE"""),"metal stone")</f>
        <v>metal stone</v>
      </c>
      <c r="H612" s="11" t="str">
        <f>IFERROR(__xludf.DUMMYFUNCTION("""COMPUTED_VALUE"""),"rock stone")</f>
        <v>rock stone</v>
      </c>
      <c r="I612" s="11"/>
      <c r="J612" s="11"/>
      <c r="K612" s="11"/>
      <c r="L612" s="11"/>
    </row>
    <row r="613">
      <c r="A613" s="13" t="str">
        <f>IFERROR(__xludf.DUMMYFUNCTION("""COMPUTED_VALUE"""),"Shiny Aggron")</f>
        <v>Shiny Aggron</v>
      </c>
      <c r="B613" s="11" t="str">
        <f>IFERROR(__xludf.DUMMYFUNCTION("""COMPUTED_VALUE"""),"compressed steel")</f>
        <v>compressed steel</v>
      </c>
      <c r="C613" s="11" t="str">
        <f>IFERROR(__xludf.DUMMYFUNCTION("""COMPUTED_VALUE"""),"big stone")</f>
        <v>big stone</v>
      </c>
      <c r="D613" s="11" t="str">
        <f>IFERROR(__xludf.DUMMYFUNCTION("""COMPUTED_VALUE"""),"bluish iron tail")</f>
        <v>bluish iron tail</v>
      </c>
      <c r="E613" s="11" t="str">
        <f>IFERROR(__xludf.DUMMYFUNCTION("""COMPUTED_VALUE"""),"metal stone")</f>
        <v>metal stone</v>
      </c>
      <c r="F613" s="11" t="str">
        <f>IFERROR(__xludf.DUMMYFUNCTION("""COMPUTED_VALUE"""),"rock stone")</f>
        <v>rock stone</v>
      </c>
      <c r="G613" s="11" t="str">
        <f>IFERROR(__xludf.DUMMYFUNCTION("""COMPUTED_VALUE"""),"celestial metal orb")</f>
        <v>celestial metal orb</v>
      </c>
      <c r="H613" s="11"/>
      <c r="I613" s="11"/>
      <c r="J613" s="11"/>
      <c r="K613" s="11"/>
      <c r="L613" s="11"/>
    </row>
    <row r="614">
      <c r="A614" s="13" t="str">
        <f>IFERROR(__xludf.DUMMYFUNCTION("""COMPUTED_VALUE"""),"Meditite")</f>
        <v>Meditite</v>
      </c>
      <c r="B614" s="11" t="str">
        <f>IFERROR(__xludf.DUMMYFUNCTION("""COMPUTED_VALUE"""),"injection")</f>
        <v>injection</v>
      </c>
      <c r="C614" s="11" t="str">
        <f>IFERROR(__xludf.DUMMYFUNCTION("""COMPUTED_VALUE"""),"big enchanted gem")</f>
        <v>big enchanted gem</v>
      </c>
      <c r="D614" s="11" t="str">
        <f>IFERROR(__xludf.DUMMYFUNCTION("""COMPUTED_VALUE"""),"white short")</f>
        <v>white short</v>
      </c>
      <c r="E614" s="11" t="str">
        <f>IFERROR(__xludf.DUMMYFUNCTION("""COMPUTED_VALUE"""),"fighter essence")</f>
        <v>fighter essence</v>
      </c>
      <c r="F614" s="11" t="str">
        <f>IFERROR(__xludf.DUMMYFUNCTION("""COMPUTED_VALUE"""),"psychic essence")</f>
        <v>psychic essence</v>
      </c>
      <c r="G614" s="11" t="str">
        <f>IFERROR(__xludf.DUMMYFUNCTION("""COMPUTED_VALUE"""),"punch stone")</f>
        <v>punch stone</v>
      </c>
      <c r="H614" s="11" t="str">
        <f>IFERROR(__xludf.DUMMYFUNCTION("""COMPUTED_VALUE"""),"enigma stone")</f>
        <v>enigma stone</v>
      </c>
      <c r="I614" s="11"/>
      <c r="J614" s="11"/>
      <c r="K614" s="11"/>
      <c r="L614" s="11"/>
    </row>
    <row r="615">
      <c r="A615" s="13" t="str">
        <f>IFERROR(__xludf.DUMMYFUNCTION("""COMPUTED_VALUE"""),"Shiny Meditite")</f>
        <v>Shiny Meditite</v>
      </c>
      <c r="B615" s="11" t="str">
        <f>IFERROR(__xludf.DUMMYFUNCTION("""COMPUTED_VALUE"""),"injection")</f>
        <v>injection</v>
      </c>
      <c r="C615" s="11" t="str">
        <f>IFERROR(__xludf.DUMMYFUNCTION("""COMPUTED_VALUE"""),"big enchanted gem")</f>
        <v>big enchanted gem</v>
      </c>
      <c r="D615" s="11" t="str">
        <f>IFERROR(__xludf.DUMMYFUNCTION("""COMPUTED_VALUE"""),"reddish white short")</f>
        <v>reddish white short</v>
      </c>
      <c r="E615" s="11" t="str">
        <f>IFERROR(__xludf.DUMMYFUNCTION("""COMPUTED_VALUE"""),"punch stone")</f>
        <v>punch stone</v>
      </c>
      <c r="F615" s="11" t="str">
        <f>IFERROR(__xludf.DUMMYFUNCTION("""COMPUTED_VALUE"""),"enigma stone")</f>
        <v>enigma stone</v>
      </c>
      <c r="G615" s="11" t="str">
        <f>IFERROR(__xludf.DUMMYFUNCTION("""COMPUTED_VALUE"""),"mythic fighting orb")</f>
        <v>mythic fighting orb</v>
      </c>
      <c r="H615" s="11"/>
      <c r="I615" s="11"/>
      <c r="J615" s="11"/>
      <c r="K615" s="11"/>
      <c r="L615" s="11"/>
    </row>
    <row r="616">
      <c r="A616" s="13" t="str">
        <f>IFERROR(__xludf.DUMMYFUNCTION("""COMPUTED_VALUE"""),"Medicham")</f>
        <v>Medicham</v>
      </c>
      <c r="B616" s="11" t="str">
        <f>IFERROR(__xludf.DUMMYFUNCTION("""COMPUTED_VALUE"""),"injection")</f>
        <v>injection</v>
      </c>
      <c r="C616" s="11" t="str">
        <f>IFERROR(__xludf.DUMMYFUNCTION("""COMPUTED_VALUE"""),"big enchanted gem")</f>
        <v>big enchanted gem</v>
      </c>
      <c r="D616" s="11" t="str">
        <f>IFERROR(__xludf.DUMMYFUNCTION("""COMPUTED_VALUE"""),"mediling")</f>
        <v>mediling</v>
      </c>
      <c r="E616" s="11" t="str">
        <f>IFERROR(__xludf.DUMMYFUNCTION("""COMPUTED_VALUE"""),"fighter essence")</f>
        <v>fighter essence</v>
      </c>
      <c r="F616" s="11" t="str">
        <f>IFERROR(__xludf.DUMMYFUNCTION("""COMPUTED_VALUE"""),"psythic essence")</f>
        <v>psythic essence</v>
      </c>
      <c r="G616" s="11" t="str">
        <f>IFERROR(__xludf.DUMMYFUNCTION("""COMPUTED_VALUE"""),"punch stone")</f>
        <v>punch stone</v>
      </c>
      <c r="H616" s="11" t="str">
        <f>IFERROR(__xludf.DUMMYFUNCTION("""COMPUTED_VALUE"""),"enigma stone")</f>
        <v>enigma stone</v>
      </c>
      <c r="I616" s="11"/>
      <c r="J616" s="11"/>
      <c r="K616" s="11"/>
      <c r="L616" s="11"/>
    </row>
    <row r="617">
      <c r="A617" s="13" t="str">
        <f>IFERROR(__xludf.DUMMYFUNCTION("""COMPUTED_VALUE"""),"Shiny Medicham")</f>
        <v>Shiny Medicham</v>
      </c>
      <c r="B617" s="11" t="str">
        <f>IFERROR(__xludf.DUMMYFUNCTION("""COMPUTED_VALUE"""),"injection")</f>
        <v>injection</v>
      </c>
      <c r="C617" s="11" t="str">
        <f>IFERROR(__xludf.DUMMYFUNCTION("""COMPUTED_VALUE"""),"big enchanted gem")</f>
        <v>big enchanted gem</v>
      </c>
      <c r="D617" s="11" t="str">
        <f>IFERROR(__xludf.DUMMYFUNCTION("""COMPUTED_VALUE"""),"blue mediling")</f>
        <v>blue mediling</v>
      </c>
      <c r="E617" s="11" t="str">
        <f>IFERROR(__xludf.DUMMYFUNCTION("""COMPUTED_VALUE"""),"punch stone")</f>
        <v>punch stone</v>
      </c>
      <c r="F617" s="11" t="str">
        <f>IFERROR(__xludf.DUMMYFUNCTION("""COMPUTED_VALUE"""),"enigma stone")</f>
        <v>enigma stone</v>
      </c>
      <c r="G617" s="11" t="str">
        <f>IFERROR(__xludf.DUMMYFUNCTION("""COMPUTED_VALUE"""),"celestial fighting orb")</f>
        <v>celestial fighting orb</v>
      </c>
      <c r="H617" s="11" t="str">
        <f>IFERROR(__xludf.DUMMYFUNCTION("""COMPUTED_VALUE"""),"celestial psychic orb")</f>
        <v>celestial psychic orb</v>
      </c>
      <c r="I617" s="11"/>
      <c r="J617" s="11"/>
      <c r="K617" s="11"/>
      <c r="L617" s="11"/>
    </row>
    <row r="618">
      <c r="A618" s="13" t="str">
        <f>IFERROR(__xludf.DUMMYFUNCTION("""COMPUTED_VALUE"""),"Electrike")</f>
        <v>Electrike</v>
      </c>
      <c r="B618" s="11" t="str">
        <f>IFERROR(__xludf.DUMMYFUNCTION("""COMPUTED_VALUE"""),"electric sphere")</f>
        <v>electric sphere</v>
      </c>
      <c r="C618" s="11" t="str">
        <f>IFERROR(__xludf.DUMMYFUNCTION("""COMPUTED_VALUE"""),"green crest")</f>
        <v>green crest</v>
      </c>
      <c r="D618" s="11" t="str">
        <f>IFERROR(__xludf.DUMMYFUNCTION("""COMPUTED_VALUE"""),"electric essence")</f>
        <v>electric essence</v>
      </c>
      <c r="E618" s="11" t="str">
        <f>IFERROR(__xludf.DUMMYFUNCTION("""COMPUTED_VALUE"""),"thunder stone")</f>
        <v>thunder stone</v>
      </c>
      <c r="F618" s="11"/>
      <c r="G618" s="11"/>
      <c r="H618" s="11"/>
      <c r="I618" s="11"/>
      <c r="J618" s="11"/>
      <c r="K618" s="11"/>
      <c r="L618" s="11"/>
    </row>
    <row r="619">
      <c r="A619" s="13" t="str">
        <f>IFERROR(__xludf.DUMMYFUNCTION("""COMPUTED_VALUE"""),"Shiny Electrike")</f>
        <v>Shiny Electrike</v>
      </c>
      <c r="B619" s="11" t="str">
        <f>IFERROR(__xludf.DUMMYFUNCTION("""COMPUTED_VALUE"""),"electric sphere")</f>
        <v>electric sphere</v>
      </c>
      <c r="C619" s="11" t="str">
        <f>IFERROR(__xludf.DUMMYFUNCTION("""COMPUTED_VALUE"""),"blue crest")</f>
        <v>blue crest</v>
      </c>
      <c r="D619" s="11" t="str">
        <f>IFERROR(__xludf.DUMMYFUNCTION("""COMPUTED_VALUE"""),"thunder stone")</f>
        <v>thunder stone</v>
      </c>
      <c r="E619" s="11" t="str">
        <f>IFERROR(__xludf.DUMMYFUNCTION("""COMPUTED_VALUE"""),"mythic electric orb")</f>
        <v>mythic electric orb</v>
      </c>
      <c r="F619" s="11"/>
      <c r="G619" s="11"/>
      <c r="H619" s="11"/>
      <c r="I619" s="11"/>
      <c r="J619" s="11"/>
      <c r="K619" s="11"/>
      <c r="L619" s="11"/>
    </row>
    <row r="620">
      <c r="A620" s="13" t="str">
        <f>IFERROR(__xludf.DUMMYFUNCTION("""COMPUTED_VALUE"""),"Manectric")</f>
        <v>Manectric</v>
      </c>
      <c r="B620" s="11" t="str">
        <f>IFERROR(__xludf.DUMMYFUNCTION("""COMPUTED_VALUE"""),"electric sphere")</f>
        <v>electric sphere</v>
      </c>
      <c r="C620" s="11" t="str">
        <f>IFERROR(__xludf.DUMMYFUNCTION("""COMPUTED_VALUE"""),"shock topknot")</f>
        <v>shock topknot</v>
      </c>
      <c r="D620" s="11" t="str">
        <f>IFERROR(__xludf.DUMMYFUNCTION("""COMPUTED_VALUE"""),"electric essence")</f>
        <v>electric essence</v>
      </c>
      <c r="E620" s="11" t="str">
        <f>IFERROR(__xludf.DUMMYFUNCTION("""COMPUTED_VALUE"""),"thunder stone")</f>
        <v>thunder stone</v>
      </c>
      <c r="F620" s="11"/>
      <c r="G620" s="11"/>
      <c r="H620" s="11"/>
      <c r="I620" s="11"/>
      <c r="J620" s="11"/>
      <c r="K620" s="11"/>
      <c r="L620" s="11"/>
    </row>
    <row r="621">
      <c r="A621" s="13" t="str">
        <f>IFERROR(__xludf.DUMMYFUNCTION("""COMPUTED_VALUE"""),"Shiny Manectric")</f>
        <v>Shiny Manectric</v>
      </c>
      <c r="B621" s="11" t="str">
        <f>IFERROR(__xludf.DUMMYFUNCTION("""COMPUTED_VALUE"""),"electric sphere")</f>
        <v>electric sphere</v>
      </c>
      <c r="C621" s="11" t="str">
        <f>IFERROR(__xludf.DUMMYFUNCTION("""COMPUTED_VALUE"""),"electric black box")</f>
        <v>electric black box</v>
      </c>
      <c r="D621" s="11" t="str">
        <f>IFERROR(__xludf.DUMMYFUNCTION("""COMPUTED_VALUE"""),"thunder stone")</f>
        <v>thunder stone</v>
      </c>
      <c r="E621" s="11" t="str">
        <f>IFERROR(__xludf.DUMMYFUNCTION("""COMPUTED_VALUE"""),"celestial electric orb")</f>
        <v>celestial electric orb</v>
      </c>
      <c r="F621" s="11"/>
      <c r="G621" s="11"/>
      <c r="H621" s="11"/>
      <c r="I621" s="11"/>
      <c r="J621" s="11"/>
      <c r="K621" s="11"/>
      <c r="L621" s="11"/>
    </row>
    <row r="622">
      <c r="A622" s="13" t="str">
        <f>IFERROR(__xludf.DUMMYFUNCTION("""COMPUTED_VALUE"""),"Plusle")</f>
        <v>Plusle</v>
      </c>
      <c r="B622" s="11" t="str">
        <f>IFERROR(__xludf.DUMMYFUNCTION("""COMPUTED_VALUE"""),"electric sphere")</f>
        <v>electric sphere</v>
      </c>
      <c r="C622" s="11" t="str">
        <f>IFERROR(__xludf.DUMMYFUNCTION("""COMPUTED_VALUE"""),"positive tail")</f>
        <v>positive tail</v>
      </c>
      <c r="D622" s="11" t="str">
        <f>IFERROR(__xludf.DUMMYFUNCTION("""COMPUTED_VALUE"""),"electric essence")</f>
        <v>electric essence</v>
      </c>
      <c r="E622" s="11" t="str">
        <f>IFERROR(__xludf.DUMMYFUNCTION("""COMPUTED_VALUE"""),"thunder stone")</f>
        <v>thunder stone</v>
      </c>
      <c r="F622" s="11"/>
      <c r="G622" s="11"/>
      <c r="H622" s="11"/>
      <c r="I622" s="11"/>
      <c r="J622" s="11"/>
      <c r="K622" s="11"/>
      <c r="L622" s="11"/>
    </row>
    <row r="623">
      <c r="A623" s="13" t="str">
        <f>IFERROR(__xludf.DUMMYFUNCTION("""COMPUTED_VALUE"""),"Shiny Plusle")</f>
        <v>Shiny Plusle</v>
      </c>
      <c r="B623" s="11" t="str">
        <f>IFERROR(__xludf.DUMMYFUNCTION("""COMPUTED_VALUE"""),"electric sphere")</f>
        <v>electric sphere</v>
      </c>
      <c r="C623" s="11" t="str">
        <f>IFERROR(__xludf.DUMMYFUNCTION("""COMPUTED_VALUE"""),"whitish positive tail")</f>
        <v>whitish positive tail</v>
      </c>
      <c r="D623" s="11" t="str">
        <f>IFERROR(__xludf.DUMMYFUNCTION("""COMPUTED_VALUE"""),"thunder stone")</f>
        <v>thunder stone</v>
      </c>
      <c r="E623" s="11" t="str">
        <f>IFERROR(__xludf.DUMMYFUNCTION("""COMPUTED_VALUE"""),"mythic electric orb")</f>
        <v>mythic electric orb</v>
      </c>
      <c r="F623" s="11"/>
      <c r="G623" s="11"/>
      <c r="H623" s="11"/>
      <c r="I623" s="11"/>
      <c r="J623" s="11"/>
      <c r="K623" s="11"/>
      <c r="L623" s="11"/>
    </row>
    <row r="624">
      <c r="A624" s="13" t="str">
        <f>IFERROR(__xludf.DUMMYFUNCTION("""COMPUTED_VALUE"""),"Minun")</f>
        <v>Minun</v>
      </c>
      <c r="B624" s="11" t="str">
        <f>IFERROR(__xludf.DUMMYFUNCTION("""COMPUTED_VALUE"""),"electric sphere")</f>
        <v>electric sphere</v>
      </c>
      <c r="C624" s="11" t="str">
        <f>IFERROR(__xludf.DUMMYFUNCTION("""COMPUTED_VALUE"""),"negative tail")</f>
        <v>negative tail</v>
      </c>
      <c r="D624" s="11" t="str">
        <f>IFERROR(__xludf.DUMMYFUNCTION("""COMPUTED_VALUE"""),"electric essence")</f>
        <v>electric essence</v>
      </c>
      <c r="E624" s="11" t="str">
        <f>IFERROR(__xludf.DUMMYFUNCTION("""COMPUTED_VALUE"""),"thunder stone")</f>
        <v>thunder stone</v>
      </c>
      <c r="F624" s="11"/>
      <c r="G624" s="11"/>
      <c r="H624" s="11"/>
      <c r="I624" s="11"/>
      <c r="J624" s="11"/>
      <c r="K624" s="11"/>
      <c r="L624" s="11"/>
    </row>
    <row r="625">
      <c r="A625" s="13" t="str">
        <f>IFERROR(__xludf.DUMMYFUNCTION("""COMPUTED_VALUE"""),"Shiny Minun")</f>
        <v>Shiny Minun</v>
      </c>
      <c r="B625" s="11" t="str">
        <f>IFERROR(__xludf.DUMMYFUNCTION("""COMPUTED_VALUE"""),"electric sphere")</f>
        <v>electric sphere</v>
      </c>
      <c r="C625" s="11" t="str">
        <f>IFERROR(__xludf.DUMMYFUNCTION("""COMPUTED_VALUE"""),"green negative tail")</f>
        <v>green negative tail</v>
      </c>
      <c r="D625" s="11" t="str">
        <f>IFERROR(__xludf.DUMMYFUNCTION("""COMPUTED_VALUE"""),"thunder stone")</f>
        <v>thunder stone</v>
      </c>
      <c r="E625" s="11" t="str">
        <f>IFERROR(__xludf.DUMMYFUNCTION("""COMPUTED_VALUE"""),"mythic electric orb")</f>
        <v>mythic electric orb</v>
      </c>
      <c r="F625" s="11"/>
      <c r="G625" s="11"/>
      <c r="H625" s="11"/>
      <c r="I625" s="11"/>
      <c r="J625" s="11"/>
      <c r="K625" s="11"/>
      <c r="L625" s="11"/>
    </row>
    <row r="626">
      <c r="A626" s="13" t="str">
        <f>IFERROR(__xludf.DUMMYFUNCTION("""COMPUTED_VALUE"""),"Volbeat")</f>
        <v>Volbeat</v>
      </c>
      <c r="B626" s="11" t="str">
        <f>IFERROR(__xludf.DUMMYFUNCTION("""COMPUTED_VALUE"""),"big bug gosme")</f>
        <v>big bug gosme</v>
      </c>
      <c r="C626" s="11" t="str">
        <f>IFERROR(__xludf.DUMMYFUNCTION("""COMPUTED_VALUE"""),"firefly wings")</f>
        <v>firefly wings</v>
      </c>
      <c r="D626" s="11" t="str">
        <f>IFERROR(__xludf.DUMMYFUNCTION("""COMPUTED_VALUE"""),"bug essence")</f>
        <v>bug essence</v>
      </c>
      <c r="E626" s="11" t="str">
        <f>IFERROR(__xludf.DUMMYFUNCTION("""COMPUTED_VALUE"""),"cocoon stone")</f>
        <v>cocoon stone</v>
      </c>
      <c r="F626" s="11"/>
      <c r="G626" s="11"/>
      <c r="H626" s="11"/>
      <c r="I626" s="11"/>
      <c r="J626" s="11"/>
      <c r="K626" s="11"/>
      <c r="L626" s="11"/>
    </row>
    <row r="627">
      <c r="A627" s="13" t="str">
        <f>IFERROR(__xludf.DUMMYFUNCTION("""COMPUTED_VALUE"""),"Shiny Volbeat")</f>
        <v>Shiny Volbeat</v>
      </c>
      <c r="B627" s="11" t="str">
        <f>IFERROR(__xludf.DUMMYFUNCTION("""COMPUTED_VALUE"""),"big bug gosme")</f>
        <v>big bug gosme</v>
      </c>
      <c r="C627" s="11" t="str">
        <f>IFERROR(__xludf.DUMMYFUNCTION("""COMPUTED_VALUE"""),"blue firefly wings")</f>
        <v>blue firefly wings</v>
      </c>
      <c r="D627" s="11" t="str">
        <f>IFERROR(__xludf.DUMMYFUNCTION("""COMPUTED_VALUE"""),"cocoon stone")</f>
        <v>cocoon stone</v>
      </c>
      <c r="E627" s="11" t="str">
        <f>IFERROR(__xludf.DUMMYFUNCTION("""COMPUTED_VALUE"""),"mythic bug orb")</f>
        <v>mythic bug orb</v>
      </c>
      <c r="F627" s="11"/>
      <c r="G627" s="11"/>
      <c r="H627" s="11"/>
      <c r="I627" s="11"/>
      <c r="J627" s="11"/>
      <c r="K627" s="11"/>
      <c r="L627" s="11"/>
    </row>
    <row r="628">
      <c r="A628" s="13" t="str">
        <f>IFERROR(__xludf.DUMMYFUNCTION("""COMPUTED_VALUE"""),"Illumise")</f>
        <v>Illumise</v>
      </c>
      <c r="B628" s="11" t="str">
        <f>IFERROR(__xludf.DUMMYFUNCTION("""COMPUTED_VALUE"""),"big bug gosme")</f>
        <v>big bug gosme</v>
      </c>
      <c r="C628" s="11" t="str">
        <f>IFERROR(__xludf.DUMMYFUNCTION("""COMPUTED_VALUE"""),"firefly wig")</f>
        <v>firefly wig</v>
      </c>
      <c r="D628" s="11" t="str">
        <f>IFERROR(__xludf.DUMMYFUNCTION("""COMPUTED_VALUE"""),"bug essence")</f>
        <v>bug essence</v>
      </c>
      <c r="E628" s="11" t="str">
        <f>IFERROR(__xludf.DUMMYFUNCTION("""COMPUTED_VALUE"""),"cocoon stone")</f>
        <v>cocoon stone</v>
      </c>
      <c r="F628" s="11"/>
      <c r="G628" s="11"/>
      <c r="H628" s="11"/>
      <c r="I628" s="11"/>
      <c r="J628" s="11"/>
      <c r="K628" s="11"/>
      <c r="L628" s="11"/>
    </row>
    <row r="629">
      <c r="A629" s="13" t="str">
        <f>IFERROR(__xludf.DUMMYFUNCTION("""COMPUTED_VALUE"""),"Shiny Illumise")</f>
        <v>Shiny Illumise</v>
      </c>
      <c r="B629" s="11" t="str">
        <f>IFERROR(__xludf.DUMMYFUNCTION("""COMPUTED_VALUE"""),"big bug gosme")</f>
        <v>big bug gosme</v>
      </c>
      <c r="C629" s="11" t="str">
        <f>IFERROR(__xludf.DUMMYFUNCTION("""COMPUTED_VALUE"""),"yellowish firefly wig")</f>
        <v>yellowish firefly wig</v>
      </c>
      <c r="D629" s="11" t="str">
        <f>IFERROR(__xludf.DUMMYFUNCTION("""COMPUTED_VALUE"""),"cocoon stone")</f>
        <v>cocoon stone</v>
      </c>
      <c r="E629" s="11" t="str">
        <f>IFERROR(__xludf.DUMMYFUNCTION("""COMPUTED_VALUE"""),"mythic bug orb")</f>
        <v>mythic bug orb</v>
      </c>
      <c r="F629" s="11"/>
      <c r="G629" s="11"/>
      <c r="H629" s="11"/>
      <c r="I629" s="11"/>
      <c r="J629" s="11"/>
      <c r="K629" s="11"/>
      <c r="L629" s="11"/>
    </row>
    <row r="630">
      <c r="A630" s="13" t="str">
        <f>IFERROR(__xludf.DUMMYFUNCTION("""COMPUTED_VALUE"""),"Roselia")</f>
        <v>Roselia</v>
      </c>
      <c r="B630" s="11" t="str">
        <f>IFERROR(__xludf.DUMMYFUNCTION("""COMPUTED_VALUE"""),"pile of seeds")</f>
        <v>pile of seeds</v>
      </c>
      <c r="C630" s="11" t="str">
        <f>IFERROR(__xludf.DUMMYFUNCTION("""COMPUTED_VALUE"""),"big poison bottle")</f>
        <v>big poison bottle</v>
      </c>
      <c r="D630" s="11" t="str">
        <f>IFERROR(__xludf.DUMMYFUNCTION("""COMPUTED_VALUE"""),"rose leaf")</f>
        <v>rose leaf</v>
      </c>
      <c r="E630" s="11" t="str">
        <f>IFERROR(__xludf.DUMMYFUNCTION("""COMPUTED_VALUE"""),"poison essence")</f>
        <v>poison essence</v>
      </c>
      <c r="F630" s="11" t="str">
        <f>IFERROR(__xludf.DUMMYFUNCTION("""COMPUTED_VALUE"""),"grass essence")</f>
        <v>grass essence</v>
      </c>
      <c r="G630" s="11" t="str">
        <f>IFERROR(__xludf.DUMMYFUNCTION("""COMPUTED_VALUE"""),"leaf stone")</f>
        <v>leaf stone</v>
      </c>
      <c r="H630" s="11" t="str">
        <f>IFERROR(__xludf.DUMMYFUNCTION("""COMPUTED_VALUE"""),"venom stone")</f>
        <v>venom stone</v>
      </c>
      <c r="I630" s="11"/>
      <c r="J630" s="11"/>
      <c r="K630" s="11"/>
      <c r="L630" s="11"/>
    </row>
    <row r="631">
      <c r="A631" s="13" t="str">
        <f>IFERROR(__xludf.DUMMYFUNCTION("""COMPUTED_VALUE"""),"Shiny Roselia")</f>
        <v>Shiny Roselia</v>
      </c>
      <c r="B631" s="11" t="str">
        <f>IFERROR(__xludf.DUMMYFUNCTION("""COMPUTED_VALUE"""),"pile of seeds")</f>
        <v>pile of seeds</v>
      </c>
      <c r="C631" s="11" t="str">
        <f>IFERROR(__xludf.DUMMYFUNCTION("""COMPUTED_VALUE"""),"big poison bottle")</f>
        <v>big poison bottle</v>
      </c>
      <c r="D631" s="11" t="str">
        <f>IFERROR(__xludf.DUMMYFUNCTION("""COMPUTED_VALUE"""),"black leaf")</f>
        <v>black leaf</v>
      </c>
      <c r="E631" s="11" t="str">
        <f>IFERROR(__xludf.DUMMYFUNCTION("""COMPUTED_VALUE"""),"leaf stone")</f>
        <v>leaf stone</v>
      </c>
      <c r="F631" s="11" t="str">
        <f>IFERROR(__xludf.DUMMYFUNCTION("""COMPUTED_VALUE"""),"venom stone")</f>
        <v>venom stone</v>
      </c>
      <c r="G631" s="11" t="str">
        <f>IFERROR(__xludf.DUMMYFUNCTION("""COMPUTED_VALUE"""),"celestial grass orb")</f>
        <v>celestial grass orb</v>
      </c>
      <c r="H631" s="11"/>
      <c r="I631" s="11"/>
      <c r="J631" s="11"/>
      <c r="K631" s="11"/>
      <c r="L631" s="11"/>
    </row>
    <row r="632">
      <c r="A632" s="13" t="str">
        <f>IFERROR(__xludf.DUMMYFUNCTION("""COMPUTED_VALUE"""),"Gulpin")</f>
        <v>Gulpin</v>
      </c>
      <c r="B632" s="11" t="str">
        <f>IFERROR(__xludf.DUMMYFUNCTION("""COMPUTED_VALUE"""),"big poison bottle")</f>
        <v>big poison bottle</v>
      </c>
      <c r="C632" s="11" t="str">
        <f>IFERROR(__xludf.DUMMYFUNCTION("""COMPUTED_VALUE"""),"toxic thing")</f>
        <v>toxic thing</v>
      </c>
      <c r="D632" s="11" t="str">
        <f>IFERROR(__xludf.DUMMYFUNCTION("""COMPUTED_VALUE"""),"poison essence")</f>
        <v>poison essence</v>
      </c>
      <c r="E632" s="11" t="str">
        <f>IFERROR(__xludf.DUMMYFUNCTION("""COMPUTED_VALUE"""),"venom stone")</f>
        <v>venom stone</v>
      </c>
      <c r="F632" s="11"/>
      <c r="G632" s="11"/>
      <c r="H632" s="11"/>
      <c r="I632" s="11"/>
      <c r="J632" s="11"/>
      <c r="K632" s="11"/>
      <c r="L632" s="11"/>
    </row>
    <row r="633">
      <c r="A633" s="13" t="str">
        <f>IFERROR(__xludf.DUMMYFUNCTION("""COMPUTED_VALUE"""),"Shiny Gulpin")</f>
        <v>Shiny Gulpin</v>
      </c>
      <c r="B633" s="11" t="str">
        <f>IFERROR(__xludf.DUMMYFUNCTION("""COMPUTED_VALUE"""),"big poison bottle")</f>
        <v>big poison bottle</v>
      </c>
      <c r="C633" s="11" t="str">
        <f>IFERROR(__xludf.DUMMYFUNCTION("""COMPUTED_VALUE"""),"toxic green thing")</f>
        <v>toxic green thing</v>
      </c>
      <c r="D633" s="11" t="str">
        <f>IFERROR(__xludf.DUMMYFUNCTION("""COMPUTED_VALUE"""),"venom stone")</f>
        <v>venom stone</v>
      </c>
      <c r="E633" s="11" t="str">
        <f>IFERROR(__xludf.DUMMYFUNCTION("""COMPUTED_VALUE"""),"mythic poison orb")</f>
        <v>mythic poison orb</v>
      </c>
      <c r="F633" s="11"/>
      <c r="G633" s="11"/>
      <c r="H633" s="11"/>
      <c r="I633" s="11"/>
      <c r="J633" s="11"/>
      <c r="K633" s="11"/>
      <c r="L633" s="11"/>
    </row>
    <row r="634">
      <c r="A634" s="13" t="str">
        <f>IFERROR(__xludf.DUMMYFUNCTION("""COMPUTED_VALUE"""),"Swalot")</f>
        <v>Swalot</v>
      </c>
      <c r="B634" s="11" t="str">
        <f>IFERROR(__xludf.DUMMYFUNCTION("""COMPUTED_VALUE"""),"big poison bottle")</f>
        <v>big poison bottle</v>
      </c>
      <c r="C634" s="11" t="str">
        <f>IFERROR(__xludf.DUMMYFUNCTION("""COMPUTED_VALUE"""),"toxic mustache")</f>
        <v>toxic mustache</v>
      </c>
      <c r="D634" s="11" t="str">
        <f>IFERROR(__xludf.DUMMYFUNCTION("""COMPUTED_VALUE"""),"poison esence")</f>
        <v>poison esence</v>
      </c>
      <c r="E634" s="11" t="str">
        <f>IFERROR(__xludf.DUMMYFUNCTION("""COMPUTED_VALUE"""),"venom stone")</f>
        <v>venom stone</v>
      </c>
      <c r="F634" s="11"/>
      <c r="G634" s="11"/>
      <c r="H634" s="11"/>
      <c r="I634" s="11"/>
      <c r="J634" s="11"/>
      <c r="K634" s="11"/>
      <c r="L634" s="11"/>
    </row>
    <row r="635">
      <c r="A635" s="13" t="str">
        <f>IFERROR(__xludf.DUMMYFUNCTION("""COMPUTED_VALUE"""),"Shiny Swalot")</f>
        <v>Shiny Swalot</v>
      </c>
      <c r="B635" s="11" t="str">
        <f>IFERROR(__xludf.DUMMYFUNCTION("""COMPUTED_VALUE"""),"big poison bottle")</f>
        <v>big poison bottle</v>
      </c>
      <c r="C635" s="11" t="str">
        <f>IFERROR(__xludf.DUMMYFUNCTION("""COMPUTED_VALUE"""),"toxic mouth")</f>
        <v>toxic mouth</v>
      </c>
      <c r="D635" s="11" t="str">
        <f>IFERROR(__xludf.DUMMYFUNCTION("""COMPUTED_VALUE"""),"venom stone")</f>
        <v>venom stone</v>
      </c>
      <c r="E635" s="11" t="str">
        <f>IFERROR(__xludf.DUMMYFUNCTION("""COMPUTED_VALUE"""),"celestial poison orb")</f>
        <v>celestial poison orb</v>
      </c>
      <c r="F635" s="11"/>
      <c r="G635" s="11"/>
      <c r="H635" s="11"/>
      <c r="I635" s="11"/>
      <c r="J635" s="11"/>
      <c r="K635" s="11"/>
      <c r="L635" s="11"/>
    </row>
    <row r="636">
      <c r="A636" s="13" t="str">
        <f>IFERROR(__xludf.DUMMYFUNCTION("""COMPUTED_VALUE"""),"Carvanha")</f>
        <v>Carvanha</v>
      </c>
      <c r="B636" s="11" t="str">
        <f>IFERROR(__xludf.DUMMYFUNCTION("""COMPUTED_VALUE"""),"solid water gem")</f>
        <v>solid water gem</v>
      </c>
      <c r="C636" s="11" t="str">
        <f>IFERROR(__xludf.DUMMYFUNCTION("""COMPUTED_VALUE"""),"solid dark gem")</f>
        <v>solid dark gem</v>
      </c>
      <c r="D636" s="11" t="str">
        <f>IFERROR(__xludf.DUMMYFUNCTION("""COMPUTED_VALUE"""),"savage fin")</f>
        <v>savage fin</v>
      </c>
      <c r="E636" s="11" t="str">
        <f>IFERROR(__xludf.DUMMYFUNCTION("""COMPUTED_VALUE"""),"dark essence")</f>
        <v>dark essence</v>
      </c>
      <c r="F636" s="11" t="str">
        <f>IFERROR(__xludf.DUMMYFUNCTION("""COMPUTED_VALUE"""),"water essence")</f>
        <v>water essence</v>
      </c>
      <c r="G636" s="11" t="str">
        <f>IFERROR(__xludf.DUMMYFUNCTION("""COMPUTED_VALUE"""),"water stone")</f>
        <v>water stone</v>
      </c>
      <c r="H636" s="11" t="str">
        <f>IFERROR(__xludf.DUMMYFUNCTION("""COMPUTED_VALUE"""),"darkness stone")</f>
        <v>darkness stone</v>
      </c>
      <c r="I636" s="11"/>
      <c r="J636" s="11"/>
      <c r="K636" s="11"/>
      <c r="L636" s="11"/>
    </row>
    <row r="637">
      <c r="A637" s="13" t="str">
        <f>IFERROR(__xludf.DUMMYFUNCTION("""COMPUTED_VALUE"""),"Shiny Carvanha")</f>
        <v>Shiny Carvanha</v>
      </c>
      <c r="B637" s="11" t="str">
        <f>IFERROR(__xludf.DUMMYFUNCTION("""COMPUTED_VALUE"""),"solid water gem")</f>
        <v>solid water gem</v>
      </c>
      <c r="C637" s="11" t="str">
        <f>IFERROR(__xludf.DUMMYFUNCTION("""COMPUTED_VALUE"""),"solid dark gem")</f>
        <v>solid dark gem</v>
      </c>
      <c r="D637" s="11" t="str">
        <f>IFERROR(__xludf.DUMMYFUNCTION("""COMPUTED_VALUE"""),"purple savage fin")</f>
        <v>purple savage fin</v>
      </c>
      <c r="E637" s="11" t="str">
        <f>IFERROR(__xludf.DUMMYFUNCTION("""COMPUTED_VALUE"""),"water stone")</f>
        <v>water stone</v>
      </c>
      <c r="F637" s="11" t="str">
        <f>IFERROR(__xludf.DUMMYFUNCTION("""COMPUTED_VALUE"""),"darkness stone")</f>
        <v>darkness stone</v>
      </c>
      <c r="G637" s="11" t="str">
        <f>IFERROR(__xludf.DUMMYFUNCTION("""COMPUTED_VALUE"""),"mythic water orb")</f>
        <v>mythic water orb</v>
      </c>
      <c r="H637" s="11"/>
      <c r="I637" s="11"/>
      <c r="J637" s="11"/>
      <c r="K637" s="11"/>
      <c r="L637" s="11"/>
    </row>
    <row r="638">
      <c r="A638" s="13" t="str">
        <f>IFERROR(__xludf.DUMMYFUNCTION("""COMPUTED_VALUE"""),"Sharpedo")</f>
        <v>Sharpedo</v>
      </c>
      <c r="B638" s="11" t="str">
        <f>IFERROR(__xludf.DUMMYFUNCTION("""COMPUTED_VALUE"""),"solid water gem")</f>
        <v>solid water gem</v>
      </c>
      <c r="C638" s="11" t="str">
        <f>IFERROR(__xludf.DUMMYFUNCTION("""COMPUTED_VALUE"""),"solid dark gem")</f>
        <v>solid dark gem</v>
      </c>
      <c r="D638" s="11" t="str">
        <f>IFERROR(__xludf.DUMMYFUNCTION("""COMPUTED_VALUE"""),"brutal fin")</f>
        <v>brutal fin</v>
      </c>
      <c r="E638" s="11" t="str">
        <f>IFERROR(__xludf.DUMMYFUNCTION("""COMPUTED_VALUE"""),"dark essence")</f>
        <v>dark essence</v>
      </c>
      <c r="F638" s="11" t="str">
        <f>IFERROR(__xludf.DUMMYFUNCTION("""COMPUTED_VALUE"""),"water essence")</f>
        <v>water essence</v>
      </c>
      <c r="G638" s="11" t="str">
        <f>IFERROR(__xludf.DUMMYFUNCTION("""COMPUTED_VALUE"""),"water stone")</f>
        <v>water stone</v>
      </c>
      <c r="H638" s="11" t="str">
        <f>IFERROR(__xludf.DUMMYFUNCTION("""COMPUTED_VALUE"""),"darkness stone")</f>
        <v>darkness stone</v>
      </c>
      <c r="I638" s="11"/>
      <c r="J638" s="11"/>
      <c r="K638" s="11"/>
      <c r="L638" s="11"/>
    </row>
    <row r="639">
      <c r="A639" s="13" t="str">
        <f>IFERROR(__xludf.DUMMYFUNCTION("""COMPUTED_VALUE"""),"Shiny Sharpedo")</f>
        <v>Shiny Sharpedo</v>
      </c>
      <c r="B639" s="11" t="str">
        <f>IFERROR(__xludf.DUMMYFUNCTION("""COMPUTED_VALUE"""),"solid water gem")</f>
        <v>solid water gem</v>
      </c>
      <c r="C639" s="11" t="str">
        <f>IFERROR(__xludf.DUMMYFUNCTION("""COMPUTED_VALUE"""),"solid dark gem")</f>
        <v>solid dark gem</v>
      </c>
      <c r="D639" s="11" t="str">
        <f>IFERROR(__xludf.DUMMYFUNCTION("""COMPUTED_VALUE"""),"purple brutal fin")</f>
        <v>purple brutal fin</v>
      </c>
      <c r="E639" s="11" t="str">
        <f>IFERROR(__xludf.DUMMYFUNCTION("""COMPUTED_VALUE"""),"water stone")</f>
        <v>water stone</v>
      </c>
      <c r="F639" s="11" t="str">
        <f>IFERROR(__xludf.DUMMYFUNCTION("""COMPUTED_VALUE"""),"darkness stone")</f>
        <v>darkness stone</v>
      </c>
      <c r="G639" s="11" t="str">
        <f>IFERROR(__xludf.DUMMYFUNCTION("""COMPUTED_VALUE"""),"celestial water orb")</f>
        <v>celestial water orb</v>
      </c>
      <c r="H639" s="11"/>
      <c r="I639" s="11"/>
      <c r="J639" s="11"/>
      <c r="K639" s="11"/>
      <c r="L639" s="11"/>
    </row>
    <row r="640">
      <c r="A640" s="13" t="str">
        <f>IFERROR(__xludf.DUMMYFUNCTION("""COMPUTED_VALUE"""),"Wailmer")</f>
        <v>Wailmer</v>
      </c>
      <c r="B640" s="11" t="str">
        <f>IFERROR(__xludf.DUMMYFUNCTION("""COMPUTED_VALUE"""),"solid water gem")</f>
        <v>solid water gem</v>
      </c>
      <c r="C640" s="11" t="str">
        <f>IFERROR(__xludf.DUMMYFUNCTION("""COMPUTED_VALUE"""),"whale fin")</f>
        <v>whale fin</v>
      </c>
      <c r="D640" s="11" t="str">
        <f>IFERROR(__xludf.DUMMYFUNCTION("""COMPUTED_VALUE"""),"water essence")</f>
        <v>water essence</v>
      </c>
      <c r="E640" s="11" t="str">
        <f>IFERROR(__xludf.DUMMYFUNCTION("""COMPUTED_VALUE"""),"water stone")</f>
        <v>water stone</v>
      </c>
      <c r="F640" s="11"/>
      <c r="G640" s="11"/>
      <c r="H640" s="11"/>
      <c r="I640" s="11"/>
      <c r="J640" s="11"/>
      <c r="K640" s="11"/>
      <c r="L640" s="11"/>
    </row>
    <row r="641">
      <c r="A641" s="13" t="str">
        <f>IFERROR(__xludf.DUMMYFUNCTION("""COMPUTED_VALUE"""),"Shiny Wailmer")</f>
        <v>Shiny Wailmer</v>
      </c>
      <c r="B641" s="11" t="str">
        <f>IFERROR(__xludf.DUMMYFUNCTION("""COMPUTED_VALUE"""),"solid water gem")</f>
        <v>solid water gem</v>
      </c>
      <c r="C641" s="11" t="str">
        <f>IFERROR(__xludf.DUMMYFUNCTION("""COMPUTED_VALUE"""),"purple whale fin")</f>
        <v>purple whale fin</v>
      </c>
      <c r="D641" s="11" t="str">
        <f>IFERROR(__xludf.DUMMYFUNCTION("""COMPUTED_VALUE"""),"water stone")</f>
        <v>water stone</v>
      </c>
      <c r="E641" s="11" t="str">
        <f>IFERROR(__xludf.DUMMYFUNCTION("""COMPUTED_VALUE"""),"mythic water orb")</f>
        <v>mythic water orb</v>
      </c>
      <c r="F641" s="11"/>
      <c r="G641" s="11"/>
      <c r="H641" s="11"/>
      <c r="I641" s="11"/>
      <c r="J641" s="11"/>
      <c r="K641" s="11"/>
      <c r="L641" s="11"/>
    </row>
    <row r="642">
      <c r="A642" s="13" t="str">
        <f>IFERROR(__xludf.DUMMYFUNCTION("""COMPUTED_VALUE"""),"Wailord")</f>
        <v>Wailord</v>
      </c>
      <c r="B642" s="11" t="str">
        <f>IFERROR(__xludf.DUMMYFUNCTION("""COMPUTED_VALUE"""),"solid water gem")</f>
        <v>solid water gem</v>
      </c>
      <c r="C642" s="11" t="str">
        <f>IFERROR(__xludf.DUMMYFUNCTION("""COMPUTED_VALUE"""),"big whale fin")</f>
        <v>big whale fin</v>
      </c>
      <c r="D642" s="11" t="str">
        <f>IFERROR(__xludf.DUMMYFUNCTION("""COMPUTED_VALUE"""),"water essence")</f>
        <v>water essence</v>
      </c>
      <c r="E642" s="11" t="str">
        <f>IFERROR(__xludf.DUMMYFUNCTION("""COMPUTED_VALUE"""),"water stone")</f>
        <v>water stone</v>
      </c>
      <c r="F642" s="11"/>
      <c r="G642" s="11"/>
      <c r="H642" s="11"/>
      <c r="I642" s="11"/>
      <c r="J642" s="11"/>
      <c r="K642" s="11"/>
      <c r="L642" s="11"/>
    </row>
    <row r="643">
      <c r="A643" s="13" t="str">
        <f>IFERROR(__xludf.DUMMYFUNCTION("""COMPUTED_VALUE"""),"Shiny Wailord")</f>
        <v>Shiny Wailord</v>
      </c>
      <c r="B643" s="11" t="str">
        <f>IFERROR(__xludf.DUMMYFUNCTION("""COMPUTED_VALUE"""),"solid water gem")</f>
        <v>solid water gem</v>
      </c>
      <c r="C643" s="11" t="str">
        <f>IFERROR(__xludf.DUMMYFUNCTION("""COMPUTED_VALUE"""),"purple big whale fin")</f>
        <v>purple big whale fin</v>
      </c>
      <c r="D643" s="11" t="str">
        <f>IFERROR(__xludf.DUMMYFUNCTION("""COMPUTED_VALUE"""),"water stone")</f>
        <v>water stone</v>
      </c>
      <c r="E643" s="11" t="str">
        <f>IFERROR(__xludf.DUMMYFUNCTION("""COMPUTED_VALUE"""),"celestial water orb")</f>
        <v>celestial water orb</v>
      </c>
      <c r="F643" s="11"/>
      <c r="G643" s="11"/>
      <c r="H643" s="11"/>
      <c r="I643" s="11"/>
      <c r="J643" s="11"/>
      <c r="K643" s="11"/>
      <c r="L643" s="11"/>
    </row>
    <row r="644">
      <c r="A644" s="13" t="str">
        <f>IFERROR(__xludf.DUMMYFUNCTION("""COMPUTED_VALUE"""),"Numel")</f>
        <v>Numel</v>
      </c>
      <c r="B644" s="11" t="str">
        <f>IFERROR(__xludf.DUMMYFUNCTION("""COMPUTED_VALUE"""),"compressed fire")</f>
        <v>compressed fire</v>
      </c>
      <c r="C644" s="11" t="str">
        <f>IFERROR(__xludf.DUMMYFUNCTION("""COMPUTED_VALUE"""),"solid earth piece")</f>
        <v>solid earth piece</v>
      </c>
      <c r="D644" s="11" t="str">
        <f>IFERROR(__xludf.DUMMYFUNCTION("""COMPUTED_VALUE"""),"nu ball")</f>
        <v>nu ball</v>
      </c>
      <c r="E644" s="11" t="str">
        <f>IFERROR(__xludf.DUMMYFUNCTION("""COMPUTED_VALUE"""),"ground essence")</f>
        <v>ground essence</v>
      </c>
      <c r="F644" s="11" t="str">
        <f>IFERROR(__xludf.DUMMYFUNCTION("""COMPUTED_VALUE"""),"fire essence")</f>
        <v>fire essence</v>
      </c>
      <c r="G644" s="11" t="str">
        <f>IFERROR(__xludf.DUMMYFUNCTION("""COMPUTED_VALUE"""),"fire stone")</f>
        <v>fire stone</v>
      </c>
      <c r="H644" s="11" t="str">
        <f>IFERROR(__xludf.DUMMYFUNCTION("""COMPUTED_VALUE"""),"earth stone")</f>
        <v>earth stone</v>
      </c>
      <c r="I644" s="11"/>
      <c r="J644" s="11"/>
      <c r="K644" s="11"/>
      <c r="L644" s="11"/>
    </row>
    <row r="645">
      <c r="A645" s="13" t="str">
        <f>IFERROR(__xludf.DUMMYFUNCTION("""COMPUTED_VALUE"""),"Shiny Numel")</f>
        <v>Shiny Numel</v>
      </c>
      <c r="B645" s="11" t="str">
        <f>IFERROR(__xludf.DUMMYFUNCTION("""COMPUTED_VALUE"""),"compressed fire")</f>
        <v>compressed fire</v>
      </c>
      <c r="C645" s="11" t="str">
        <f>IFERROR(__xludf.DUMMYFUNCTION("""COMPUTED_VALUE"""),"solid earth piece")</f>
        <v>solid earth piece</v>
      </c>
      <c r="D645" s="11" t="str">
        <f>IFERROR(__xludf.DUMMYFUNCTION("""COMPUTED_VALUE"""),"black nu ball")</f>
        <v>black nu ball</v>
      </c>
      <c r="E645" s="11" t="str">
        <f>IFERROR(__xludf.DUMMYFUNCTION("""COMPUTED_VALUE"""),"fire stone")</f>
        <v>fire stone</v>
      </c>
      <c r="F645" s="11" t="str">
        <f>IFERROR(__xludf.DUMMYFUNCTION("""COMPUTED_VALUE"""),"earth stone")</f>
        <v>earth stone</v>
      </c>
      <c r="G645" s="11" t="str">
        <f>IFERROR(__xludf.DUMMYFUNCTION("""COMPUTED_VALUE"""),"mythic fire orb")</f>
        <v>mythic fire orb</v>
      </c>
      <c r="H645" s="11"/>
      <c r="I645" s="11"/>
      <c r="J645" s="11"/>
      <c r="K645" s="11"/>
      <c r="L645" s="11"/>
    </row>
    <row r="646">
      <c r="A646" s="13" t="str">
        <f>IFERROR(__xludf.DUMMYFUNCTION("""COMPUTED_VALUE"""),"Camerupt")</f>
        <v>Camerupt</v>
      </c>
      <c r="B646" s="11" t="str">
        <f>IFERROR(__xludf.DUMMYFUNCTION("""COMPUTED_VALUE"""),"compressed fire")</f>
        <v>compressed fire</v>
      </c>
      <c r="C646" s="11" t="str">
        <f>IFERROR(__xludf.DUMMYFUNCTION("""COMPUTED_VALUE"""),"solid earth piece")</f>
        <v>solid earth piece</v>
      </c>
      <c r="D646" s="11" t="str">
        <f>IFERROR(__xludf.DUMMYFUNCTION("""COMPUTED_VALUE"""),"mini volcano")</f>
        <v>mini volcano</v>
      </c>
      <c r="E646" s="11" t="str">
        <f>IFERROR(__xludf.DUMMYFUNCTION("""COMPUTED_VALUE"""),"ground essence")</f>
        <v>ground essence</v>
      </c>
      <c r="F646" s="11" t="str">
        <f>IFERROR(__xludf.DUMMYFUNCTION("""COMPUTED_VALUE"""),"fire essence")</f>
        <v>fire essence</v>
      </c>
      <c r="G646" s="11" t="str">
        <f>IFERROR(__xludf.DUMMYFUNCTION("""COMPUTED_VALUE"""),"fire stone")</f>
        <v>fire stone</v>
      </c>
      <c r="H646" s="11" t="str">
        <f>IFERROR(__xludf.DUMMYFUNCTION("""COMPUTED_VALUE"""),"earth stone")</f>
        <v>earth stone</v>
      </c>
      <c r="I646" s="11"/>
      <c r="J646" s="11"/>
      <c r="K646" s="11"/>
      <c r="L646" s="11"/>
    </row>
    <row r="647">
      <c r="A647" s="13" t="str">
        <f>IFERROR(__xludf.DUMMYFUNCTION("""COMPUTED_VALUE"""),"Shiny Camerupt")</f>
        <v>Shiny Camerupt</v>
      </c>
      <c r="B647" s="11" t="str">
        <f>IFERROR(__xludf.DUMMYFUNCTION("""COMPUTED_VALUE"""),"compressed fire")</f>
        <v>compressed fire</v>
      </c>
      <c r="C647" s="11" t="str">
        <f>IFERROR(__xludf.DUMMYFUNCTION("""COMPUTED_VALUE"""),"solid earth piece")</f>
        <v>solid earth piece</v>
      </c>
      <c r="D647" s="11" t="str">
        <f>IFERROR(__xludf.DUMMYFUNCTION("""COMPUTED_VALUE"""),"bluish mini volcano")</f>
        <v>bluish mini volcano</v>
      </c>
      <c r="E647" s="11" t="str">
        <f>IFERROR(__xludf.DUMMYFUNCTION("""COMPUTED_VALUE"""),"fire stone")</f>
        <v>fire stone</v>
      </c>
      <c r="F647" s="11" t="str">
        <f>IFERROR(__xludf.DUMMYFUNCTION("""COMPUTED_VALUE"""),"earth stone")</f>
        <v>earth stone</v>
      </c>
      <c r="G647" s="11" t="str">
        <f>IFERROR(__xludf.DUMMYFUNCTION("""COMPUTED_VALUE"""),"celestial fire orb")</f>
        <v>celestial fire orb</v>
      </c>
      <c r="H647" s="11"/>
      <c r="I647" s="11"/>
      <c r="J647" s="11"/>
      <c r="K647" s="11"/>
      <c r="L647" s="11"/>
    </row>
    <row r="648">
      <c r="A648" s="13" t="str">
        <f>IFERROR(__xludf.DUMMYFUNCTION("""COMPUTED_VALUE"""),"Torkoal")</f>
        <v>Torkoal</v>
      </c>
      <c r="B648" s="11" t="str">
        <f>IFERROR(__xludf.DUMMYFUNCTION("""COMPUTED_VALUE"""),"compressed fire")</f>
        <v>compressed fire</v>
      </c>
      <c r="C648" s="11" t="str">
        <f>IFERROR(__xludf.DUMMYFUNCTION("""COMPUTED_VALUE"""),"black hull")</f>
        <v>black hull</v>
      </c>
      <c r="D648" s="11" t="str">
        <f>IFERROR(__xludf.DUMMYFUNCTION("""COMPUTED_VALUE"""),"fire essence")</f>
        <v>fire essence</v>
      </c>
      <c r="E648" s="11" t="str">
        <f>IFERROR(__xludf.DUMMYFUNCTION("""COMPUTED_VALUE"""),"fire stone")</f>
        <v>fire stone</v>
      </c>
      <c r="F648" s="11"/>
      <c r="G648" s="11"/>
      <c r="H648" s="11"/>
      <c r="I648" s="11"/>
      <c r="J648" s="11"/>
      <c r="K648" s="11"/>
      <c r="L648" s="11"/>
    </row>
    <row r="649">
      <c r="A649" s="13" t="str">
        <f>IFERROR(__xludf.DUMMYFUNCTION("""COMPUTED_VALUE"""),"Shiny Torkoal")</f>
        <v>Shiny Torkoal</v>
      </c>
      <c r="B649" s="11" t="str">
        <f>IFERROR(__xludf.DUMMYFUNCTION("""COMPUTED_VALUE"""),"compressed fire")</f>
        <v>compressed fire</v>
      </c>
      <c r="C649" s="11" t="str">
        <f>IFERROR(__xludf.DUMMYFUNCTION("""COMPUTED_VALUE"""),"yellow hull")</f>
        <v>yellow hull</v>
      </c>
      <c r="D649" s="11" t="str">
        <f>IFERROR(__xludf.DUMMYFUNCTION("""COMPUTED_VALUE"""),"fire stone")</f>
        <v>fire stone</v>
      </c>
      <c r="E649" s="11" t="str">
        <f>IFERROR(__xludf.DUMMYFUNCTION("""COMPUTED_VALUE"""),"celestial fire orb")</f>
        <v>celestial fire orb</v>
      </c>
      <c r="F649" s="11"/>
      <c r="G649" s="11"/>
      <c r="H649" s="11"/>
      <c r="I649" s="11"/>
      <c r="J649" s="11"/>
      <c r="K649" s="11"/>
      <c r="L649" s="11"/>
    </row>
    <row r="650">
      <c r="A650" s="13" t="str">
        <f>IFERROR(__xludf.DUMMYFUNCTION("""COMPUTED_VALUE"""),"Spoink")</f>
        <v>Spoink</v>
      </c>
      <c r="B650" s="11" t="str">
        <f>IFERROR(__xludf.DUMMYFUNCTION("""COMPUTED_VALUE"""),"big enchanted gem")</f>
        <v>big enchanted gem</v>
      </c>
      <c r="C650" s="11" t="str">
        <f>IFERROR(__xludf.DUMMYFUNCTION("""COMPUTED_VALUE"""),"spring tail")</f>
        <v>spring tail</v>
      </c>
      <c r="D650" s="11" t="str">
        <f>IFERROR(__xludf.DUMMYFUNCTION("""COMPUTED_VALUE"""),"psychic essence")</f>
        <v>psychic essence</v>
      </c>
      <c r="E650" s="11" t="str">
        <f>IFERROR(__xludf.DUMMYFUNCTION("""COMPUTED_VALUE"""),"enigma stone")</f>
        <v>enigma stone</v>
      </c>
      <c r="F650" s="11"/>
      <c r="G650" s="11"/>
      <c r="H650" s="11"/>
      <c r="I650" s="11"/>
      <c r="J650" s="11"/>
      <c r="K650" s="11"/>
      <c r="L650" s="11"/>
    </row>
    <row r="651">
      <c r="A651" s="13" t="str">
        <f>IFERROR(__xludf.DUMMYFUNCTION("""COMPUTED_VALUE"""),"Shiny Spoink")</f>
        <v>Shiny Spoink</v>
      </c>
      <c r="B651" s="11" t="str">
        <f>IFERROR(__xludf.DUMMYFUNCTION("""COMPUTED_VALUE"""),"big enchanted gem")</f>
        <v>big enchanted gem</v>
      </c>
      <c r="C651" s="11" t="str">
        <f>IFERROR(__xludf.DUMMYFUNCTION("""COMPUTED_VALUE"""),"yellowish spring tail")</f>
        <v>yellowish spring tail</v>
      </c>
      <c r="D651" s="11" t="str">
        <f>IFERROR(__xludf.DUMMYFUNCTION("""COMPUTED_VALUE"""),"enigma stone")</f>
        <v>enigma stone</v>
      </c>
      <c r="E651" s="11" t="str">
        <f>IFERROR(__xludf.DUMMYFUNCTION("""COMPUTED_VALUE"""),"mythic psychic orb")</f>
        <v>mythic psychic orb</v>
      </c>
      <c r="F651" s="11"/>
      <c r="G651" s="11"/>
      <c r="H651" s="11"/>
      <c r="I651" s="11"/>
      <c r="J651" s="11"/>
      <c r="K651" s="11"/>
      <c r="L651" s="11"/>
    </row>
    <row r="652">
      <c r="A652" s="13" t="str">
        <f>IFERROR(__xludf.DUMMYFUNCTION("""COMPUTED_VALUE"""),"Grumpig")</f>
        <v>Grumpig</v>
      </c>
      <c r="B652" s="11" t="str">
        <f>IFERROR(__xludf.DUMMYFUNCTION("""COMPUTED_VALUE"""),"big enchanted gem")</f>
        <v>big enchanted gem</v>
      </c>
      <c r="C652" s="11" t="str">
        <f>IFERROR(__xludf.DUMMYFUNCTION("""COMPUTED_VALUE"""),"springs")</f>
        <v>springs</v>
      </c>
      <c r="D652" s="11" t="str">
        <f>IFERROR(__xludf.DUMMYFUNCTION("""COMPUTED_VALUE"""),"psychic essence")</f>
        <v>psychic essence</v>
      </c>
      <c r="E652" s="11" t="str">
        <f>IFERROR(__xludf.DUMMYFUNCTION("""COMPUTED_VALUE"""),"enigma stone")</f>
        <v>enigma stone</v>
      </c>
      <c r="F652" s="11"/>
      <c r="G652" s="11"/>
      <c r="H652" s="11"/>
      <c r="I652" s="11"/>
      <c r="J652" s="11"/>
      <c r="K652" s="11"/>
      <c r="L652" s="11"/>
    </row>
    <row r="653">
      <c r="A653" s="13" t="str">
        <f>IFERROR(__xludf.DUMMYFUNCTION("""COMPUTED_VALUE"""),"Shiny Grumpig")</f>
        <v>Shiny Grumpig</v>
      </c>
      <c r="B653" s="11" t="str">
        <f>IFERROR(__xludf.DUMMYFUNCTION("""COMPUTED_VALUE"""),"big enchanted gem")</f>
        <v>big enchanted gem</v>
      </c>
      <c r="C653" s="11" t="str">
        <f>IFERROR(__xludf.DUMMYFUNCTION("""COMPUTED_VALUE"""),"yellowish springs")</f>
        <v>yellowish springs</v>
      </c>
      <c r="D653" s="11" t="str">
        <f>IFERROR(__xludf.DUMMYFUNCTION("""COMPUTED_VALUE"""),"enigma stone")</f>
        <v>enigma stone</v>
      </c>
      <c r="E653" s="11" t="str">
        <f>IFERROR(__xludf.DUMMYFUNCTION("""COMPUTED_VALUE"""),"celestial psychic orb")</f>
        <v>celestial psychic orb</v>
      </c>
      <c r="F653" s="11"/>
      <c r="G653" s="11"/>
      <c r="H653" s="11"/>
      <c r="I653" s="11"/>
      <c r="J653" s="11"/>
      <c r="K653" s="11"/>
      <c r="L653" s="11"/>
    </row>
    <row r="654">
      <c r="A654" s="13" t="str">
        <f>IFERROR(__xludf.DUMMYFUNCTION("""COMPUTED_VALUE"""),"Spinda")</f>
        <v>Spinda</v>
      </c>
      <c r="B654" s="11" t="str">
        <f>IFERROR(__xludf.DUMMYFUNCTION("""COMPUTED_VALUE"""),"solid rubber ball")</f>
        <v>solid rubber ball</v>
      </c>
      <c r="C654" s="11" t="str">
        <f>IFERROR(__xludf.DUMMYFUNCTION("""COMPUTED_VALUE"""),"spinda ear")</f>
        <v>spinda ear</v>
      </c>
      <c r="D654" s="11" t="str">
        <f>IFERROR(__xludf.DUMMYFUNCTION("""COMPUTED_VALUE"""),"normal essence")</f>
        <v>normal essence</v>
      </c>
      <c r="E654" s="11" t="str">
        <f>IFERROR(__xludf.DUMMYFUNCTION("""COMPUTED_VALUE"""),"heart stone")</f>
        <v>heart stone</v>
      </c>
      <c r="F654" s="11"/>
      <c r="G654" s="11"/>
      <c r="H654" s="11"/>
      <c r="I654" s="11"/>
      <c r="J654" s="11"/>
      <c r="K654" s="11"/>
      <c r="L654" s="11"/>
    </row>
    <row r="655">
      <c r="A655" s="13" t="str">
        <f>IFERROR(__xludf.DUMMYFUNCTION("""COMPUTED_VALUE"""),"Shiny Spinda")</f>
        <v>Shiny Spinda</v>
      </c>
      <c r="B655" s="11" t="str">
        <f>IFERROR(__xludf.DUMMYFUNCTION("""COMPUTED_VALUE"""),"solid rubber ball")</f>
        <v>solid rubber ball</v>
      </c>
      <c r="C655" s="11" t="str">
        <f>IFERROR(__xludf.DUMMYFUNCTION("""COMPUTED_VALUE"""),"greenish spinda ear")</f>
        <v>greenish spinda ear</v>
      </c>
      <c r="D655" s="11" t="str">
        <f>IFERROR(__xludf.DUMMYFUNCTION("""COMPUTED_VALUE"""),"heart stone")</f>
        <v>heart stone</v>
      </c>
      <c r="E655" s="11" t="str">
        <f>IFERROR(__xludf.DUMMYFUNCTION("""COMPUTED_VALUE"""),"mythic normal orb")</f>
        <v>mythic normal orb</v>
      </c>
      <c r="F655" s="11"/>
      <c r="G655" s="11"/>
      <c r="H655" s="11"/>
      <c r="I655" s="11"/>
      <c r="J655" s="11"/>
      <c r="K655" s="11"/>
      <c r="L655" s="11"/>
    </row>
    <row r="656">
      <c r="A656" s="13" t="str">
        <f>IFERROR(__xludf.DUMMYFUNCTION("""COMPUTED_VALUE"""),"Trapinch")</f>
        <v>Trapinch</v>
      </c>
      <c r="B656" s="11" t="str">
        <f>IFERROR(__xludf.DUMMYFUNCTION("""COMPUTED_VALUE"""),"solid earth piece")</f>
        <v>solid earth piece</v>
      </c>
      <c r="C656" s="11" t="str">
        <f>IFERROR(__xludf.DUMMYFUNCTION("""COMPUTED_VALUE"""),"strange ball")</f>
        <v>strange ball</v>
      </c>
      <c r="D656" s="11" t="str">
        <f>IFERROR(__xludf.DUMMYFUNCTION("""COMPUTED_VALUE"""),"ground essence")</f>
        <v>ground essence</v>
      </c>
      <c r="E656" s="11" t="str">
        <f>IFERROR(__xludf.DUMMYFUNCTION("""COMPUTED_VALUE"""),"earth stone")</f>
        <v>earth stone</v>
      </c>
      <c r="F656" s="11"/>
      <c r="G656" s="11"/>
      <c r="H656" s="11"/>
      <c r="I656" s="11"/>
      <c r="J656" s="11"/>
      <c r="K656" s="11"/>
      <c r="L656" s="11"/>
    </row>
    <row r="657">
      <c r="A657" s="13" t="str">
        <f>IFERROR(__xludf.DUMMYFUNCTION("""COMPUTED_VALUE"""),"Shiny Trapinch")</f>
        <v>Shiny Trapinch</v>
      </c>
      <c r="B657" s="11" t="str">
        <f>IFERROR(__xludf.DUMMYFUNCTION("""COMPUTED_VALUE"""),"solid earth piece")</f>
        <v>solid earth piece</v>
      </c>
      <c r="C657" s="11" t="str">
        <f>IFERROR(__xludf.DUMMYFUNCTION("""COMPUTED_VALUE"""),"greenish strange ball")</f>
        <v>greenish strange ball</v>
      </c>
      <c r="D657" s="11" t="str">
        <f>IFERROR(__xludf.DUMMYFUNCTION("""COMPUTED_VALUE"""),"earth stone")</f>
        <v>earth stone</v>
      </c>
      <c r="E657" s="11" t="str">
        <f>IFERROR(__xludf.DUMMYFUNCTION("""COMPUTED_VALUE"""),"mythic ground orb")</f>
        <v>mythic ground orb</v>
      </c>
      <c r="F657" s="11"/>
      <c r="G657" s="11"/>
      <c r="H657" s="11"/>
      <c r="I657" s="11"/>
      <c r="J657" s="11"/>
      <c r="K657" s="11"/>
      <c r="L657" s="11"/>
    </row>
    <row r="658">
      <c r="A658" s="13" t="str">
        <f>IFERROR(__xludf.DUMMYFUNCTION("""COMPUTED_VALUE"""),"Vibrava")</f>
        <v>Vibrava</v>
      </c>
      <c r="B658" s="11" t="str">
        <f>IFERROR(__xludf.DUMMYFUNCTION("""COMPUTED_VALUE"""),"solid earth piece")</f>
        <v>solid earth piece</v>
      </c>
      <c r="C658" s="11" t="str">
        <f>IFERROR(__xludf.DUMMYFUNCTION("""COMPUTED_VALUE"""),"giant dragon scale")</f>
        <v>giant dragon scale</v>
      </c>
      <c r="D658" s="11" t="str">
        <f>IFERROR(__xludf.DUMMYFUNCTION("""COMPUTED_VALUE"""),"dragonfly wings")</f>
        <v>dragonfly wings</v>
      </c>
      <c r="E658" s="11" t="str">
        <f>IFERROR(__xludf.DUMMYFUNCTION("""COMPUTED_VALUE"""),"dragon essence")</f>
        <v>dragon essence</v>
      </c>
      <c r="F658" s="11" t="str">
        <f>IFERROR(__xludf.DUMMYFUNCTION("""COMPUTED_VALUE"""),"ground essence")</f>
        <v>ground essence</v>
      </c>
      <c r="G658" s="11" t="str">
        <f>IFERROR(__xludf.DUMMYFUNCTION("""COMPUTED_VALUE"""),"earth stone")</f>
        <v>earth stone</v>
      </c>
      <c r="H658" s="11" t="str">
        <f>IFERROR(__xludf.DUMMYFUNCTION("""COMPUTED_VALUE"""),"crystal stone")</f>
        <v>crystal stone</v>
      </c>
      <c r="I658" s="11"/>
      <c r="J658" s="11"/>
      <c r="K658" s="11"/>
      <c r="L658" s="11"/>
    </row>
    <row r="659">
      <c r="A659" s="13" t="str">
        <f>IFERROR(__xludf.DUMMYFUNCTION("""COMPUTED_VALUE"""),"Shiny Vibrava")</f>
        <v>Shiny Vibrava</v>
      </c>
      <c r="B659" s="11" t="str">
        <f>IFERROR(__xludf.DUMMYFUNCTION("""COMPUTED_VALUE"""),"solid earth piece")</f>
        <v>solid earth piece</v>
      </c>
      <c r="C659" s="11" t="str">
        <f>IFERROR(__xludf.DUMMYFUNCTION("""COMPUTED_VALUE"""),"giant dragon scale")</f>
        <v>giant dragon scale</v>
      </c>
      <c r="D659" s="11" t="str">
        <f>IFERROR(__xludf.DUMMYFUNCTION("""COMPUTED_VALUE"""),"orange dragonfly wings")</f>
        <v>orange dragonfly wings</v>
      </c>
      <c r="E659" s="11" t="str">
        <f>IFERROR(__xludf.DUMMYFUNCTION("""COMPUTED_VALUE"""),"earth stone")</f>
        <v>earth stone</v>
      </c>
      <c r="F659" s="11" t="str">
        <f>IFERROR(__xludf.DUMMYFUNCTION("""COMPUTED_VALUE"""),"crystal stone")</f>
        <v>crystal stone</v>
      </c>
      <c r="G659" s="11" t="str">
        <f>IFERROR(__xludf.DUMMYFUNCTION("""COMPUTED_VALUE"""),"mythic ground orb")</f>
        <v>mythic ground orb</v>
      </c>
      <c r="H659" s="11"/>
      <c r="I659" s="11"/>
      <c r="J659" s="11"/>
      <c r="K659" s="11"/>
      <c r="L659" s="11"/>
    </row>
    <row r="660">
      <c r="A660" s="13" t="str">
        <f>IFERROR(__xludf.DUMMYFUNCTION("""COMPUTED_VALUE"""),"Flygon")</f>
        <v>Flygon</v>
      </c>
      <c r="B660" s="11" t="str">
        <f>IFERROR(__xludf.DUMMYFUNCTION("""COMPUTED_VALUE"""),"solid earth piece")</f>
        <v>solid earth piece</v>
      </c>
      <c r="C660" s="11" t="str">
        <f>IFERROR(__xludf.DUMMYFUNCTION("""COMPUTED_VALUE"""),"giant dragon scale")</f>
        <v>giant dragon scale</v>
      </c>
      <c r="D660" s="11" t="str">
        <f>IFERROR(__xludf.DUMMYFUNCTION("""COMPUTED_VALUE"""),"sand tail")</f>
        <v>sand tail</v>
      </c>
      <c r="E660" s="11" t="str">
        <f>IFERROR(__xludf.DUMMYFUNCTION("""COMPUTED_VALUE"""),"dragon essence")</f>
        <v>dragon essence</v>
      </c>
      <c r="F660" s="11" t="str">
        <f>IFERROR(__xludf.DUMMYFUNCTION("""COMPUTED_VALUE"""),"ground essence")</f>
        <v>ground essence</v>
      </c>
      <c r="G660" s="11" t="str">
        <f>IFERROR(__xludf.DUMMYFUNCTION("""COMPUTED_VALUE"""),"earth stone")</f>
        <v>earth stone</v>
      </c>
      <c r="H660" s="11" t="str">
        <f>IFERROR(__xludf.DUMMYFUNCTION("""COMPUTED_VALUE"""),"crystal stone")</f>
        <v>crystal stone</v>
      </c>
      <c r="I660" s="11"/>
      <c r="J660" s="11"/>
      <c r="K660" s="11"/>
      <c r="L660" s="11"/>
    </row>
    <row r="661">
      <c r="A661" s="13" t="str">
        <f>IFERROR(__xludf.DUMMYFUNCTION("""COMPUTED_VALUE"""),"Shiny Flygon")</f>
        <v>Shiny Flygon</v>
      </c>
      <c r="B661" s="11" t="str">
        <f>IFERROR(__xludf.DUMMYFUNCTION("""COMPUTED_VALUE"""),"solid earth piece")</f>
        <v>solid earth piece</v>
      </c>
      <c r="C661" s="11" t="str">
        <f>IFERROR(__xludf.DUMMYFUNCTION("""COMPUTED_VALUE"""),"giant dragon scale")</f>
        <v>giant dragon scale</v>
      </c>
      <c r="D661" s="11" t="str">
        <f>IFERROR(__xludf.DUMMYFUNCTION("""COMPUTED_VALUE"""),"yellowish sand tail")</f>
        <v>yellowish sand tail</v>
      </c>
      <c r="E661" s="11" t="str">
        <f>IFERROR(__xludf.DUMMYFUNCTION("""COMPUTED_VALUE"""),"earth stone")</f>
        <v>earth stone</v>
      </c>
      <c r="F661" s="11" t="str">
        <f>IFERROR(__xludf.DUMMYFUNCTION("""COMPUTED_VALUE"""),"crystal stone")</f>
        <v>crystal stone</v>
      </c>
      <c r="G661" s="11" t="str">
        <f>IFERROR(__xludf.DUMMYFUNCTION("""COMPUTED_VALUE"""),"celestial ground orb")</f>
        <v>celestial ground orb</v>
      </c>
      <c r="H661" s="11" t="str">
        <f>IFERROR(__xludf.DUMMYFUNCTION("""COMPUTED_VALUE"""),"celestial dragon orb")</f>
        <v>celestial dragon orb</v>
      </c>
      <c r="I661" s="11"/>
      <c r="J661" s="11"/>
      <c r="K661" s="11"/>
      <c r="L661" s="11"/>
    </row>
    <row r="662">
      <c r="A662" s="13" t="str">
        <f>IFERROR(__xludf.DUMMYFUNCTION("""COMPUTED_VALUE"""),"Cacnea")</f>
        <v>Cacnea</v>
      </c>
      <c r="B662" s="11" t="str">
        <f>IFERROR(__xludf.DUMMYFUNCTION("""COMPUTED_VALUE"""),"pile of seeds")</f>
        <v>pile of seeds</v>
      </c>
      <c r="C662" s="11" t="str">
        <f>IFERROR(__xludf.DUMMYFUNCTION("""COMPUTED_VALUE"""),"small crown")</f>
        <v>small crown</v>
      </c>
      <c r="D662" s="11" t="str">
        <f>IFERROR(__xludf.DUMMYFUNCTION("""COMPUTED_VALUE"""),"grass essence")</f>
        <v>grass essence</v>
      </c>
      <c r="E662" s="11" t="str">
        <f>IFERROR(__xludf.DUMMYFUNCTION("""COMPUTED_VALUE"""),"leaf stone")</f>
        <v>leaf stone</v>
      </c>
      <c r="F662" s="11"/>
      <c r="G662" s="11"/>
      <c r="H662" s="11"/>
      <c r="I662" s="11"/>
      <c r="J662" s="11"/>
      <c r="K662" s="11"/>
      <c r="L662" s="11"/>
    </row>
    <row r="663">
      <c r="A663" s="13" t="str">
        <f>IFERROR(__xludf.DUMMYFUNCTION("""COMPUTED_VALUE"""),"Shiny Cacnea")</f>
        <v>Shiny Cacnea</v>
      </c>
      <c r="B663" s="11" t="str">
        <f>IFERROR(__xludf.DUMMYFUNCTION("""COMPUTED_VALUE"""),"pile of seeds")</f>
        <v>pile of seeds</v>
      </c>
      <c r="C663" s="11" t="str">
        <f>IFERROR(__xludf.DUMMYFUNCTION("""COMPUTED_VALUE"""),"red crown")</f>
        <v>red crown</v>
      </c>
      <c r="D663" s="11" t="str">
        <f>IFERROR(__xludf.DUMMYFUNCTION("""COMPUTED_VALUE"""),"leaf stone")</f>
        <v>leaf stone</v>
      </c>
      <c r="E663" s="11" t="str">
        <f>IFERROR(__xludf.DUMMYFUNCTION("""COMPUTED_VALUE"""),"mythic grass orb")</f>
        <v>mythic grass orb</v>
      </c>
      <c r="F663" s="11"/>
      <c r="G663" s="11"/>
      <c r="H663" s="11"/>
      <c r="I663" s="11"/>
      <c r="J663" s="11"/>
      <c r="K663" s="11"/>
      <c r="L663" s="11"/>
    </row>
    <row r="664">
      <c r="A664" s="13" t="str">
        <f>IFERROR(__xludf.DUMMYFUNCTION("""COMPUTED_VALUE"""),"Cacturne")</f>
        <v>Cacturne</v>
      </c>
      <c r="B664" s="11" t="str">
        <f>IFERROR(__xludf.DUMMYFUNCTION("""COMPUTED_VALUE"""),"pile of seeds")</f>
        <v>pile of seeds</v>
      </c>
      <c r="C664" s="11" t="str">
        <f>IFERROR(__xludf.DUMMYFUNCTION("""COMPUTED_VALUE"""),"solid dark gem")</f>
        <v>solid dark gem</v>
      </c>
      <c r="D664" s="11" t="str">
        <f>IFERROR(__xludf.DUMMYFUNCTION("""COMPUTED_VALUE"""),"cactus head")</f>
        <v>cactus head</v>
      </c>
      <c r="E664" s="11" t="str">
        <f>IFERROR(__xludf.DUMMYFUNCTION("""COMPUTED_VALUE"""),"dark essence")</f>
        <v>dark essence</v>
      </c>
      <c r="F664" s="11" t="str">
        <f>IFERROR(__xludf.DUMMYFUNCTION("""COMPUTED_VALUE"""),"grass essence")</f>
        <v>grass essence</v>
      </c>
      <c r="G664" s="11" t="str">
        <f>IFERROR(__xludf.DUMMYFUNCTION("""COMPUTED_VALUE"""),"leaf stone")</f>
        <v>leaf stone</v>
      </c>
      <c r="H664" s="11" t="str">
        <f>IFERROR(__xludf.DUMMYFUNCTION("""COMPUTED_VALUE"""),"darkness stone")</f>
        <v>darkness stone</v>
      </c>
      <c r="I664" s="11"/>
      <c r="J664" s="11"/>
      <c r="K664" s="11"/>
      <c r="L664" s="11"/>
    </row>
    <row r="665">
      <c r="A665" s="13" t="str">
        <f>IFERROR(__xludf.DUMMYFUNCTION("""COMPUTED_VALUE"""),"Shiny Cacturne")</f>
        <v>Shiny Cacturne</v>
      </c>
      <c r="B665" s="11" t="str">
        <f>IFERROR(__xludf.DUMMYFUNCTION("""COMPUTED_VALUE"""),"pile of seeds")</f>
        <v>pile of seeds</v>
      </c>
      <c r="C665" s="11" t="str">
        <f>IFERROR(__xludf.DUMMYFUNCTION("""COMPUTED_VALUE"""),"solid dark gem")</f>
        <v>solid dark gem</v>
      </c>
      <c r="D665" s="11" t="str">
        <f>IFERROR(__xludf.DUMMYFUNCTION("""COMPUTED_VALUE"""),"orange cactus head")</f>
        <v>orange cactus head</v>
      </c>
      <c r="E665" s="11" t="str">
        <f>IFERROR(__xludf.DUMMYFUNCTION("""COMPUTED_VALUE"""),"leaf stone")</f>
        <v>leaf stone</v>
      </c>
      <c r="F665" s="11" t="str">
        <f>IFERROR(__xludf.DUMMYFUNCTION("""COMPUTED_VALUE"""),"darkness stone")</f>
        <v>darkness stone</v>
      </c>
      <c r="G665" s="11" t="str">
        <f>IFERROR(__xludf.DUMMYFUNCTION("""COMPUTED_VALUE"""),"celestial grass orb")</f>
        <v>celestial grass orb</v>
      </c>
      <c r="H665" s="11"/>
      <c r="I665" s="11"/>
      <c r="J665" s="11"/>
      <c r="K665" s="11"/>
      <c r="L665" s="11"/>
    </row>
    <row r="666">
      <c r="A666" s="13" t="str">
        <f>IFERROR(__xludf.DUMMYFUNCTION("""COMPUTED_VALUE"""),"Swablu")</f>
        <v>Swablu</v>
      </c>
      <c r="B666" s="11" t="str">
        <f>IFERROR(__xludf.DUMMYFUNCTION("""COMPUTED_VALUE"""),"solid rubber ball")</f>
        <v>solid rubber ball</v>
      </c>
      <c r="C666" s="11" t="str">
        <f>IFERROR(__xludf.DUMMYFUNCTION("""COMPUTED_VALUE"""),"compressed straw")</f>
        <v>compressed straw</v>
      </c>
      <c r="D666" s="11" t="str">
        <f>IFERROR(__xludf.DUMMYFUNCTION("""COMPUTED_VALUE"""),"little cloud wings")</f>
        <v>little cloud wings</v>
      </c>
      <c r="E666" s="11" t="str">
        <f>IFERROR(__xludf.DUMMYFUNCTION("""COMPUTED_VALUE"""),"normal essence")</f>
        <v>normal essence</v>
      </c>
      <c r="F666" s="11" t="str">
        <f>IFERROR(__xludf.DUMMYFUNCTION("""COMPUTED_VALUE"""),"flying essence")</f>
        <v>flying essence</v>
      </c>
      <c r="G666" s="11" t="str">
        <f>IFERROR(__xludf.DUMMYFUNCTION("""COMPUTED_VALUE"""),"heart stone")</f>
        <v>heart stone</v>
      </c>
      <c r="H666" s="11" t="str">
        <f>IFERROR(__xludf.DUMMYFUNCTION("""COMPUTED_VALUE"""),"feather stone")</f>
        <v>feather stone</v>
      </c>
      <c r="I666" s="11"/>
      <c r="J666" s="11"/>
      <c r="K666" s="11"/>
      <c r="L666" s="11"/>
    </row>
    <row r="667">
      <c r="A667" s="13" t="str">
        <f>IFERROR(__xludf.DUMMYFUNCTION("""COMPUTED_VALUE"""),"Shiny Swablu")</f>
        <v>Shiny Swablu</v>
      </c>
      <c r="B667" s="11" t="str">
        <f>IFERROR(__xludf.DUMMYFUNCTION("""COMPUTED_VALUE"""),"solid rubber ball")</f>
        <v>solid rubber ball</v>
      </c>
      <c r="C667" s="11" t="str">
        <f>IFERROR(__xludf.DUMMYFUNCTION("""COMPUTED_VALUE"""),"compressed straw")</f>
        <v>compressed straw</v>
      </c>
      <c r="D667" s="11" t="str">
        <f>IFERROR(__xludf.DUMMYFUNCTION("""COMPUTED_VALUE"""),"yellow little cloud wings")</f>
        <v>yellow little cloud wings</v>
      </c>
      <c r="E667" s="11" t="str">
        <f>IFERROR(__xludf.DUMMYFUNCTION("""COMPUTED_VALUE"""),"heart stone")</f>
        <v>heart stone</v>
      </c>
      <c r="F667" s="11" t="str">
        <f>IFERROR(__xludf.DUMMYFUNCTION("""COMPUTED_VALUE"""),"feather stone")</f>
        <v>feather stone</v>
      </c>
      <c r="G667" s="11" t="str">
        <f>IFERROR(__xludf.DUMMYFUNCTION("""COMPUTED_VALUE"""),"arcane flying orb")</f>
        <v>arcane flying orb</v>
      </c>
      <c r="H667" s="11"/>
      <c r="I667" s="11"/>
      <c r="J667" s="11"/>
      <c r="K667" s="11"/>
      <c r="L667" s="11"/>
    </row>
    <row r="668">
      <c r="A668" s="13" t="str">
        <f>IFERROR(__xludf.DUMMYFUNCTION("""COMPUTED_VALUE"""),"Altaria")</f>
        <v>Altaria</v>
      </c>
      <c r="B668" s="11" t="str">
        <f>IFERROR(__xludf.DUMMYFUNCTION("""COMPUTED_VALUE"""),"giant dragon scale")</f>
        <v>giant dragon scale</v>
      </c>
      <c r="C668" s="11" t="str">
        <f>IFERROR(__xludf.DUMMYFUNCTION("""COMPUTED_VALUE"""),"solid earth piece")</f>
        <v>solid earth piece</v>
      </c>
      <c r="D668" s="11" t="str">
        <f>IFERROR(__xludf.DUMMYFUNCTION("""COMPUTED_VALUE"""),"cloud")</f>
        <v>cloud</v>
      </c>
      <c r="E668" s="11" t="str">
        <f>IFERROR(__xludf.DUMMYFUNCTION("""COMPUTED_VALUE"""),"dragon essence")</f>
        <v>dragon essence</v>
      </c>
      <c r="F668" s="11" t="str">
        <f>IFERROR(__xludf.DUMMYFUNCTION("""COMPUTED_VALUE"""),"flying essence")</f>
        <v>flying essence</v>
      </c>
      <c r="G668" s="11" t="str">
        <f>IFERROR(__xludf.DUMMYFUNCTION("""COMPUTED_VALUE"""),"crystal stone")</f>
        <v>crystal stone</v>
      </c>
      <c r="H668" s="11" t="str">
        <f>IFERROR(__xludf.DUMMYFUNCTION("""COMPUTED_VALUE"""),"earth stone")</f>
        <v>earth stone</v>
      </c>
      <c r="I668" s="11"/>
      <c r="J668" s="11"/>
      <c r="K668" s="11"/>
      <c r="L668" s="11"/>
    </row>
    <row r="669">
      <c r="A669" s="13" t="str">
        <f>IFERROR(__xludf.DUMMYFUNCTION("""COMPUTED_VALUE"""),"Shiny Altaria")</f>
        <v>Shiny Altaria</v>
      </c>
      <c r="B669" s="11" t="str">
        <f>IFERROR(__xludf.DUMMYFUNCTION("""COMPUTED_VALUE"""),"giant dragon scale")</f>
        <v>giant dragon scale</v>
      </c>
      <c r="C669" s="11" t="str">
        <f>IFERROR(__xludf.DUMMYFUNCTION("""COMPUTED_VALUE"""),"solid earth piece")</f>
        <v>solid earth piece</v>
      </c>
      <c r="D669" s="11" t="str">
        <f>IFERROR(__xludf.DUMMYFUNCTION("""COMPUTED_VALUE"""),"yellow cloud")</f>
        <v>yellow cloud</v>
      </c>
      <c r="E669" s="11" t="str">
        <f>IFERROR(__xludf.DUMMYFUNCTION("""COMPUTED_VALUE"""),"crystal stone")</f>
        <v>crystal stone</v>
      </c>
      <c r="F669" s="11" t="str">
        <f>IFERROR(__xludf.DUMMYFUNCTION("""COMPUTED_VALUE"""),"earth stone")</f>
        <v>earth stone</v>
      </c>
      <c r="G669" s="11" t="str">
        <f>IFERROR(__xludf.DUMMYFUNCTION("""COMPUTED_VALUE"""),"celestial dragon orb")</f>
        <v>celestial dragon orb</v>
      </c>
      <c r="H669" s="11"/>
      <c r="I669" s="11"/>
      <c r="J669" s="11"/>
      <c r="K669" s="11"/>
      <c r="L669" s="11"/>
    </row>
    <row r="670">
      <c r="A670" s="13" t="str">
        <f>IFERROR(__xludf.DUMMYFUNCTION("""COMPUTED_VALUE"""),"Zangoose")</f>
        <v>Zangoose</v>
      </c>
      <c r="B670" s="11" t="str">
        <f>IFERROR(__xludf.DUMMYFUNCTION("""COMPUTED_VALUE"""),"solid rubber ball")</f>
        <v>solid rubber ball</v>
      </c>
      <c r="C670" s="11" t="str">
        <f>IFERROR(__xludf.DUMMYFUNCTION("""COMPUTED_VALUE"""),"tribe mask")</f>
        <v>tribe mask</v>
      </c>
      <c r="D670" s="11" t="str">
        <f>IFERROR(__xludf.DUMMYFUNCTION("""COMPUTED_VALUE"""),"normal essence")</f>
        <v>normal essence</v>
      </c>
      <c r="E670" s="11" t="str">
        <f>IFERROR(__xludf.DUMMYFUNCTION("""COMPUTED_VALUE"""),"heart stone")</f>
        <v>heart stone</v>
      </c>
      <c r="F670" s="11"/>
      <c r="G670" s="11"/>
      <c r="H670" s="11"/>
      <c r="I670" s="11"/>
      <c r="J670" s="11"/>
      <c r="K670" s="11"/>
      <c r="L670" s="11"/>
    </row>
    <row r="671">
      <c r="A671" s="13" t="str">
        <f>IFERROR(__xludf.DUMMYFUNCTION("""COMPUTED_VALUE"""),"Shiny Zangoose")</f>
        <v>Shiny Zangoose</v>
      </c>
      <c r="B671" s="11" t="str">
        <f>IFERROR(__xludf.DUMMYFUNCTION("""COMPUTED_VALUE"""),"solid rubber ball")</f>
        <v>solid rubber ball</v>
      </c>
      <c r="C671" s="11" t="str">
        <f>IFERROR(__xludf.DUMMYFUNCTION("""COMPUTED_VALUE"""),"blue tribe mask")</f>
        <v>blue tribe mask</v>
      </c>
      <c r="D671" s="11" t="str">
        <f>IFERROR(__xludf.DUMMYFUNCTION("""COMPUTED_VALUE"""),"heart stone")</f>
        <v>heart stone</v>
      </c>
      <c r="E671" s="11" t="str">
        <f>IFERROR(__xludf.DUMMYFUNCTION("""COMPUTED_VALUE"""),"celestial normal orb")</f>
        <v>celestial normal orb</v>
      </c>
      <c r="F671" s="11"/>
      <c r="G671" s="11"/>
      <c r="H671" s="11"/>
      <c r="I671" s="11"/>
      <c r="J671" s="11"/>
      <c r="K671" s="11"/>
      <c r="L671" s="11"/>
    </row>
    <row r="672">
      <c r="A672" s="13" t="str">
        <f>IFERROR(__xludf.DUMMYFUNCTION("""COMPUTED_VALUE"""),"Seviper")</f>
        <v>Seviper</v>
      </c>
      <c r="B672" s="11" t="str">
        <f>IFERROR(__xludf.DUMMYFUNCTION("""COMPUTED_VALUE"""),"big poison bottle")</f>
        <v>big poison bottle</v>
      </c>
      <c r="C672" s="11" t="str">
        <f>IFERROR(__xludf.DUMMYFUNCTION("""COMPUTED_VALUE"""),"poisonous tail")</f>
        <v>poisonous tail</v>
      </c>
      <c r="D672" s="11" t="str">
        <f>IFERROR(__xludf.DUMMYFUNCTION("""COMPUTED_VALUE"""),"poison essence")</f>
        <v>poison essence</v>
      </c>
      <c r="E672" s="11" t="str">
        <f>IFERROR(__xludf.DUMMYFUNCTION("""COMPUTED_VALUE"""),"venom stone")</f>
        <v>venom stone</v>
      </c>
      <c r="F672" s="11"/>
      <c r="G672" s="11"/>
      <c r="H672" s="11"/>
      <c r="I672" s="11"/>
      <c r="J672" s="11"/>
      <c r="K672" s="11"/>
      <c r="L672" s="11"/>
    </row>
    <row r="673">
      <c r="A673" s="13" t="str">
        <f>IFERROR(__xludf.DUMMYFUNCTION("""COMPUTED_VALUE"""),"Shiny Seviper")</f>
        <v>Shiny Seviper</v>
      </c>
      <c r="B673" s="11" t="str">
        <f>IFERROR(__xludf.DUMMYFUNCTION("""COMPUTED_VALUE"""),"big poison bottle")</f>
        <v>big poison bottle</v>
      </c>
      <c r="C673" s="11" t="str">
        <f>IFERROR(__xludf.DUMMYFUNCTION("""COMPUTED_VALUE"""),"greenish poisonous tail")</f>
        <v>greenish poisonous tail</v>
      </c>
      <c r="D673" s="11" t="str">
        <f>IFERROR(__xludf.DUMMYFUNCTION("""COMPUTED_VALUE"""),"venom stone")</f>
        <v>venom stone</v>
      </c>
      <c r="E673" s="11" t="str">
        <f>IFERROR(__xludf.DUMMYFUNCTION("""COMPUTED_VALUE"""),"celestial poison orb")</f>
        <v>celestial poison orb</v>
      </c>
      <c r="F673" s="11"/>
      <c r="G673" s="11"/>
      <c r="H673" s="11"/>
      <c r="I673" s="11"/>
      <c r="J673" s="11"/>
      <c r="K673" s="11"/>
      <c r="L673" s="11"/>
    </row>
    <row r="674">
      <c r="A674" s="13" t="str">
        <f>IFERROR(__xludf.DUMMYFUNCTION("""COMPUTED_VALUE"""),"Lunatone")</f>
        <v>Lunatone</v>
      </c>
      <c r="B674" s="11" t="str">
        <f>IFERROR(__xludf.DUMMYFUNCTION("""COMPUTED_VALUE"""),"big stone")</f>
        <v>big stone</v>
      </c>
      <c r="C674" s="11" t="str">
        <f>IFERROR(__xludf.DUMMYFUNCTION("""COMPUTED_VALUE"""),"big enchanted gem")</f>
        <v>big enchanted gem</v>
      </c>
      <c r="D674" s="11" t="str">
        <f>IFERROR(__xludf.DUMMYFUNCTION("""COMPUTED_VALUE"""),"moon piece")</f>
        <v>moon piece</v>
      </c>
      <c r="E674" s="11" t="str">
        <f>IFERROR(__xludf.DUMMYFUNCTION("""COMPUTED_VALUE"""),"psychic essence")</f>
        <v>psychic essence</v>
      </c>
      <c r="F674" s="11" t="str">
        <f>IFERROR(__xludf.DUMMYFUNCTION("""COMPUTED_VALUE"""),"rock essence")</f>
        <v>rock essence</v>
      </c>
      <c r="G674" s="11" t="str">
        <f>IFERROR(__xludf.DUMMYFUNCTION("""COMPUTED_VALUE"""),"rock stone")</f>
        <v>rock stone</v>
      </c>
      <c r="H674" s="11" t="str">
        <f>IFERROR(__xludf.DUMMYFUNCTION("""COMPUTED_VALUE"""),"enigma stone")</f>
        <v>enigma stone</v>
      </c>
      <c r="I674" s="11"/>
      <c r="J674" s="11"/>
      <c r="K674" s="11"/>
      <c r="L674" s="11"/>
    </row>
    <row r="675">
      <c r="A675" s="13" t="str">
        <f>IFERROR(__xludf.DUMMYFUNCTION("""COMPUTED_VALUE"""),"Shiny Lunatone")</f>
        <v>Shiny Lunatone</v>
      </c>
      <c r="B675" s="11" t="str">
        <f>IFERROR(__xludf.DUMMYFUNCTION("""COMPUTED_VALUE"""),"big stone")</f>
        <v>big stone</v>
      </c>
      <c r="C675" s="11" t="str">
        <f>IFERROR(__xludf.DUMMYFUNCTION("""COMPUTED_VALUE"""),"big enchanted gem")</f>
        <v>big enchanted gem</v>
      </c>
      <c r="D675" s="11" t="str">
        <f>IFERROR(__xludf.DUMMYFUNCTION("""COMPUTED_VALUE"""),"blue moon piece")</f>
        <v>blue moon piece</v>
      </c>
      <c r="E675" s="11" t="str">
        <f>IFERROR(__xludf.DUMMYFUNCTION("""COMPUTED_VALUE"""),"rock stone")</f>
        <v>rock stone</v>
      </c>
      <c r="F675" s="11" t="str">
        <f>IFERROR(__xludf.DUMMYFUNCTION("""COMPUTED_VALUE"""),"enigma stone")</f>
        <v>enigma stone</v>
      </c>
      <c r="G675" s="11" t="str">
        <f>IFERROR(__xludf.DUMMYFUNCTION("""COMPUTED_VALUE"""),"celestial rock orb")</f>
        <v>celestial rock orb</v>
      </c>
      <c r="H675" s="11"/>
      <c r="I675" s="11"/>
      <c r="J675" s="11"/>
      <c r="K675" s="11"/>
      <c r="L675" s="11"/>
    </row>
    <row r="676">
      <c r="A676" s="13" t="str">
        <f>IFERROR(__xludf.DUMMYFUNCTION("""COMPUTED_VALUE"""),"Solrock")</f>
        <v>Solrock</v>
      </c>
      <c r="B676" s="11" t="str">
        <f>IFERROR(__xludf.DUMMYFUNCTION("""COMPUTED_VALUE"""),"big stone")</f>
        <v>big stone</v>
      </c>
      <c r="C676" s="11" t="str">
        <f>IFERROR(__xludf.DUMMYFUNCTION("""COMPUTED_VALUE"""),"big enchanted gem")</f>
        <v>big enchanted gem</v>
      </c>
      <c r="D676" s="11" t="str">
        <f>IFERROR(__xludf.DUMMYFUNCTION("""COMPUTED_VALUE"""),"sun piece")</f>
        <v>sun piece</v>
      </c>
      <c r="E676" s="11" t="str">
        <f>IFERROR(__xludf.DUMMYFUNCTION("""COMPUTED_VALUE"""),"psychic essence")</f>
        <v>psychic essence</v>
      </c>
      <c r="F676" s="11" t="str">
        <f>IFERROR(__xludf.DUMMYFUNCTION("""COMPUTED_VALUE"""),"rock essence")</f>
        <v>rock essence</v>
      </c>
      <c r="G676" s="11" t="str">
        <f>IFERROR(__xludf.DUMMYFUNCTION("""COMPUTED_VALUE"""),"rock stone")</f>
        <v>rock stone</v>
      </c>
      <c r="H676" s="11" t="str">
        <f>IFERROR(__xludf.DUMMYFUNCTION("""COMPUTED_VALUE"""),"enigma stone")</f>
        <v>enigma stone</v>
      </c>
      <c r="I676" s="11"/>
      <c r="J676" s="11"/>
      <c r="K676" s="11"/>
      <c r="L676" s="11"/>
    </row>
    <row r="677">
      <c r="A677" s="13" t="str">
        <f>IFERROR(__xludf.DUMMYFUNCTION("""COMPUTED_VALUE"""),"Shiny Solrock")</f>
        <v>Shiny Solrock</v>
      </c>
      <c r="B677" s="11" t="str">
        <f>IFERROR(__xludf.DUMMYFUNCTION("""COMPUTED_VALUE"""),"big stone")</f>
        <v>big stone</v>
      </c>
      <c r="C677" s="11" t="str">
        <f>IFERROR(__xludf.DUMMYFUNCTION("""COMPUTED_VALUE"""),"big enchanted gem")</f>
        <v>big enchanted gem</v>
      </c>
      <c r="D677" s="11" t="str">
        <f>IFERROR(__xludf.DUMMYFUNCTION("""COMPUTED_VALUE"""),"red run piece")</f>
        <v>red run piece</v>
      </c>
      <c r="E677" s="11" t="str">
        <f>IFERROR(__xludf.DUMMYFUNCTION("""COMPUTED_VALUE"""),"rock stone")</f>
        <v>rock stone</v>
      </c>
      <c r="F677" s="11" t="str">
        <f>IFERROR(__xludf.DUMMYFUNCTION("""COMPUTED_VALUE"""),"enigma stone")</f>
        <v>enigma stone</v>
      </c>
      <c r="G677" s="11" t="str">
        <f>IFERROR(__xludf.DUMMYFUNCTION("""COMPUTED_VALUE"""),"celestial rock orb")</f>
        <v>celestial rock orb</v>
      </c>
      <c r="H677" s="11"/>
      <c r="I677" s="11"/>
      <c r="J677" s="11"/>
      <c r="K677" s="11"/>
      <c r="L677" s="11"/>
    </row>
    <row r="678">
      <c r="A678" s="13" t="str">
        <f>IFERROR(__xludf.DUMMYFUNCTION("""COMPUTED_VALUE"""),"Barboach")</f>
        <v>Barboach</v>
      </c>
      <c r="B678" s="11" t="str">
        <f>IFERROR(__xludf.DUMMYFUNCTION("""COMPUTED_VALUE"""),"solid water gem")</f>
        <v>solid water gem</v>
      </c>
      <c r="C678" s="11" t="str">
        <f>IFERROR(__xludf.DUMMYFUNCTION("""COMPUTED_VALUE"""),"solid earth piece")</f>
        <v>solid earth piece</v>
      </c>
      <c r="D678" s="11" t="str">
        <f>IFERROR(__xludf.DUMMYFUNCTION("""COMPUTED_VALUE"""),"whiskers fin")</f>
        <v>whiskers fin</v>
      </c>
      <c r="E678" s="11" t="str">
        <f>IFERROR(__xludf.DUMMYFUNCTION("""COMPUTED_VALUE"""),"ground essence")</f>
        <v>ground essence</v>
      </c>
      <c r="F678" s="11" t="str">
        <f>IFERROR(__xludf.DUMMYFUNCTION("""COMPUTED_VALUE"""),"water essence")</f>
        <v>water essence</v>
      </c>
      <c r="G678" s="11" t="str">
        <f>IFERROR(__xludf.DUMMYFUNCTION("""COMPUTED_VALUE"""),"water stone")</f>
        <v>water stone</v>
      </c>
      <c r="H678" s="11" t="str">
        <f>IFERROR(__xludf.DUMMYFUNCTION("""COMPUTED_VALUE"""),"earth stone")</f>
        <v>earth stone</v>
      </c>
      <c r="I678" s="11"/>
      <c r="J678" s="11"/>
      <c r="K678" s="11"/>
      <c r="L678" s="11"/>
    </row>
    <row r="679">
      <c r="A679" s="13" t="str">
        <f>IFERROR(__xludf.DUMMYFUNCTION("""COMPUTED_VALUE"""),"Shiny Barboach")</f>
        <v>Shiny Barboach</v>
      </c>
      <c r="B679" s="11" t="str">
        <f>IFERROR(__xludf.DUMMYFUNCTION("""COMPUTED_VALUE"""),"solid water gem")</f>
        <v>solid water gem</v>
      </c>
      <c r="C679" s="11" t="str">
        <f>IFERROR(__xludf.DUMMYFUNCTION("""COMPUTED_VALUE"""),"solid earth piece")</f>
        <v>solid earth piece</v>
      </c>
      <c r="D679" s="11" t="str">
        <f>IFERROR(__xludf.DUMMYFUNCTION("""COMPUTED_VALUE"""),"yellow whiskers fin")</f>
        <v>yellow whiskers fin</v>
      </c>
      <c r="E679" s="11" t="str">
        <f>IFERROR(__xludf.DUMMYFUNCTION("""COMPUTED_VALUE"""),"water stone")</f>
        <v>water stone</v>
      </c>
      <c r="F679" s="11" t="str">
        <f>IFERROR(__xludf.DUMMYFUNCTION("""COMPUTED_VALUE"""),"earth stone")</f>
        <v>earth stone</v>
      </c>
      <c r="G679" s="11" t="str">
        <f>IFERROR(__xludf.DUMMYFUNCTION("""COMPUTED_VALUE"""),"mythic water orb")</f>
        <v>mythic water orb</v>
      </c>
      <c r="H679" s="11"/>
      <c r="I679" s="11"/>
      <c r="J679" s="11"/>
      <c r="K679" s="11"/>
      <c r="L679" s="11"/>
    </row>
    <row r="680">
      <c r="A680" s="13" t="str">
        <f>IFERROR(__xludf.DUMMYFUNCTION("""COMPUTED_VALUE"""),"Whiscash")</f>
        <v>Whiscash</v>
      </c>
      <c r="B680" s="11" t="str">
        <f>IFERROR(__xludf.DUMMYFUNCTION("""COMPUTED_VALUE"""),"solid water gem")</f>
        <v>solid water gem</v>
      </c>
      <c r="C680" s="11" t="str">
        <f>IFERROR(__xludf.DUMMYFUNCTION("""COMPUTED_VALUE"""),"solid earth piece")</f>
        <v>solid earth piece</v>
      </c>
      <c r="D680" s="11" t="str">
        <f>IFERROR(__xludf.DUMMYFUNCTION("""COMPUTED_VALUE"""),"catfish whiskers")</f>
        <v>catfish whiskers</v>
      </c>
      <c r="E680" s="11" t="str">
        <f>IFERROR(__xludf.DUMMYFUNCTION("""COMPUTED_VALUE"""),"ground essence")</f>
        <v>ground essence</v>
      </c>
      <c r="F680" s="11" t="str">
        <f>IFERROR(__xludf.DUMMYFUNCTION("""COMPUTED_VALUE"""),"water essence")</f>
        <v>water essence</v>
      </c>
      <c r="G680" s="11" t="str">
        <f>IFERROR(__xludf.DUMMYFUNCTION("""COMPUTED_VALUE"""),"water stone")</f>
        <v>water stone</v>
      </c>
      <c r="H680" s="11" t="str">
        <f>IFERROR(__xludf.DUMMYFUNCTION("""COMPUTED_VALUE"""),"earth stone")</f>
        <v>earth stone</v>
      </c>
      <c r="I680" s="11"/>
      <c r="J680" s="11"/>
      <c r="K680" s="11"/>
      <c r="L680" s="11"/>
    </row>
    <row r="681">
      <c r="A681" s="13" t="str">
        <f>IFERROR(__xludf.DUMMYFUNCTION("""COMPUTED_VALUE"""),"Shiny Whiscash")</f>
        <v>Shiny Whiscash</v>
      </c>
      <c r="B681" s="11" t="str">
        <f>IFERROR(__xludf.DUMMYFUNCTION("""COMPUTED_VALUE"""),"solid water gem")</f>
        <v>solid water gem</v>
      </c>
      <c r="C681" s="11" t="str">
        <f>IFERROR(__xludf.DUMMYFUNCTION("""COMPUTED_VALUE"""),"solid earth piece")</f>
        <v>solid earth piece</v>
      </c>
      <c r="D681" s="11" t="str">
        <f>IFERROR(__xludf.DUMMYFUNCTION("""COMPUTED_VALUE"""),"reddish catfish whiskers")</f>
        <v>reddish catfish whiskers</v>
      </c>
      <c r="E681" s="11" t="str">
        <f>IFERROR(__xludf.DUMMYFUNCTION("""COMPUTED_VALUE"""),"water stone")</f>
        <v>water stone</v>
      </c>
      <c r="F681" s="11" t="str">
        <f>IFERROR(__xludf.DUMMYFUNCTION("""COMPUTED_VALUE"""),"earth stone")</f>
        <v>earth stone</v>
      </c>
      <c r="G681" s="11" t="str">
        <f>IFERROR(__xludf.DUMMYFUNCTION("""COMPUTED_VALUE"""),"celestial water orb")</f>
        <v>celestial water orb</v>
      </c>
      <c r="H681" s="11"/>
      <c r="I681" s="11"/>
      <c r="J681" s="11"/>
      <c r="K681" s="11"/>
      <c r="L681" s="11"/>
    </row>
    <row r="682">
      <c r="A682" s="13" t="str">
        <f>IFERROR(__xludf.DUMMYFUNCTION("""COMPUTED_VALUE"""),"Corphish")</f>
        <v>Corphish</v>
      </c>
      <c r="B682" s="11" t="str">
        <f>IFERROR(__xludf.DUMMYFUNCTION("""COMPUTED_VALUE"""),"solid water gem")</f>
        <v>solid water gem</v>
      </c>
      <c r="C682" s="11" t="str">
        <f>IFERROR(__xludf.DUMMYFUNCTION("""COMPUTED_VALUE"""),"corphish claw")</f>
        <v>corphish claw</v>
      </c>
      <c r="D682" s="11" t="str">
        <f>IFERROR(__xludf.DUMMYFUNCTION("""COMPUTED_VALUE"""),"water essence")</f>
        <v>water essence</v>
      </c>
      <c r="E682" s="11" t="str">
        <f>IFERROR(__xludf.DUMMYFUNCTION("""COMPUTED_VALUE"""),"water stone")</f>
        <v>water stone</v>
      </c>
      <c r="F682" s="11"/>
      <c r="G682" s="11"/>
      <c r="H682" s="11"/>
      <c r="I682" s="11"/>
      <c r="J682" s="11"/>
      <c r="K682" s="11"/>
      <c r="L682" s="11"/>
    </row>
    <row r="683">
      <c r="A683" s="13" t="str">
        <f>IFERROR(__xludf.DUMMYFUNCTION("""COMPUTED_VALUE"""),"Shiny Corphish")</f>
        <v>Shiny Corphish</v>
      </c>
      <c r="B683" s="11" t="str">
        <f>IFERROR(__xludf.DUMMYFUNCTION("""COMPUTED_VALUE"""),"solid water gem")</f>
        <v>solid water gem</v>
      </c>
      <c r="C683" s="11" t="str">
        <f>IFERROR(__xludf.DUMMYFUNCTION("""COMPUTED_VALUE"""),"purple corphish claw")</f>
        <v>purple corphish claw</v>
      </c>
      <c r="D683" s="11" t="str">
        <f>IFERROR(__xludf.DUMMYFUNCTION("""COMPUTED_VALUE"""),"water stone")</f>
        <v>water stone</v>
      </c>
      <c r="E683" s="11" t="str">
        <f>IFERROR(__xludf.DUMMYFUNCTION("""COMPUTED_VALUE"""),"mythic water orb")</f>
        <v>mythic water orb</v>
      </c>
      <c r="F683" s="11"/>
      <c r="G683" s="11"/>
      <c r="H683" s="11"/>
      <c r="I683" s="11"/>
      <c r="J683" s="11"/>
      <c r="K683" s="11"/>
      <c r="L683" s="11"/>
    </row>
    <row r="684">
      <c r="A684" s="13" t="str">
        <f>IFERROR(__xludf.DUMMYFUNCTION("""COMPUTED_VALUE"""),"Crawdaunt")</f>
        <v>Crawdaunt</v>
      </c>
      <c r="B684" s="11" t="str">
        <f>IFERROR(__xludf.DUMMYFUNCTION("""COMPUTED_VALUE"""),"solid water gem")</f>
        <v>solid water gem</v>
      </c>
      <c r="C684" s="11" t="str">
        <f>IFERROR(__xludf.DUMMYFUNCTION("""COMPUTED_VALUE"""),"solid dark gem")</f>
        <v>solid dark gem</v>
      </c>
      <c r="D684" s="11" t="str">
        <f>IFERROR(__xludf.DUMMYFUNCTION("""COMPUTED_VALUE"""),"lobster claw")</f>
        <v>lobster claw</v>
      </c>
      <c r="E684" s="11" t="str">
        <f>IFERROR(__xludf.DUMMYFUNCTION("""COMPUTED_VALUE"""),"dark essence")</f>
        <v>dark essence</v>
      </c>
      <c r="F684" s="11" t="str">
        <f>IFERROR(__xludf.DUMMYFUNCTION("""COMPUTED_VALUE"""),"water essence")</f>
        <v>water essence</v>
      </c>
      <c r="G684" s="11" t="str">
        <f>IFERROR(__xludf.DUMMYFUNCTION("""COMPUTED_VALUE"""),"water stone")</f>
        <v>water stone</v>
      </c>
      <c r="H684" s="11" t="str">
        <f>IFERROR(__xludf.DUMMYFUNCTION("""COMPUTED_VALUE"""),"darkness stone")</f>
        <v>darkness stone</v>
      </c>
      <c r="I684" s="11"/>
      <c r="J684" s="11"/>
      <c r="K684" s="11"/>
      <c r="L684" s="11"/>
    </row>
    <row r="685">
      <c r="A685" s="13" t="str">
        <f>IFERROR(__xludf.DUMMYFUNCTION("""COMPUTED_VALUE"""),"Shiny Crawdaunt")</f>
        <v>Shiny Crawdaunt</v>
      </c>
      <c r="B685" s="11" t="str">
        <f>IFERROR(__xludf.DUMMYFUNCTION("""COMPUTED_VALUE"""),"solid water gem")</f>
        <v>solid water gem</v>
      </c>
      <c r="C685" s="11" t="str">
        <f>IFERROR(__xludf.DUMMYFUNCTION("""COMPUTED_VALUE"""),"solid dark gem")</f>
        <v>solid dark gem</v>
      </c>
      <c r="D685" s="11" t="str">
        <f>IFERROR(__xludf.DUMMYFUNCTION("""COMPUTED_VALUE"""),"purple lobster claw")</f>
        <v>purple lobster claw</v>
      </c>
      <c r="E685" s="11" t="str">
        <f>IFERROR(__xludf.DUMMYFUNCTION("""COMPUTED_VALUE"""),"water stone")</f>
        <v>water stone</v>
      </c>
      <c r="F685" s="11" t="str">
        <f>IFERROR(__xludf.DUMMYFUNCTION("""COMPUTED_VALUE"""),"darkness stone")</f>
        <v>darkness stone</v>
      </c>
      <c r="G685" s="11" t="str">
        <f>IFERROR(__xludf.DUMMYFUNCTION("""COMPUTED_VALUE"""),"celestial water orb")</f>
        <v>celestial water orb</v>
      </c>
      <c r="H685" s="11"/>
      <c r="I685" s="11"/>
      <c r="J685" s="11"/>
      <c r="K685" s="11"/>
      <c r="L685" s="11"/>
    </row>
    <row r="686">
      <c r="A686" s="13" t="str">
        <f>IFERROR(__xludf.DUMMYFUNCTION("""COMPUTED_VALUE"""),"Baltoy")</f>
        <v>Baltoy</v>
      </c>
      <c r="B686" s="11" t="str">
        <f>IFERROR(__xludf.DUMMYFUNCTION("""COMPUTED_VALUE"""),"solid earth piece")</f>
        <v>solid earth piece</v>
      </c>
      <c r="C686" s="11" t="str">
        <f>IFERROR(__xludf.DUMMYFUNCTION("""COMPUTED_VALUE"""),"big enchanted gem")</f>
        <v>big enchanted gem</v>
      </c>
      <c r="D686" s="11" t="str">
        <f>IFERROR(__xludf.DUMMYFUNCTION("""COMPUTED_VALUE"""),"spike mud")</f>
        <v>spike mud</v>
      </c>
      <c r="E686" s="11" t="str">
        <f>IFERROR(__xludf.DUMMYFUNCTION("""COMPUTED_VALUE"""),"ground essence")</f>
        <v>ground essence</v>
      </c>
      <c r="F686" s="11" t="str">
        <f>IFERROR(__xludf.DUMMYFUNCTION("""COMPUTED_VALUE"""),"psychic essence")</f>
        <v>psychic essence</v>
      </c>
      <c r="G686" s="11" t="str">
        <f>IFERROR(__xludf.DUMMYFUNCTION("""COMPUTED_VALUE"""),"earth stone")</f>
        <v>earth stone</v>
      </c>
      <c r="H686" s="11" t="str">
        <f>IFERROR(__xludf.DUMMYFUNCTION("""COMPUTED_VALUE"""),"enigma stone")</f>
        <v>enigma stone</v>
      </c>
      <c r="I686" s="11"/>
      <c r="J686" s="11"/>
      <c r="K686" s="11"/>
      <c r="L686" s="11"/>
    </row>
    <row r="687">
      <c r="A687" s="13" t="str">
        <f>IFERROR(__xludf.DUMMYFUNCTION("""COMPUTED_VALUE"""),"Shiny Baltoy")</f>
        <v>Shiny Baltoy</v>
      </c>
      <c r="B687" s="11" t="str">
        <f>IFERROR(__xludf.DUMMYFUNCTION("""COMPUTED_VALUE"""),"solid earth piece")</f>
        <v>solid earth piece</v>
      </c>
      <c r="C687" s="11" t="str">
        <f>IFERROR(__xludf.DUMMYFUNCTION("""COMPUTED_VALUE"""),"big enchanted gem")</f>
        <v>big enchanted gem</v>
      </c>
      <c r="D687" s="11" t="str">
        <f>IFERROR(__xludf.DUMMYFUNCTION("""COMPUTED_VALUE"""),"green spike mud")</f>
        <v>green spike mud</v>
      </c>
      <c r="E687" s="11" t="str">
        <f>IFERROR(__xludf.DUMMYFUNCTION("""COMPUTED_VALUE"""),"earth stone")</f>
        <v>earth stone</v>
      </c>
      <c r="F687" s="11" t="str">
        <f>IFERROR(__xludf.DUMMYFUNCTION("""COMPUTED_VALUE"""),"enigma stone")</f>
        <v>enigma stone</v>
      </c>
      <c r="G687" s="11" t="str">
        <f>IFERROR(__xludf.DUMMYFUNCTION("""COMPUTED_VALUE"""),"mythic ground orb")</f>
        <v>mythic ground orb</v>
      </c>
      <c r="H687" s="11"/>
      <c r="I687" s="11"/>
      <c r="J687" s="11"/>
      <c r="K687" s="11"/>
      <c r="L687" s="11"/>
    </row>
    <row r="688">
      <c r="A688" s="13" t="str">
        <f>IFERROR(__xludf.DUMMYFUNCTION("""COMPUTED_VALUE"""),"Claydol")</f>
        <v>Claydol</v>
      </c>
      <c r="B688" s="11" t="str">
        <f>IFERROR(__xludf.DUMMYFUNCTION("""COMPUTED_VALUE"""),"solid earth piece")</f>
        <v>solid earth piece</v>
      </c>
      <c r="C688" s="11" t="str">
        <f>IFERROR(__xludf.DUMMYFUNCTION("""COMPUTED_VALUE"""),"big enchanted gem")</f>
        <v>big enchanted gem</v>
      </c>
      <c r="D688" s="11" t="str">
        <f>IFERROR(__xludf.DUMMYFUNCTION("""COMPUTED_VALUE"""),"pawn")</f>
        <v>pawn</v>
      </c>
      <c r="E688" s="11" t="str">
        <f>IFERROR(__xludf.DUMMYFUNCTION("""COMPUTED_VALUE"""),"ground essence")</f>
        <v>ground essence</v>
      </c>
      <c r="F688" s="11" t="str">
        <f>IFERROR(__xludf.DUMMYFUNCTION("""COMPUTED_VALUE"""),"psychic essence")</f>
        <v>psychic essence</v>
      </c>
      <c r="G688" s="11" t="str">
        <f>IFERROR(__xludf.DUMMYFUNCTION("""COMPUTED_VALUE"""),"earth stone")</f>
        <v>earth stone</v>
      </c>
      <c r="H688" s="11" t="str">
        <f>IFERROR(__xludf.DUMMYFUNCTION("""COMPUTED_VALUE"""),"enigma stone")</f>
        <v>enigma stone</v>
      </c>
      <c r="I688" s="11"/>
      <c r="J688" s="11"/>
      <c r="K688" s="11"/>
      <c r="L688" s="11"/>
    </row>
    <row r="689">
      <c r="A689" s="13" t="str">
        <f>IFERROR(__xludf.DUMMYFUNCTION("""COMPUTED_VALUE"""),"Shiny Claydol")</f>
        <v>Shiny Claydol</v>
      </c>
      <c r="B689" s="11" t="str">
        <f>IFERROR(__xludf.DUMMYFUNCTION("""COMPUTED_VALUE"""),"solid earth piece")</f>
        <v>solid earth piece</v>
      </c>
      <c r="C689" s="11" t="str">
        <f>IFERROR(__xludf.DUMMYFUNCTION("""COMPUTED_VALUE"""),"big enchanted gem")</f>
        <v>big enchanted gem</v>
      </c>
      <c r="D689" s="11" t="str">
        <f>IFERROR(__xludf.DUMMYFUNCTION("""COMPUTED_VALUE"""),"yellow pawn")</f>
        <v>yellow pawn</v>
      </c>
      <c r="E689" s="11" t="str">
        <f>IFERROR(__xludf.DUMMYFUNCTION("""COMPUTED_VALUE"""),"earth stone")</f>
        <v>earth stone</v>
      </c>
      <c r="F689" s="11" t="str">
        <f>IFERROR(__xludf.DUMMYFUNCTION("""COMPUTED_VALUE"""),"enigma stone")</f>
        <v>enigma stone</v>
      </c>
      <c r="G689" s="11" t="str">
        <f>IFERROR(__xludf.DUMMYFUNCTION("""COMPUTED_VALUE"""),"celestial ground orb")</f>
        <v>celestial ground orb</v>
      </c>
      <c r="H689" s="11"/>
      <c r="I689" s="11"/>
      <c r="J689" s="11"/>
      <c r="K689" s="11"/>
      <c r="L689" s="11"/>
    </row>
    <row r="690">
      <c r="A690" s="13" t="str">
        <f>IFERROR(__xludf.DUMMYFUNCTION("""COMPUTED_VALUE"""),"Lileep")</f>
        <v>Lileep</v>
      </c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>
      <c r="A691" s="13" t="str">
        <f>IFERROR(__xludf.DUMMYFUNCTION("""COMPUTED_VALUE"""),"Shiny Lileep")</f>
        <v>Shiny Lileep</v>
      </c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>
      <c r="A692" s="13" t="str">
        <f>IFERROR(__xludf.DUMMYFUNCTION("""COMPUTED_VALUE"""),"Cradily")</f>
        <v>Cradily</v>
      </c>
      <c r="B692" s="11" t="str">
        <f>IFERROR(__xludf.DUMMYFUNCTION("""COMPUTED_VALUE"""),"big stone")</f>
        <v>big stone</v>
      </c>
      <c r="C692" s="11" t="str">
        <f>IFERROR(__xludf.DUMMYFUNCTION("""COMPUTED_VALUE"""),"pile of seeds")</f>
        <v>pile of seeds</v>
      </c>
      <c r="D692" s="11" t="str">
        <f>IFERROR(__xludf.DUMMYFUNCTION("""COMPUTED_VALUE"""),"cradily feet")</f>
        <v>cradily feet</v>
      </c>
      <c r="E692" s="11" t="str">
        <f>IFERROR(__xludf.DUMMYFUNCTION("""COMPUTED_VALUE"""),"grass essence")</f>
        <v>grass essence</v>
      </c>
      <c r="F692" s="11" t="str">
        <f>IFERROR(__xludf.DUMMYFUNCTION("""COMPUTED_VALUE"""),"rock essence")</f>
        <v>rock essence</v>
      </c>
      <c r="G692" s="11" t="str">
        <f>IFERROR(__xludf.DUMMYFUNCTION("""COMPUTED_VALUE"""),"rock stone")</f>
        <v>rock stone</v>
      </c>
      <c r="H692" s="11" t="str">
        <f>IFERROR(__xludf.DUMMYFUNCTION("""COMPUTED_VALUE"""),"leaf stone")</f>
        <v>leaf stone</v>
      </c>
      <c r="I692" s="11"/>
      <c r="J692" s="11"/>
      <c r="K692" s="11"/>
      <c r="L692" s="11"/>
    </row>
    <row r="693">
      <c r="A693" s="13" t="str">
        <f>IFERROR(__xludf.DUMMYFUNCTION("""COMPUTED_VALUE"""),"Shiny Cradily")</f>
        <v>Shiny Cradily</v>
      </c>
      <c r="B693" s="11" t="str">
        <f>IFERROR(__xludf.DUMMYFUNCTION("""COMPUTED_VALUE"""),"big stone")</f>
        <v>big stone</v>
      </c>
      <c r="C693" s="11" t="str">
        <f>IFERROR(__xludf.DUMMYFUNCTION("""COMPUTED_VALUE"""),"pile of seeds")</f>
        <v>pile of seeds</v>
      </c>
      <c r="D693" s="11" t="str">
        <f>IFERROR(__xludf.DUMMYFUNCTION("""COMPUTED_VALUE"""),"pink cradily body")</f>
        <v>pink cradily body</v>
      </c>
      <c r="E693" s="11" t="str">
        <f>IFERROR(__xludf.DUMMYFUNCTION("""COMPUTED_VALUE"""),"rock stone")</f>
        <v>rock stone</v>
      </c>
      <c r="F693" s="11" t="str">
        <f>IFERROR(__xludf.DUMMYFUNCTION("""COMPUTED_VALUE"""),"leaf stone")</f>
        <v>leaf stone</v>
      </c>
      <c r="G693" s="11" t="str">
        <f>IFERROR(__xludf.DUMMYFUNCTION("""COMPUTED_VALUE"""),"celestial rock orb")</f>
        <v>celestial rock orb</v>
      </c>
      <c r="H693" s="11"/>
      <c r="I693" s="11"/>
      <c r="J693" s="11"/>
      <c r="K693" s="11"/>
      <c r="L693" s="11"/>
    </row>
    <row r="694">
      <c r="A694" s="13" t="str">
        <f>IFERROR(__xludf.DUMMYFUNCTION("""COMPUTED_VALUE"""),"Anorith")</f>
        <v>Anorith</v>
      </c>
      <c r="B694" s="11" t="str">
        <f>IFERROR(__xludf.DUMMYFUNCTION("""COMPUTED_VALUE"""),"big stone")</f>
        <v>big stone</v>
      </c>
      <c r="C694" s="11" t="str">
        <f>IFERROR(__xludf.DUMMYFUNCTION("""COMPUTED_VALUE"""),"big bug gosme")</f>
        <v>big bug gosme</v>
      </c>
      <c r="D694" s="11" t="str">
        <f>IFERROR(__xludf.DUMMYFUNCTION("""COMPUTED_VALUE"""),"little claw")</f>
        <v>little claw</v>
      </c>
      <c r="E694" s="11" t="str">
        <f>IFERROR(__xludf.DUMMYFUNCTION("""COMPUTED_VALUE"""),"bug essence")</f>
        <v>bug essence</v>
      </c>
      <c r="F694" s="11" t="str">
        <f>IFERROR(__xludf.DUMMYFUNCTION("""COMPUTED_VALUE"""),"rock essence")</f>
        <v>rock essence</v>
      </c>
      <c r="G694" s="11" t="str">
        <f>IFERROR(__xludf.DUMMYFUNCTION("""COMPUTED_VALUE"""),"rock stone")</f>
        <v>rock stone</v>
      </c>
      <c r="H694" s="11" t="str">
        <f>IFERROR(__xludf.DUMMYFUNCTION("""COMPUTED_VALUE"""),"cocoon stone")</f>
        <v>cocoon stone</v>
      </c>
      <c r="I694" s="11"/>
      <c r="J694" s="11"/>
      <c r="K694" s="11"/>
      <c r="L694" s="11"/>
    </row>
    <row r="695">
      <c r="A695" s="13" t="str">
        <f>IFERROR(__xludf.DUMMYFUNCTION("""COMPUTED_VALUE"""),"Shiny Anorith")</f>
        <v>Shiny Anorith</v>
      </c>
      <c r="B695" s="11" t="str">
        <f>IFERROR(__xludf.DUMMYFUNCTION("""COMPUTED_VALUE"""),"big stone")</f>
        <v>big stone</v>
      </c>
      <c r="C695" s="11" t="str">
        <f>IFERROR(__xludf.DUMMYFUNCTION("""COMPUTED_VALUE"""),"big bug gosme")</f>
        <v>big bug gosme</v>
      </c>
      <c r="D695" s="11" t="str">
        <f>IFERROR(__xludf.DUMMYFUNCTION("""COMPUTED_VALUE"""),"red claw body")</f>
        <v>red claw body</v>
      </c>
      <c r="E695" s="11" t="str">
        <f>IFERROR(__xludf.DUMMYFUNCTION("""COMPUTED_VALUE"""),"rock stone")</f>
        <v>rock stone</v>
      </c>
      <c r="F695" s="11" t="str">
        <f>IFERROR(__xludf.DUMMYFUNCTION("""COMPUTED_VALUE"""),"cocoon stone")</f>
        <v>cocoon stone</v>
      </c>
      <c r="G695" s="11" t="str">
        <f>IFERROR(__xludf.DUMMYFUNCTION("""COMPUTED_VALUE"""),"mythic rock orb")</f>
        <v>mythic rock orb</v>
      </c>
      <c r="H695" s="11" t="str">
        <f>IFERROR(__xludf.DUMMYFUNCTION("""COMPUTED_VALUE"""),"mythic bug orb")</f>
        <v>mythic bug orb</v>
      </c>
      <c r="I695" s="11"/>
      <c r="J695" s="11"/>
      <c r="K695" s="11"/>
      <c r="L695" s="11"/>
    </row>
    <row r="696">
      <c r="A696" s="13" t="str">
        <f>IFERROR(__xludf.DUMMYFUNCTION("""COMPUTED_VALUE"""),"Armaldo")</f>
        <v>Armaldo</v>
      </c>
      <c r="B696" s="11" t="str">
        <f>IFERROR(__xludf.DUMMYFUNCTION("""COMPUTED_VALUE"""),"big stone")</f>
        <v>big stone</v>
      </c>
      <c r="C696" s="11" t="str">
        <f>IFERROR(__xludf.DUMMYFUNCTION("""COMPUTED_VALUE"""),"big bug gosme")</f>
        <v>big bug gosme</v>
      </c>
      <c r="D696" s="11" t="str">
        <f>IFERROR(__xludf.DUMMYFUNCTION("""COMPUTED_VALUE"""),"claw fossil")</f>
        <v>claw fossil</v>
      </c>
      <c r="E696" s="11" t="str">
        <f>IFERROR(__xludf.DUMMYFUNCTION("""COMPUTED_VALUE"""),"bug essence")</f>
        <v>bug essence</v>
      </c>
      <c r="F696" s="11" t="str">
        <f>IFERROR(__xludf.DUMMYFUNCTION("""COMPUTED_VALUE"""),"rock essence")</f>
        <v>rock essence</v>
      </c>
      <c r="G696" s="11" t="str">
        <f>IFERROR(__xludf.DUMMYFUNCTION("""COMPUTED_VALUE"""),"rock stone")</f>
        <v>rock stone</v>
      </c>
      <c r="H696" s="11" t="str">
        <f>IFERROR(__xludf.DUMMYFUNCTION("""COMPUTED_VALUE"""),"cocoon stone")</f>
        <v>cocoon stone</v>
      </c>
      <c r="I696" s="11"/>
      <c r="J696" s="11"/>
      <c r="K696" s="11"/>
      <c r="L696" s="11"/>
    </row>
    <row r="697">
      <c r="A697" s="13" t="str">
        <f>IFERROR(__xludf.DUMMYFUNCTION("""COMPUTED_VALUE"""),"Shiny Armaldo")</f>
        <v>Shiny Armaldo</v>
      </c>
      <c r="B697" s="11" t="str">
        <f>IFERROR(__xludf.DUMMYFUNCTION("""COMPUTED_VALUE"""),"big stone")</f>
        <v>big stone</v>
      </c>
      <c r="C697" s="11" t="str">
        <f>IFERROR(__xludf.DUMMYFUNCTION("""COMPUTED_VALUE"""),"big bug gosme")</f>
        <v>big bug gosme</v>
      </c>
      <c r="D697" s="11" t="str">
        <f>IFERROR(__xludf.DUMMYFUNCTION("""COMPUTED_VALUE"""),"pink claw fossil")</f>
        <v>pink claw fossil</v>
      </c>
      <c r="E697" s="11" t="str">
        <f>IFERROR(__xludf.DUMMYFUNCTION("""COMPUTED_VALUE"""),"rock stone")</f>
        <v>rock stone</v>
      </c>
      <c r="F697" s="11" t="str">
        <f>IFERROR(__xludf.DUMMYFUNCTION("""COMPUTED_VALUE"""),"cocoon stone")</f>
        <v>cocoon stone</v>
      </c>
      <c r="G697" s="11" t="str">
        <f>IFERROR(__xludf.DUMMYFUNCTION("""COMPUTED_VALUE"""),"celestial rock orb")</f>
        <v>celestial rock orb</v>
      </c>
      <c r="H697" s="11" t="str">
        <f>IFERROR(__xludf.DUMMYFUNCTION("""COMPUTED_VALUE"""),"celestial bug orb")</f>
        <v>celestial bug orb</v>
      </c>
      <c r="I697" s="11"/>
      <c r="J697" s="11"/>
      <c r="K697" s="11"/>
      <c r="L697" s="11"/>
    </row>
    <row r="698">
      <c r="A698" s="13" t="str">
        <f>IFERROR(__xludf.DUMMYFUNCTION("""COMPUTED_VALUE"""),"Feebas")</f>
        <v>Feebas</v>
      </c>
      <c r="B698" s="11" t="str">
        <f>IFERROR(__xludf.DUMMYFUNCTION("""COMPUTED_VALUE"""),"solid water gem")</f>
        <v>solid water gem</v>
      </c>
      <c r="C698" s="11" t="str">
        <f>IFERROR(__xludf.DUMMYFUNCTION("""COMPUTED_VALUE"""),"pink lips")</f>
        <v>pink lips</v>
      </c>
      <c r="D698" s="11" t="str">
        <f>IFERROR(__xludf.DUMMYFUNCTION("""COMPUTED_VALUE"""),"water essence")</f>
        <v>water essence</v>
      </c>
      <c r="E698" s="11" t="str">
        <f>IFERROR(__xludf.DUMMYFUNCTION("""COMPUTED_VALUE"""),"water stone")</f>
        <v>water stone</v>
      </c>
      <c r="F698" s="11"/>
      <c r="G698" s="11"/>
      <c r="H698" s="11"/>
      <c r="I698" s="11"/>
      <c r="J698" s="11"/>
      <c r="K698" s="11"/>
      <c r="L698" s="11"/>
    </row>
    <row r="699">
      <c r="A699" s="13" t="str">
        <f>IFERROR(__xludf.DUMMYFUNCTION("""COMPUTED_VALUE"""),"Shiny Feebas")</f>
        <v>Shiny Feebas</v>
      </c>
      <c r="B699" s="11" t="str">
        <f>IFERROR(__xludf.DUMMYFUNCTION("""COMPUTED_VALUE"""),"solid water gem")</f>
        <v>solid water gem</v>
      </c>
      <c r="C699" s="11" t="str">
        <f>IFERROR(__xludf.DUMMYFUNCTION("""COMPUTED_VALUE"""),"gray fin")</f>
        <v>gray fin</v>
      </c>
      <c r="D699" s="11" t="str">
        <f>IFERROR(__xludf.DUMMYFUNCTION("""COMPUTED_VALUE"""),"water stone")</f>
        <v>water stone</v>
      </c>
      <c r="E699" s="11" t="str">
        <f>IFERROR(__xludf.DUMMYFUNCTION("""COMPUTED_VALUE"""),"mythic water orb")</f>
        <v>mythic water orb</v>
      </c>
      <c r="F699" s="11"/>
      <c r="G699" s="11"/>
      <c r="H699" s="11"/>
      <c r="I699" s="11"/>
      <c r="J699" s="11"/>
      <c r="K699" s="11"/>
      <c r="L699" s="11"/>
    </row>
    <row r="700">
      <c r="A700" s="13" t="str">
        <f>IFERROR(__xludf.DUMMYFUNCTION("""COMPUTED_VALUE"""),"Milotic")</f>
        <v>Milotic</v>
      </c>
      <c r="B700" s="11" t="str">
        <f>IFERROR(__xludf.DUMMYFUNCTION("""COMPUTED_VALUE"""),"solid water gem")</f>
        <v>solid water gem</v>
      </c>
      <c r="C700" s="11" t="str">
        <f>IFERROR(__xludf.DUMMYFUNCTION("""COMPUTED_VALUE"""),"prism scale")</f>
        <v>prism scale</v>
      </c>
      <c r="D700" s="11" t="str">
        <f>IFERROR(__xludf.DUMMYFUNCTION("""COMPUTED_VALUE"""),"water essence")</f>
        <v>water essence</v>
      </c>
      <c r="E700" s="11" t="str">
        <f>IFERROR(__xludf.DUMMYFUNCTION("""COMPUTED_VALUE"""),"water stone")</f>
        <v>water stone</v>
      </c>
      <c r="F700" s="11"/>
      <c r="G700" s="11"/>
      <c r="H700" s="11"/>
      <c r="I700" s="11"/>
      <c r="J700" s="11"/>
      <c r="K700" s="11"/>
      <c r="L700" s="11"/>
    </row>
    <row r="701">
      <c r="A701" s="13" t="str">
        <f>IFERROR(__xludf.DUMMYFUNCTION("""COMPUTED_VALUE"""),"Shiny Milotic")</f>
        <v>Shiny Milotic</v>
      </c>
      <c r="B701" s="11" t="str">
        <f>IFERROR(__xludf.DUMMYFUNCTION("""COMPUTED_VALUE"""),"solid water gem")</f>
        <v>solid water gem</v>
      </c>
      <c r="C701" s="11" t="str">
        <f>IFERROR(__xludf.DUMMYFUNCTION("""COMPUTED_VALUE"""),"shining prism scale")</f>
        <v>shining prism scale</v>
      </c>
      <c r="D701" s="11" t="str">
        <f>IFERROR(__xludf.DUMMYFUNCTION("""COMPUTED_VALUE"""),"water stone")</f>
        <v>water stone</v>
      </c>
      <c r="E701" s="11" t="str">
        <f>IFERROR(__xludf.DUMMYFUNCTION("""COMPUTED_VALUE"""),"celestial water orb")</f>
        <v>celestial water orb</v>
      </c>
      <c r="F701" s="11"/>
      <c r="G701" s="11"/>
      <c r="H701" s="11"/>
      <c r="I701" s="11"/>
      <c r="J701" s="11"/>
      <c r="K701" s="11"/>
      <c r="L701" s="11"/>
    </row>
    <row r="702">
      <c r="A702" s="13" t="str">
        <f>IFERROR(__xludf.DUMMYFUNCTION("""COMPUTED_VALUE"""),"Castform")</f>
        <v>Castform</v>
      </c>
      <c r="B702" s="11" t="str">
        <f>IFERROR(__xludf.DUMMYFUNCTION("""COMPUTED_VALUE"""),"solid rubber ball")</f>
        <v>solid rubber ball</v>
      </c>
      <c r="C702" s="11" t="str">
        <f>IFERROR(__xludf.DUMMYFUNCTION("""COMPUTED_VALUE"""),"molecules")</f>
        <v>molecules</v>
      </c>
      <c r="D702" s="11" t="str">
        <f>IFERROR(__xludf.DUMMYFUNCTION("""COMPUTED_VALUE"""),"normal essence")</f>
        <v>normal essence</v>
      </c>
      <c r="E702" s="11" t="str">
        <f>IFERROR(__xludf.DUMMYFUNCTION("""COMPUTED_VALUE"""),"heart stone")</f>
        <v>heart stone</v>
      </c>
      <c r="F702" s="11"/>
      <c r="G702" s="11"/>
      <c r="H702" s="11"/>
      <c r="I702" s="11"/>
      <c r="J702" s="11"/>
      <c r="K702" s="11"/>
      <c r="L702" s="11"/>
    </row>
    <row r="703">
      <c r="A703" s="13" t="str">
        <f>IFERROR(__xludf.DUMMYFUNCTION("""COMPUTED_VALUE"""),"Castform Fire")</f>
        <v>Castform Fire</v>
      </c>
      <c r="B703" s="11" t="str">
        <f>IFERROR(__xludf.DUMMYFUNCTION("""COMPUTED_VALUE"""),"compressed fire")</f>
        <v>compressed fire</v>
      </c>
      <c r="C703" s="11" t="str">
        <f>IFERROR(__xludf.DUMMYFUNCTION("""COMPUTED_VALUE"""),"molecules")</f>
        <v>molecules</v>
      </c>
      <c r="D703" s="11" t="str">
        <f>IFERROR(__xludf.DUMMYFUNCTION("""COMPUTED_VALUE"""),"fire essence")</f>
        <v>fire essence</v>
      </c>
      <c r="E703" s="11" t="str">
        <f>IFERROR(__xludf.DUMMYFUNCTION("""COMPUTED_VALUE"""),"fire stone")</f>
        <v>fire stone</v>
      </c>
      <c r="F703" s="11" t="str">
        <f>IFERROR(__xludf.DUMMYFUNCTION("""COMPUTED_VALUE"""),"castform fire stone")</f>
        <v>castform fire stone</v>
      </c>
      <c r="G703" s="11"/>
      <c r="H703" s="11"/>
      <c r="I703" s="11"/>
      <c r="J703" s="11"/>
      <c r="K703" s="11"/>
      <c r="L703" s="11"/>
    </row>
    <row r="704">
      <c r="A704" s="13" t="str">
        <f>IFERROR(__xludf.DUMMYFUNCTION("""COMPUTED_VALUE"""),"Castform Electric")</f>
        <v>Castform Electric</v>
      </c>
      <c r="B704" s="11" t="str">
        <f>IFERROR(__xludf.DUMMYFUNCTION("""COMPUTED_VALUE"""),"electric sphere")</f>
        <v>electric sphere</v>
      </c>
      <c r="C704" s="11" t="str">
        <f>IFERROR(__xludf.DUMMYFUNCTION("""COMPUTED_VALUE"""),"molecules")</f>
        <v>molecules</v>
      </c>
      <c r="D704" s="11" t="str">
        <f>IFERROR(__xludf.DUMMYFUNCTION("""COMPUTED_VALUE"""),"electric essence")</f>
        <v>electric essence</v>
      </c>
      <c r="E704" s="11" t="str">
        <f>IFERROR(__xludf.DUMMYFUNCTION("""COMPUTED_VALUE"""),"thunder stone")</f>
        <v>thunder stone</v>
      </c>
      <c r="F704" s="11" t="str">
        <f>IFERROR(__xludf.DUMMYFUNCTION("""COMPUTED_VALUE"""),"castform thunder stone")</f>
        <v>castform thunder stone</v>
      </c>
      <c r="G704" s="11"/>
      <c r="H704" s="11"/>
      <c r="I704" s="11"/>
      <c r="J704" s="11"/>
      <c r="K704" s="11"/>
      <c r="L704" s="11"/>
    </row>
    <row r="705">
      <c r="A705" s="13" t="str">
        <f>IFERROR(__xludf.DUMMYFUNCTION("""COMPUTED_VALUE"""),"Castform Ice")</f>
        <v>Castform Ice</v>
      </c>
      <c r="B705" s="11" t="str">
        <f>IFERROR(__xludf.DUMMYFUNCTION("""COMPUTED_VALUE"""),"solid ice cube")</f>
        <v>solid ice cube</v>
      </c>
      <c r="C705" s="11" t="str">
        <f>IFERROR(__xludf.DUMMYFUNCTION("""COMPUTED_VALUE"""),"molecules")</f>
        <v>molecules</v>
      </c>
      <c r="D705" s="11" t="str">
        <f>IFERROR(__xludf.DUMMYFUNCTION("""COMPUTED_VALUE"""),"ice essence")</f>
        <v>ice essence</v>
      </c>
      <c r="E705" s="11" t="str">
        <f>IFERROR(__xludf.DUMMYFUNCTION("""COMPUTED_VALUE"""),"ice stone")</f>
        <v>ice stone</v>
      </c>
      <c r="F705" s="11" t="str">
        <f>IFERROR(__xludf.DUMMYFUNCTION("""COMPUTED_VALUE"""),"castform ice stone")</f>
        <v>castform ice stone</v>
      </c>
      <c r="G705" s="11"/>
      <c r="H705" s="11"/>
      <c r="I705" s="11"/>
      <c r="J705" s="11"/>
      <c r="K705" s="11"/>
      <c r="L705" s="11"/>
    </row>
    <row r="706">
      <c r="A706" s="13" t="str">
        <f>IFERROR(__xludf.DUMMYFUNCTION("""COMPUTED_VALUE"""),"Shiny Castform")</f>
        <v>Shiny Castform</v>
      </c>
      <c r="B706" s="11" t="str">
        <f>IFERROR(__xludf.DUMMYFUNCTION("""COMPUTED_VALUE"""),"solid rubber ball")</f>
        <v>solid rubber ball</v>
      </c>
      <c r="C706" s="11" t="str">
        <f>IFERROR(__xludf.DUMMYFUNCTION("""COMPUTED_VALUE"""),"rosy molecules")</f>
        <v>rosy molecules</v>
      </c>
      <c r="D706" s="11" t="str">
        <f>IFERROR(__xludf.DUMMYFUNCTION("""COMPUTED_VALUE"""),"heart stone")</f>
        <v>heart stone</v>
      </c>
      <c r="E706" s="11" t="str">
        <f>IFERROR(__xludf.DUMMYFUNCTION("""COMPUTED_VALUE"""),"celestial normal orb")</f>
        <v>celestial normal orb</v>
      </c>
      <c r="F706" s="11"/>
      <c r="G706" s="11"/>
      <c r="H706" s="11"/>
      <c r="I706" s="11"/>
      <c r="J706" s="11"/>
      <c r="K706" s="11"/>
      <c r="L706" s="11"/>
    </row>
    <row r="707">
      <c r="A707" s="13" t="str">
        <f>IFERROR(__xludf.DUMMYFUNCTION("""COMPUTED_VALUE"""),"Shiny Castform Fire")</f>
        <v>Shiny Castform Fire</v>
      </c>
      <c r="B707" s="11" t="str">
        <f>IFERROR(__xludf.DUMMYFUNCTION("""COMPUTED_VALUE"""),"compressed fire")</f>
        <v>compressed fire</v>
      </c>
      <c r="C707" s="11" t="str">
        <f>IFERROR(__xludf.DUMMYFUNCTION("""COMPUTED_VALUE"""),"rosy molecules")</f>
        <v>rosy molecules</v>
      </c>
      <c r="D707" s="11" t="str">
        <f>IFERROR(__xludf.DUMMYFUNCTION("""COMPUTED_VALUE"""),"fire stone")</f>
        <v>fire stone</v>
      </c>
      <c r="E707" s="11" t="str">
        <f>IFERROR(__xludf.DUMMYFUNCTION("""COMPUTED_VALUE"""),"celestial fire orb")</f>
        <v>celestial fire orb</v>
      </c>
      <c r="F707" s="11" t="str">
        <f>IFERROR(__xludf.DUMMYFUNCTION("""COMPUTED_VALUE"""),"castform fire stone")</f>
        <v>castform fire stone</v>
      </c>
      <c r="G707" s="11"/>
      <c r="H707" s="11"/>
      <c r="I707" s="11"/>
      <c r="J707" s="11"/>
      <c r="K707" s="11"/>
      <c r="L707" s="11"/>
    </row>
    <row r="708">
      <c r="A708" s="13" t="str">
        <f>IFERROR(__xludf.DUMMYFUNCTION("""COMPUTED_VALUE"""),"Shiny Castform Electric")</f>
        <v>Shiny Castform Electric</v>
      </c>
      <c r="B708" s="11" t="str">
        <f>IFERROR(__xludf.DUMMYFUNCTION("""COMPUTED_VALUE"""),"electric sphere")</f>
        <v>electric sphere</v>
      </c>
      <c r="C708" s="11" t="str">
        <f>IFERROR(__xludf.DUMMYFUNCTION("""COMPUTED_VALUE"""),"rosy molecules")</f>
        <v>rosy molecules</v>
      </c>
      <c r="D708" s="11" t="str">
        <f>IFERROR(__xludf.DUMMYFUNCTION("""COMPUTED_VALUE"""),"thunder stone")</f>
        <v>thunder stone</v>
      </c>
      <c r="E708" s="11" t="str">
        <f>IFERROR(__xludf.DUMMYFUNCTION("""COMPUTED_VALUE"""),"celestial electric orb")</f>
        <v>celestial electric orb</v>
      </c>
      <c r="F708" s="11" t="str">
        <f>IFERROR(__xludf.DUMMYFUNCTION("""COMPUTED_VALUE"""),"castform thunder stone")</f>
        <v>castform thunder stone</v>
      </c>
      <c r="G708" s="11"/>
      <c r="H708" s="11"/>
      <c r="I708" s="11"/>
      <c r="J708" s="11"/>
      <c r="K708" s="11"/>
      <c r="L708" s="11"/>
    </row>
    <row r="709">
      <c r="A709" s="13" t="str">
        <f>IFERROR(__xludf.DUMMYFUNCTION("""COMPUTED_VALUE"""),"Shiny Castform Ice")</f>
        <v>Shiny Castform Ice</v>
      </c>
      <c r="B709" s="11" t="str">
        <f>IFERROR(__xludf.DUMMYFUNCTION("""COMPUTED_VALUE"""),"solid ice cube")</f>
        <v>solid ice cube</v>
      </c>
      <c r="C709" s="11" t="str">
        <f>IFERROR(__xludf.DUMMYFUNCTION("""COMPUTED_VALUE"""),"rosy molecules")</f>
        <v>rosy molecules</v>
      </c>
      <c r="D709" s="11" t="str">
        <f>IFERROR(__xludf.DUMMYFUNCTION("""COMPUTED_VALUE"""),"ice stone")</f>
        <v>ice stone</v>
      </c>
      <c r="E709" s="11" t="str">
        <f>IFERROR(__xludf.DUMMYFUNCTION("""COMPUTED_VALUE"""),"celestial ice orb")</f>
        <v>celestial ice orb</v>
      </c>
      <c r="F709" s="11" t="str">
        <f>IFERROR(__xludf.DUMMYFUNCTION("""COMPUTED_VALUE"""),"castform ice stone")</f>
        <v>castform ice stone</v>
      </c>
      <c r="G709" s="11"/>
      <c r="H709" s="11"/>
      <c r="I709" s="11"/>
      <c r="J709" s="11"/>
      <c r="K709" s="11"/>
      <c r="L709" s="11"/>
    </row>
    <row r="710">
      <c r="A710" s="13" t="str">
        <f>IFERROR(__xludf.DUMMYFUNCTION("""COMPUTED_VALUE"""),"Kecleon")</f>
        <v>Kecleon</v>
      </c>
      <c r="B710" s="11" t="str">
        <f>IFERROR(__xludf.DUMMYFUNCTION("""COMPUTED_VALUE"""),"solid rubber ball")</f>
        <v>solid rubber ball</v>
      </c>
      <c r="C710" s="11" t="str">
        <f>IFERROR(__xludf.DUMMYFUNCTION("""COMPUTED_VALUE"""),"chameleon tail")</f>
        <v>chameleon tail</v>
      </c>
      <c r="D710" s="11" t="str">
        <f>IFERROR(__xludf.DUMMYFUNCTION("""COMPUTED_VALUE"""),"normal essence")</f>
        <v>normal essence</v>
      </c>
      <c r="E710" s="11" t="str">
        <f>IFERROR(__xludf.DUMMYFUNCTION("""COMPUTED_VALUE"""),"heart stone")</f>
        <v>heart stone</v>
      </c>
      <c r="F710" s="11"/>
      <c r="G710" s="11"/>
      <c r="H710" s="11"/>
      <c r="I710" s="11"/>
      <c r="J710" s="11"/>
      <c r="K710" s="11"/>
      <c r="L710" s="11"/>
    </row>
    <row r="711">
      <c r="A711" s="13" t="str">
        <f>IFERROR(__xludf.DUMMYFUNCTION("""COMPUTED_VALUE"""),"Shiny Kecleon")</f>
        <v>Shiny Kecleon</v>
      </c>
      <c r="B711" s="11" t="str">
        <f>IFERROR(__xludf.DUMMYFUNCTION("""COMPUTED_VALUE"""),"solid rubber ball")</f>
        <v>solid rubber ball</v>
      </c>
      <c r="C711" s="11" t="str">
        <f>IFERROR(__xludf.DUMMYFUNCTION("""COMPUTED_VALUE"""),"rosy chameleon tail")</f>
        <v>rosy chameleon tail</v>
      </c>
      <c r="D711" s="11" t="str">
        <f>IFERROR(__xludf.DUMMYFUNCTION("""COMPUTED_VALUE"""),"heart stone")</f>
        <v>heart stone</v>
      </c>
      <c r="E711" s="11" t="str">
        <f>IFERROR(__xludf.DUMMYFUNCTION("""COMPUTED_VALUE"""),"celestial normal orb")</f>
        <v>celestial normal orb</v>
      </c>
      <c r="F711" s="11"/>
      <c r="G711" s="11"/>
      <c r="H711" s="11"/>
      <c r="I711" s="11"/>
      <c r="J711" s="11"/>
      <c r="K711" s="11"/>
      <c r="L711" s="11"/>
    </row>
    <row r="712">
      <c r="A712" s="13" t="str">
        <f>IFERROR(__xludf.DUMMYFUNCTION("""COMPUTED_VALUE"""),"Shuppet")</f>
        <v>Shuppet</v>
      </c>
      <c r="B712" s="11" t="str">
        <f>IFERROR(__xludf.DUMMYFUNCTION("""COMPUTED_VALUE"""),"compressed ghost essence")</f>
        <v>compressed ghost essence</v>
      </c>
      <c r="C712" s="11" t="str">
        <f>IFERROR(__xludf.DUMMYFUNCTION("""COMPUTED_VALUE"""),"gray cloth")</f>
        <v>gray cloth</v>
      </c>
      <c r="D712" s="11" t="str">
        <f>IFERROR(__xludf.DUMMYFUNCTION("""COMPUTED_VALUE"""),"ghost essence")</f>
        <v>ghost essence</v>
      </c>
      <c r="E712" s="11" t="str">
        <f>IFERROR(__xludf.DUMMYFUNCTION("""COMPUTED_VALUE"""),"ghost stone")</f>
        <v>ghost stone</v>
      </c>
      <c r="F712" s="11"/>
      <c r="G712" s="11"/>
      <c r="H712" s="11"/>
      <c r="I712" s="11"/>
      <c r="J712" s="11"/>
      <c r="K712" s="11"/>
      <c r="L712" s="11"/>
    </row>
    <row r="713">
      <c r="A713" s="13" t="str">
        <f>IFERROR(__xludf.DUMMYFUNCTION("""COMPUTED_VALUE"""),"Shiny Shuppet")</f>
        <v>Shiny Shuppet</v>
      </c>
      <c r="B713" s="11" t="str">
        <f>IFERROR(__xludf.DUMMYFUNCTION("""COMPUTED_VALUE"""),"compressed ghost essence")</f>
        <v>compressed ghost essence</v>
      </c>
      <c r="C713" s="11" t="str">
        <f>IFERROR(__xludf.DUMMYFUNCTION("""COMPUTED_VALUE"""),"cyan clothe")</f>
        <v>cyan clothe</v>
      </c>
      <c r="D713" s="11" t="str">
        <f>IFERROR(__xludf.DUMMYFUNCTION("""COMPUTED_VALUE"""),"ghost stone")</f>
        <v>ghost stone</v>
      </c>
      <c r="E713" s="11" t="str">
        <f>IFERROR(__xludf.DUMMYFUNCTION("""COMPUTED_VALUE"""),"mythic ghost orb")</f>
        <v>mythic ghost orb</v>
      </c>
      <c r="F713" s="11"/>
      <c r="G713" s="11"/>
      <c r="H713" s="11"/>
      <c r="I713" s="11"/>
      <c r="J713" s="11"/>
      <c r="K713" s="11"/>
      <c r="L713" s="11"/>
    </row>
    <row r="714">
      <c r="A714" s="13" t="str">
        <f>IFERROR(__xludf.DUMMYFUNCTION("""COMPUTED_VALUE"""),"Banette")</f>
        <v>Banette</v>
      </c>
      <c r="B714" s="11" t="str">
        <f>IFERROR(__xludf.DUMMYFUNCTION("""COMPUTED_VALUE"""),"compressed ghost essence")</f>
        <v>compressed ghost essence</v>
      </c>
      <c r="C714" s="11" t="str">
        <f>IFERROR(__xludf.DUMMYFUNCTION("""COMPUTED_VALUE"""),"doll star")</f>
        <v>doll star</v>
      </c>
      <c r="D714" s="11" t="str">
        <f>IFERROR(__xludf.DUMMYFUNCTION("""COMPUTED_VALUE"""),"ghost essence")</f>
        <v>ghost essence</v>
      </c>
      <c r="E714" s="11" t="str">
        <f>IFERROR(__xludf.DUMMYFUNCTION("""COMPUTED_VALUE"""),"ghost stone")</f>
        <v>ghost stone</v>
      </c>
      <c r="F714" s="11"/>
      <c r="G714" s="11"/>
      <c r="H714" s="11"/>
      <c r="I714" s="11"/>
      <c r="J714" s="11"/>
      <c r="K714" s="11"/>
      <c r="L714" s="11"/>
    </row>
    <row r="715">
      <c r="A715" s="13" t="str">
        <f>IFERROR(__xludf.DUMMYFUNCTION("""COMPUTED_VALUE"""),"Shiny Banette")</f>
        <v>Shiny Banette</v>
      </c>
      <c r="B715" s="11" t="str">
        <f>IFERROR(__xludf.DUMMYFUNCTION("""COMPUTED_VALUE"""),"compressed ghost essence")</f>
        <v>compressed ghost essence</v>
      </c>
      <c r="C715" s="11" t="str">
        <f>IFERROR(__xludf.DUMMYFUNCTION("""COMPUTED_VALUE"""),"blue doll star")</f>
        <v>blue doll star</v>
      </c>
      <c r="D715" s="11" t="str">
        <f>IFERROR(__xludf.DUMMYFUNCTION("""COMPUTED_VALUE"""),"ghost stone")</f>
        <v>ghost stone</v>
      </c>
      <c r="E715" s="11" t="str">
        <f>IFERROR(__xludf.DUMMYFUNCTION("""COMPUTED_VALUE"""),"celestial ghost orb")</f>
        <v>celestial ghost orb</v>
      </c>
      <c r="F715" s="11"/>
      <c r="G715" s="11"/>
      <c r="H715" s="11"/>
      <c r="I715" s="11"/>
      <c r="J715" s="11"/>
      <c r="K715" s="11"/>
      <c r="L715" s="11"/>
    </row>
    <row r="716">
      <c r="A716" s="13" t="str">
        <f>IFERROR(__xludf.DUMMYFUNCTION("""COMPUTED_VALUE"""),"Duskull")</f>
        <v>Duskull</v>
      </c>
      <c r="B716" s="11" t="str">
        <f>IFERROR(__xludf.DUMMYFUNCTION("""COMPUTED_VALUE"""),"compressed ghost essence")</f>
        <v>compressed ghost essence</v>
      </c>
      <c r="C716" s="11" t="str">
        <f>IFERROR(__xludf.DUMMYFUNCTION("""COMPUTED_VALUE"""),"ghost skull")</f>
        <v>ghost skull</v>
      </c>
      <c r="D716" s="11" t="str">
        <f>IFERROR(__xludf.DUMMYFUNCTION("""COMPUTED_VALUE"""),"ghost essence")</f>
        <v>ghost essence</v>
      </c>
      <c r="E716" s="11" t="str">
        <f>IFERROR(__xludf.DUMMYFUNCTION("""COMPUTED_VALUE"""),"ghost stone")</f>
        <v>ghost stone</v>
      </c>
      <c r="F716" s="11"/>
      <c r="G716" s="11"/>
      <c r="H716" s="11"/>
      <c r="I716" s="11"/>
      <c r="J716" s="11"/>
      <c r="K716" s="11"/>
      <c r="L716" s="11"/>
    </row>
    <row r="717">
      <c r="A717" s="13" t="str">
        <f>IFERROR(__xludf.DUMMYFUNCTION("""COMPUTED_VALUE"""),"Shiny Duskull")</f>
        <v>Shiny Duskull</v>
      </c>
      <c r="B717" s="11" t="str">
        <f>IFERROR(__xludf.DUMMYFUNCTION("""COMPUTED_VALUE"""),"compressed ghost essence")</f>
        <v>compressed ghost essence</v>
      </c>
      <c r="C717" s="11" t="str">
        <f>IFERROR(__xludf.DUMMYFUNCTION("""COMPUTED_VALUE"""),"ghost bones")</f>
        <v>ghost bones</v>
      </c>
      <c r="D717" s="11" t="str">
        <f>IFERROR(__xludf.DUMMYFUNCTION("""COMPUTED_VALUE"""),"ghost stone")</f>
        <v>ghost stone</v>
      </c>
      <c r="E717" s="11" t="str">
        <f>IFERROR(__xludf.DUMMYFUNCTION("""COMPUTED_VALUE"""),"mythic ghost orb")</f>
        <v>mythic ghost orb</v>
      </c>
      <c r="F717" s="11"/>
      <c r="G717" s="11"/>
      <c r="H717" s="11"/>
      <c r="I717" s="11"/>
      <c r="J717" s="11"/>
      <c r="K717" s="11"/>
      <c r="L717" s="11"/>
    </row>
    <row r="718">
      <c r="A718" s="13" t="str">
        <f>IFERROR(__xludf.DUMMYFUNCTION("""COMPUTED_VALUE"""),"Dusclops")</f>
        <v>Dusclops</v>
      </c>
      <c r="B718" s="11" t="str">
        <f>IFERROR(__xludf.DUMMYFUNCTION("""COMPUTED_VALUE"""),"compressed ghost essence")</f>
        <v>compressed ghost essence</v>
      </c>
      <c r="C718" s="11" t="str">
        <f>IFERROR(__xludf.DUMMYFUNCTION("""COMPUTED_VALUE"""),"creepy eye")</f>
        <v>creepy eye</v>
      </c>
      <c r="D718" s="11" t="str">
        <f>IFERROR(__xludf.DUMMYFUNCTION("""COMPUTED_VALUE"""),"ghost essence")</f>
        <v>ghost essence</v>
      </c>
      <c r="E718" s="11" t="str">
        <f>IFERROR(__xludf.DUMMYFUNCTION("""COMPUTED_VALUE"""),"ghost stone")</f>
        <v>ghost stone</v>
      </c>
      <c r="F718" s="11"/>
      <c r="G718" s="11"/>
      <c r="H718" s="11"/>
      <c r="I718" s="11"/>
      <c r="J718" s="11"/>
      <c r="K718" s="11"/>
      <c r="L718" s="11"/>
    </row>
    <row r="719">
      <c r="A719" s="13" t="str">
        <f>IFERROR(__xludf.DUMMYFUNCTION("""COMPUTED_VALUE"""),"Shiny Dusclops")</f>
        <v>Shiny Dusclops</v>
      </c>
      <c r="B719" s="11" t="str">
        <f>IFERROR(__xludf.DUMMYFUNCTION("""COMPUTED_VALUE"""),"compressed ghost essence")</f>
        <v>compressed ghost essence</v>
      </c>
      <c r="C719" s="11" t="str">
        <f>IFERROR(__xludf.DUMMYFUNCTION("""COMPUTED_VALUE"""),"ghost reddish hands")</f>
        <v>ghost reddish hands</v>
      </c>
      <c r="D719" s="11" t="str">
        <f>IFERROR(__xludf.DUMMYFUNCTION("""COMPUTED_VALUE"""),"ghost stone")</f>
        <v>ghost stone</v>
      </c>
      <c r="E719" s="11" t="str">
        <f>IFERROR(__xludf.DUMMYFUNCTION("""COMPUTED_VALUE"""),"celestial ghost orb")</f>
        <v>celestial ghost orb</v>
      </c>
      <c r="F719" s="11"/>
      <c r="G719" s="11"/>
      <c r="H719" s="11"/>
      <c r="I719" s="11"/>
      <c r="J719" s="11"/>
      <c r="K719" s="11"/>
      <c r="L719" s="11"/>
    </row>
    <row r="720">
      <c r="A720" s="13" t="str">
        <f>IFERROR(__xludf.DUMMYFUNCTION("""COMPUTED_VALUE"""),"Tropius")</f>
        <v>Tropius</v>
      </c>
      <c r="B720" s="11" t="str">
        <f>IFERROR(__xludf.DUMMYFUNCTION("""COMPUTED_VALUE"""),"pile of seeds")</f>
        <v>pile of seeds</v>
      </c>
      <c r="C720" s="11" t="str">
        <f>IFERROR(__xludf.DUMMYFUNCTION("""COMPUTED_VALUE"""),"compressed straw")</f>
        <v>compressed straw</v>
      </c>
      <c r="D720" s="11" t="str">
        <f>IFERROR(__xludf.DUMMYFUNCTION("""COMPUTED_VALUE"""),"palm leaves")</f>
        <v>palm leaves</v>
      </c>
      <c r="E720" s="11" t="str">
        <f>IFERROR(__xludf.DUMMYFUNCTION("""COMPUTED_VALUE"""),"grass essence")</f>
        <v>grass essence</v>
      </c>
      <c r="F720" s="11" t="str">
        <f>IFERROR(__xludf.DUMMYFUNCTION("""COMPUTED_VALUE"""),"flying essence")</f>
        <v>flying essence</v>
      </c>
      <c r="G720" s="11" t="str">
        <f>IFERROR(__xludf.DUMMYFUNCTION("""COMPUTED_VALUE"""),"leaf stone")</f>
        <v>leaf stone</v>
      </c>
      <c r="H720" s="11" t="str">
        <f>IFERROR(__xludf.DUMMYFUNCTION("""COMPUTED_VALUE"""),"feather stone")</f>
        <v>feather stone</v>
      </c>
      <c r="I720" s="11"/>
      <c r="J720" s="11"/>
      <c r="K720" s="11"/>
      <c r="L720" s="11"/>
    </row>
    <row r="721">
      <c r="A721" s="13" t="str">
        <f>IFERROR(__xludf.DUMMYFUNCTION("""COMPUTED_VALUE"""),"Shiny Tropius")</f>
        <v>Shiny Tropius</v>
      </c>
      <c r="B721" s="11" t="str">
        <f>IFERROR(__xludf.DUMMYFUNCTION("""COMPUTED_VALUE"""),"pile of seeds")</f>
        <v>pile of seeds</v>
      </c>
      <c r="C721" s="11" t="str">
        <f>IFERROR(__xludf.DUMMYFUNCTION("""COMPUTED_VALUE"""),"compressed straw")</f>
        <v>compressed straw</v>
      </c>
      <c r="D721" s="11" t="str">
        <f>IFERROR(__xludf.DUMMYFUNCTION("""COMPUTED_VALUE"""),"yellowish palm leaves")</f>
        <v>yellowish palm leaves</v>
      </c>
      <c r="E721" s="11" t="str">
        <f>IFERROR(__xludf.DUMMYFUNCTION("""COMPUTED_VALUE"""),"leaf stone")</f>
        <v>leaf stone</v>
      </c>
      <c r="F721" s="11" t="str">
        <f>IFERROR(__xludf.DUMMYFUNCTION("""COMPUTED_VALUE"""),"feather stone")</f>
        <v>feather stone</v>
      </c>
      <c r="G721" s="11" t="str">
        <f>IFERROR(__xludf.DUMMYFUNCTION("""COMPUTED_VALUE"""),"celestial grass orb")</f>
        <v>celestial grass orb</v>
      </c>
      <c r="H721" s="11"/>
      <c r="I721" s="11"/>
      <c r="J721" s="11"/>
      <c r="K721" s="11"/>
      <c r="L721" s="11"/>
    </row>
    <row r="722">
      <c r="A722" s="13" t="str">
        <f>IFERROR(__xludf.DUMMYFUNCTION("""COMPUTED_VALUE"""),"Chimecho")</f>
        <v>Chimecho</v>
      </c>
      <c r="B722" s="11" t="str">
        <f>IFERROR(__xludf.DUMMYFUNCTION("""COMPUTED_VALUE"""),"big enchanted gem")</f>
        <v>big enchanted gem</v>
      </c>
      <c r="C722" s="11" t="str">
        <f>IFERROR(__xludf.DUMMYFUNCTION("""COMPUTED_VALUE"""),"red skirt")</f>
        <v>red skirt</v>
      </c>
      <c r="D722" s="11" t="str">
        <f>IFERROR(__xludf.DUMMYFUNCTION("""COMPUTED_VALUE"""),"psychic essence")</f>
        <v>psychic essence</v>
      </c>
      <c r="E722" s="11" t="str">
        <f>IFERROR(__xludf.DUMMYFUNCTION("""COMPUTED_VALUE"""),"enigma stone")</f>
        <v>enigma stone</v>
      </c>
      <c r="F722" s="11"/>
      <c r="G722" s="11"/>
      <c r="H722" s="11"/>
      <c r="I722" s="11"/>
      <c r="J722" s="11"/>
      <c r="K722" s="11"/>
      <c r="L722" s="11"/>
    </row>
    <row r="723">
      <c r="A723" s="13" t="str">
        <f>IFERROR(__xludf.DUMMYFUNCTION("""COMPUTED_VALUE"""),"Shiny Chimecho")</f>
        <v>Shiny Chimecho</v>
      </c>
      <c r="B723" s="11" t="str">
        <f>IFERROR(__xludf.DUMMYFUNCTION("""COMPUTED_VALUE"""),"big enchanted gem")</f>
        <v>big enchanted gem</v>
      </c>
      <c r="C723" s="11" t="str">
        <f>IFERROR(__xludf.DUMMYFUNCTION("""COMPUTED_VALUE"""),"green skirt")</f>
        <v>green skirt</v>
      </c>
      <c r="D723" s="11" t="str">
        <f>IFERROR(__xludf.DUMMYFUNCTION("""COMPUTED_VALUE"""),"enigma stone")</f>
        <v>enigma stone</v>
      </c>
      <c r="E723" s="11" t="str">
        <f>IFERROR(__xludf.DUMMYFUNCTION("""COMPUTED_VALUE"""),"celestial psychic orb")</f>
        <v>celestial psychic orb</v>
      </c>
      <c r="F723" s="11"/>
      <c r="G723" s="11"/>
      <c r="H723" s="11"/>
      <c r="I723" s="11"/>
      <c r="J723" s="11"/>
      <c r="K723" s="11"/>
      <c r="L723" s="11"/>
    </row>
    <row r="724">
      <c r="A724" s="13" t="str">
        <f>IFERROR(__xludf.DUMMYFUNCTION("""COMPUTED_VALUE"""),"Absol")</f>
        <v>Absol</v>
      </c>
      <c r="B724" s="11" t="str">
        <f>IFERROR(__xludf.DUMMYFUNCTION("""COMPUTED_VALUE"""),"solid dark gem")</f>
        <v>solid dark gem</v>
      </c>
      <c r="C724" s="11" t="str">
        <f>IFERROR(__xludf.DUMMYFUNCTION("""COMPUTED_VALUE"""),"dark moon")</f>
        <v>dark moon</v>
      </c>
      <c r="D724" s="11" t="str">
        <f>IFERROR(__xludf.DUMMYFUNCTION("""COMPUTED_VALUE"""),"dark essence")</f>
        <v>dark essence</v>
      </c>
      <c r="E724" s="11" t="str">
        <f>IFERROR(__xludf.DUMMYFUNCTION("""COMPUTED_VALUE"""),"darkness stone")</f>
        <v>darkness stone</v>
      </c>
      <c r="F724" s="11"/>
      <c r="G724" s="11"/>
      <c r="H724" s="11"/>
      <c r="I724" s="11"/>
      <c r="J724" s="11"/>
      <c r="K724" s="11"/>
      <c r="L724" s="11"/>
    </row>
    <row r="725">
      <c r="A725" s="13" t="str">
        <f>IFERROR(__xludf.DUMMYFUNCTION("""COMPUTED_VALUE"""),"Shiny Absol")</f>
        <v>Shiny Absol</v>
      </c>
      <c r="B725" s="11" t="str">
        <f>IFERROR(__xludf.DUMMYFUNCTION("""COMPUTED_VALUE"""),"solid dark gem")</f>
        <v>solid dark gem</v>
      </c>
      <c r="C725" s="11" t="str">
        <f>IFERROR(__xludf.DUMMYFUNCTION("""COMPUTED_VALUE"""),"red dark moon")</f>
        <v>red dark moon</v>
      </c>
      <c r="D725" s="11" t="str">
        <f>IFERROR(__xludf.DUMMYFUNCTION("""COMPUTED_VALUE"""),"darkness stone")</f>
        <v>darkness stone</v>
      </c>
      <c r="E725" s="11" t="str">
        <f>IFERROR(__xludf.DUMMYFUNCTION("""COMPUTED_VALUE"""),"celestial dark orb")</f>
        <v>celestial dark orb</v>
      </c>
      <c r="F725" s="11"/>
      <c r="G725" s="11"/>
      <c r="H725" s="11"/>
      <c r="I725" s="11"/>
      <c r="J725" s="11"/>
      <c r="K725" s="11"/>
      <c r="L725" s="11"/>
    </row>
    <row r="726">
      <c r="A726" s="13" t="str">
        <f>IFERROR(__xludf.DUMMYFUNCTION("""COMPUTED_VALUE"""),"Wynaut")</f>
        <v>Wynaut</v>
      </c>
      <c r="B726" s="11" t="str">
        <f>IFERROR(__xludf.DUMMYFUNCTION("""COMPUTED_VALUE"""),"big enchanted gem")</f>
        <v>big enchanted gem</v>
      </c>
      <c r="C726" s="11" t="str">
        <f>IFERROR(__xludf.DUMMYFUNCTION("""COMPUTED_VALUE"""),"long ear")</f>
        <v>long ear</v>
      </c>
      <c r="D726" s="11" t="str">
        <f>IFERROR(__xludf.DUMMYFUNCTION("""COMPUTED_VALUE"""),"psychic essence")</f>
        <v>psychic essence</v>
      </c>
      <c r="E726" s="11" t="str">
        <f>IFERROR(__xludf.DUMMYFUNCTION("""COMPUTED_VALUE"""),"enigma stone")</f>
        <v>enigma stone</v>
      </c>
      <c r="F726" s="11"/>
      <c r="G726" s="11"/>
      <c r="H726" s="11"/>
      <c r="I726" s="11"/>
      <c r="J726" s="11"/>
      <c r="K726" s="11"/>
      <c r="L726" s="11"/>
    </row>
    <row r="727">
      <c r="A727" s="13" t="str">
        <f>IFERROR(__xludf.DUMMYFUNCTION("""COMPUTED_VALUE"""),"Shiny Wynaut")</f>
        <v>Shiny Wynaut</v>
      </c>
      <c r="B727" s="11" t="str">
        <f>IFERROR(__xludf.DUMMYFUNCTION("""COMPUTED_VALUE"""),"big enchanted gem")</f>
        <v>big enchanted gem</v>
      </c>
      <c r="C727" s="11" t="str">
        <f>IFERROR(__xludf.DUMMYFUNCTION("""COMPUTED_VALUE"""),"yellow long ear")</f>
        <v>yellow long ear</v>
      </c>
      <c r="D727" s="11" t="str">
        <f>IFERROR(__xludf.DUMMYFUNCTION("""COMPUTED_VALUE"""),"enigma stone")</f>
        <v>enigma stone</v>
      </c>
      <c r="E727" s="11" t="str">
        <f>IFERROR(__xludf.DUMMYFUNCTION("""COMPUTED_VALUE"""),"mythic psychic orb")</f>
        <v>mythic psychic orb</v>
      </c>
      <c r="F727" s="11"/>
      <c r="G727" s="11"/>
      <c r="H727" s="11"/>
      <c r="I727" s="11"/>
      <c r="J727" s="11"/>
      <c r="K727" s="11"/>
      <c r="L727" s="11"/>
    </row>
    <row r="728">
      <c r="A728" s="13" t="str">
        <f>IFERROR(__xludf.DUMMYFUNCTION("""COMPUTED_VALUE"""),"Snorunt")</f>
        <v>Snorunt</v>
      </c>
      <c r="B728" s="11" t="str">
        <f>IFERROR(__xludf.DUMMYFUNCTION("""COMPUTED_VALUE"""),"solid ice cube")</f>
        <v>solid ice cube</v>
      </c>
      <c r="C728" s="11" t="str">
        <f>IFERROR(__xludf.DUMMYFUNCTION("""COMPUTED_VALUE"""),"yellow cloak")</f>
        <v>yellow cloak</v>
      </c>
      <c r="D728" s="11" t="str">
        <f>IFERROR(__xludf.DUMMYFUNCTION("""COMPUTED_VALUE"""),"ice essence")</f>
        <v>ice essence</v>
      </c>
      <c r="E728" s="11" t="str">
        <f>IFERROR(__xludf.DUMMYFUNCTION("""COMPUTED_VALUE"""),"ice stone")</f>
        <v>ice stone</v>
      </c>
      <c r="F728" s="11"/>
      <c r="G728" s="11"/>
      <c r="H728" s="11"/>
      <c r="I728" s="11"/>
      <c r="J728" s="11"/>
      <c r="K728" s="11"/>
      <c r="L728" s="11"/>
    </row>
    <row r="729">
      <c r="A729" s="13" t="str">
        <f>IFERROR(__xludf.DUMMYFUNCTION("""COMPUTED_VALUE"""),"Shiny Snorunt")</f>
        <v>Shiny Snorunt</v>
      </c>
      <c r="B729" s="11" t="str">
        <f>IFERROR(__xludf.DUMMYFUNCTION("""COMPUTED_VALUE"""),"solid ice cube")</f>
        <v>solid ice cube</v>
      </c>
      <c r="C729" s="11" t="str">
        <f>IFERROR(__xludf.DUMMYFUNCTION("""COMPUTED_VALUE"""),"blue cloak")</f>
        <v>blue cloak</v>
      </c>
      <c r="D729" s="11" t="str">
        <f>IFERROR(__xludf.DUMMYFUNCTION("""COMPUTED_VALUE"""),"ice stone")</f>
        <v>ice stone</v>
      </c>
      <c r="E729" s="11" t="str">
        <f>IFERROR(__xludf.DUMMYFUNCTION("""COMPUTED_VALUE"""),"mythic ice orb")</f>
        <v>mythic ice orb</v>
      </c>
      <c r="F729" s="11"/>
      <c r="G729" s="11"/>
      <c r="H729" s="11"/>
      <c r="I729" s="11"/>
      <c r="J729" s="11"/>
      <c r="K729" s="11"/>
      <c r="L729" s="11"/>
    </row>
    <row r="730">
      <c r="A730" s="13" t="str">
        <f>IFERROR(__xludf.DUMMYFUNCTION("""COMPUTED_VALUE"""),"Glalie")</f>
        <v>Glalie</v>
      </c>
      <c r="B730" s="11" t="str">
        <f>IFERROR(__xludf.DUMMYFUNCTION("""COMPUTED_VALUE"""),"solid ice cube")</f>
        <v>solid ice cube</v>
      </c>
      <c r="C730" s="11" t="str">
        <f>IFERROR(__xludf.DUMMYFUNCTION("""COMPUTED_VALUE"""),"ice blocks")</f>
        <v>ice blocks</v>
      </c>
      <c r="D730" s="11" t="str">
        <f>IFERROR(__xludf.DUMMYFUNCTION("""COMPUTED_VALUE"""),"ice essence")</f>
        <v>ice essence</v>
      </c>
      <c r="E730" s="11" t="str">
        <f>IFERROR(__xludf.DUMMYFUNCTION("""COMPUTED_VALUE"""),"ice stone")</f>
        <v>ice stone</v>
      </c>
      <c r="F730" s="11"/>
      <c r="G730" s="11"/>
      <c r="H730" s="11"/>
      <c r="I730" s="11"/>
      <c r="J730" s="11"/>
      <c r="K730" s="11"/>
      <c r="L730" s="11"/>
    </row>
    <row r="731">
      <c r="A731" s="13" t="str">
        <f>IFERROR(__xludf.DUMMYFUNCTION("""COMPUTED_VALUE"""),"Shiny Glalie")</f>
        <v>Shiny Glalie</v>
      </c>
      <c r="B731" s="11" t="str">
        <f>IFERROR(__xludf.DUMMYFUNCTION("""COMPUTED_VALUE"""),"solid ice cube")</f>
        <v>solid ice cube</v>
      </c>
      <c r="C731" s="11" t="str">
        <f>IFERROR(__xludf.DUMMYFUNCTION("""COMPUTED_VALUE"""),"solid blocks")</f>
        <v>solid blocks</v>
      </c>
      <c r="D731" s="11" t="str">
        <f>IFERROR(__xludf.DUMMYFUNCTION("""COMPUTED_VALUE"""),"ice stone")</f>
        <v>ice stone</v>
      </c>
      <c r="E731" s="11" t="str">
        <f>IFERROR(__xludf.DUMMYFUNCTION("""COMPUTED_VALUE"""),"celestial ice orb")</f>
        <v>celestial ice orb</v>
      </c>
      <c r="F731" s="11"/>
      <c r="G731" s="11"/>
      <c r="H731" s="11"/>
      <c r="I731" s="11"/>
      <c r="J731" s="11"/>
      <c r="K731" s="11"/>
      <c r="L731" s="11"/>
    </row>
    <row r="732">
      <c r="A732" s="13" t="str">
        <f>IFERROR(__xludf.DUMMYFUNCTION("""COMPUTED_VALUE"""),"Spheal")</f>
        <v>Spheal</v>
      </c>
      <c r="B732" s="11" t="str">
        <f>IFERROR(__xludf.DUMMYFUNCTION("""COMPUTED_VALUE"""),"solid ice cube")</f>
        <v>solid ice cube</v>
      </c>
      <c r="C732" s="11" t="str">
        <f>IFERROR(__xludf.DUMMYFUNCTION("""COMPUTED_VALUE"""),"solid water gem")</f>
        <v>solid water gem</v>
      </c>
      <c r="D732" s="11" t="str">
        <f>IFERROR(__xludf.DUMMYFUNCTION("""COMPUTED_VALUE"""),"short tail")</f>
        <v>short tail</v>
      </c>
      <c r="E732" s="11" t="str">
        <f>IFERROR(__xludf.DUMMYFUNCTION("""COMPUTED_VALUE"""),"ice essence")</f>
        <v>ice essence</v>
      </c>
      <c r="F732" s="11" t="str">
        <f>IFERROR(__xludf.DUMMYFUNCTION("""COMPUTED_VALUE"""),"water essence")</f>
        <v>water essence</v>
      </c>
      <c r="G732" s="11" t="str">
        <f>IFERROR(__xludf.DUMMYFUNCTION("""COMPUTED_VALUE"""),"ice stone")</f>
        <v>ice stone</v>
      </c>
      <c r="H732" s="11" t="str">
        <f>IFERROR(__xludf.DUMMYFUNCTION("""COMPUTED_VALUE"""),"water stone")</f>
        <v>water stone</v>
      </c>
      <c r="I732" s="11"/>
      <c r="J732" s="11"/>
      <c r="K732" s="11"/>
      <c r="L732" s="11"/>
    </row>
    <row r="733">
      <c r="A733" s="13" t="str">
        <f>IFERROR(__xludf.DUMMYFUNCTION("""COMPUTED_VALUE"""),"Shiny Spheal")</f>
        <v>Shiny Spheal</v>
      </c>
      <c r="B733" s="11" t="str">
        <f>IFERROR(__xludf.DUMMYFUNCTION("""COMPUTED_VALUE"""),"solid ice cube")</f>
        <v>solid ice cube</v>
      </c>
      <c r="C733" s="11" t="str">
        <f>IFERROR(__xludf.DUMMYFUNCTION("""COMPUTED_VALUE"""),"solid water gem")</f>
        <v>solid water gem</v>
      </c>
      <c r="D733" s="11" t="str">
        <f>IFERROR(__xludf.DUMMYFUNCTION("""COMPUTED_VALUE"""),"pink short tail")</f>
        <v>pink short tail</v>
      </c>
      <c r="E733" s="11" t="str">
        <f>IFERROR(__xludf.DUMMYFUNCTION("""COMPUTED_VALUE"""),"ice stone")</f>
        <v>ice stone</v>
      </c>
      <c r="F733" s="11" t="str">
        <f>IFERROR(__xludf.DUMMYFUNCTION("""COMPUTED_VALUE"""),"water stone")</f>
        <v>water stone</v>
      </c>
      <c r="G733" s="11" t="str">
        <f>IFERROR(__xludf.DUMMYFUNCTION("""COMPUTED_VALUE"""),"mythic ice orb")</f>
        <v>mythic ice orb</v>
      </c>
      <c r="H733" s="11"/>
      <c r="I733" s="11"/>
      <c r="J733" s="11"/>
      <c r="K733" s="11"/>
      <c r="L733" s="11"/>
    </row>
    <row r="734">
      <c r="A734" s="13" t="str">
        <f>IFERROR(__xludf.DUMMYFUNCTION("""COMPUTED_VALUE"""),"Sealeo")</f>
        <v>Sealeo</v>
      </c>
      <c r="B734" s="11" t="str">
        <f>IFERROR(__xludf.DUMMYFUNCTION("""COMPUTED_VALUE"""),"solid ice cube")</f>
        <v>solid ice cube</v>
      </c>
      <c r="C734" s="11" t="str">
        <f>IFERROR(__xludf.DUMMYFUNCTION("""COMPUTED_VALUE"""),"solid water gem")</f>
        <v>solid water gem</v>
      </c>
      <c r="D734" s="11" t="str">
        <f>IFERROR(__xludf.DUMMYFUNCTION("""COMPUTED_VALUE"""),"seal moustache")</f>
        <v>seal moustache</v>
      </c>
      <c r="E734" s="11" t="str">
        <f>IFERROR(__xludf.DUMMYFUNCTION("""COMPUTED_VALUE"""),"ice essence")</f>
        <v>ice essence</v>
      </c>
      <c r="F734" s="11" t="str">
        <f>IFERROR(__xludf.DUMMYFUNCTION("""COMPUTED_VALUE"""),"water essence")</f>
        <v>water essence</v>
      </c>
      <c r="G734" s="11" t="str">
        <f>IFERROR(__xludf.DUMMYFUNCTION("""COMPUTED_VALUE"""),"ice stone")</f>
        <v>ice stone</v>
      </c>
      <c r="H734" s="11" t="str">
        <f>IFERROR(__xludf.DUMMYFUNCTION("""COMPUTED_VALUE"""),"water stone")</f>
        <v>water stone</v>
      </c>
      <c r="I734" s="11"/>
      <c r="J734" s="11"/>
      <c r="K734" s="11"/>
      <c r="L734" s="11"/>
    </row>
    <row r="735">
      <c r="A735" s="13" t="str">
        <f>IFERROR(__xludf.DUMMYFUNCTION("""COMPUTED_VALUE"""),"Shiny Sealeo")</f>
        <v>Shiny Sealeo</v>
      </c>
      <c r="B735" s="11" t="str">
        <f>IFERROR(__xludf.DUMMYFUNCTION("""COMPUTED_VALUE"""),"solid ice cube")</f>
        <v>solid ice cube</v>
      </c>
      <c r="C735" s="11" t="str">
        <f>IFERROR(__xludf.DUMMYFUNCTION("""COMPUTED_VALUE"""),"solid water gem")</f>
        <v>solid water gem</v>
      </c>
      <c r="D735" s="11" t="str">
        <f>IFERROR(__xludf.DUMMYFUNCTION("""COMPUTED_VALUE"""),"pink seal tail")</f>
        <v>pink seal tail</v>
      </c>
      <c r="E735" s="11" t="str">
        <f>IFERROR(__xludf.DUMMYFUNCTION("""COMPUTED_VALUE"""),"ice stone")</f>
        <v>ice stone</v>
      </c>
      <c r="F735" s="11" t="str">
        <f>IFERROR(__xludf.DUMMYFUNCTION("""COMPUTED_VALUE"""),"water stone")</f>
        <v>water stone</v>
      </c>
      <c r="G735" s="11" t="str">
        <f>IFERROR(__xludf.DUMMYFUNCTION("""COMPUTED_VALUE"""),"mythic ice orb")</f>
        <v>mythic ice orb</v>
      </c>
      <c r="H735" s="11"/>
      <c r="I735" s="11"/>
      <c r="J735" s="11"/>
      <c r="K735" s="11"/>
      <c r="L735" s="11"/>
    </row>
    <row r="736">
      <c r="A736" s="13" t="str">
        <f>IFERROR(__xludf.DUMMYFUNCTION("""COMPUTED_VALUE"""),"Walrein")</f>
        <v>Walrein</v>
      </c>
      <c r="B736" s="11" t="str">
        <f>IFERROR(__xludf.DUMMYFUNCTION("""COMPUTED_VALUE"""),"solid ice cube")</f>
        <v>solid ice cube</v>
      </c>
      <c r="C736" s="11" t="str">
        <f>IFERROR(__xludf.DUMMYFUNCTION("""COMPUTED_VALUE"""),"solid water gem")</f>
        <v>solid water gem</v>
      </c>
      <c r="D736" s="11" t="str">
        <f>IFERROR(__xludf.DUMMYFUNCTION("""COMPUTED_VALUE"""),"seal mustache")</f>
        <v>seal mustache</v>
      </c>
      <c r="E736" s="11" t="str">
        <f>IFERROR(__xludf.DUMMYFUNCTION("""COMPUTED_VALUE"""),"ice essence")</f>
        <v>ice essence</v>
      </c>
      <c r="F736" s="11" t="str">
        <f>IFERROR(__xludf.DUMMYFUNCTION("""COMPUTED_VALUE"""),"water essence")</f>
        <v>water essence</v>
      </c>
      <c r="G736" s="11" t="str">
        <f>IFERROR(__xludf.DUMMYFUNCTION("""COMPUTED_VALUE"""),"ice stone")</f>
        <v>ice stone</v>
      </c>
      <c r="H736" s="11" t="str">
        <f>IFERROR(__xludf.DUMMYFUNCTION("""COMPUTED_VALUE"""),"water stone")</f>
        <v>water stone</v>
      </c>
      <c r="I736" s="11"/>
      <c r="J736" s="11"/>
      <c r="K736" s="11"/>
      <c r="L736" s="11"/>
    </row>
    <row r="737">
      <c r="A737" s="13" t="str">
        <f>IFERROR(__xludf.DUMMYFUNCTION("""COMPUTED_VALUE"""),"Shiny Walrein")</f>
        <v>Shiny Walrein</v>
      </c>
      <c r="B737" s="11" t="str">
        <f>IFERROR(__xludf.DUMMYFUNCTION("""COMPUTED_VALUE"""),"solid ice cube")</f>
        <v>solid ice cube</v>
      </c>
      <c r="C737" s="11" t="str">
        <f>IFERROR(__xludf.DUMMYFUNCTION("""COMPUTED_VALUE"""),"solid water gem")</f>
        <v>solid water gem</v>
      </c>
      <c r="D737" s="11" t="str">
        <f>IFERROR(__xludf.DUMMYFUNCTION("""COMPUTED_VALUE"""),"rosy seal mustache")</f>
        <v>rosy seal mustache</v>
      </c>
      <c r="E737" s="11" t="str">
        <f>IFERROR(__xludf.DUMMYFUNCTION("""COMPUTED_VALUE"""),"ice stone")</f>
        <v>ice stone</v>
      </c>
      <c r="F737" s="11" t="str">
        <f>IFERROR(__xludf.DUMMYFUNCTION("""COMPUTED_VALUE"""),"water stone")</f>
        <v>water stone</v>
      </c>
      <c r="G737" s="11" t="str">
        <f>IFERROR(__xludf.DUMMYFUNCTION("""COMPUTED_VALUE"""),"celestial ice orb")</f>
        <v>celestial ice orb</v>
      </c>
      <c r="H737" s="11"/>
      <c r="I737" s="11"/>
      <c r="J737" s="11"/>
      <c r="K737" s="11"/>
      <c r="L737" s="11"/>
    </row>
    <row r="738">
      <c r="A738" s="13" t="str">
        <f>IFERROR(__xludf.DUMMYFUNCTION("""COMPUTED_VALUE"""),"Clamperl")</f>
        <v>Clamperl</v>
      </c>
      <c r="B738" s="11" t="str">
        <f>IFERROR(__xludf.DUMMYFUNCTION("""COMPUTED_VALUE"""),"solid water gem")</f>
        <v>solid water gem</v>
      </c>
      <c r="C738" s="11" t="str">
        <f>IFERROR(__xludf.DUMMYFUNCTION("""COMPUTED_VALUE"""),"blue pearl")</f>
        <v>blue pearl</v>
      </c>
      <c r="D738" s="11" t="str">
        <f>IFERROR(__xludf.DUMMYFUNCTION("""COMPUTED_VALUE"""),"water essence")</f>
        <v>water essence</v>
      </c>
      <c r="E738" s="11" t="str">
        <f>IFERROR(__xludf.DUMMYFUNCTION("""COMPUTED_VALUE"""),"water stone")</f>
        <v>water stone</v>
      </c>
      <c r="F738" s="11"/>
      <c r="G738" s="11"/>
      <c r="H738" s="11"/>
      <c r="I738" s="11"/>
      <c r="J738" s="11"/>
      <c r="K738" s="11"/>
      <c r="L738" s="11"/>
    </row>
    <row r="739">
      <c r="A739" s="13" t="str">
        <f>IFERROR(__xludf.DUMMYFUNCTION("""COMPUTED_VALUE"""),"Shiny Clamperl")</f>
        <v>Shiny Clamperl</v>
      </c>
      <c r="B739" s="11" t="str">
        <f>IFERROR(__xludf.DUMMYFUNCTION("""COMPUTED_VALUE"""),"solid water gem")</f>
        <v>solid water gem</v>
      </c>
      <c r="C739" s="11" t="str">
        <f>IFERROR(__xludf.DUMMYFUNCTION("""COMPUTED_VALUE"""),"purple shell")</f>
        <v>purple shell</v>
      </c>
      <c r="D739" s="11" t="str">
        <f>IFERROR(__xludf.DUMMYFUNCTION("""COMPUTED_VALUE"""),"water stone")</f>
        <v>water stone</v>
      </c>
      <c r="E739" s="11" t="str">
        <f>IFERROR(__xludf.DUMMYFUNCTION("""COMPUTED_VALUE"""),"celestial water orb")</f>
        <v>celestial water orb</v>
      </c>
      <c r="F739" s="11"/>
      <c r="G739" s="11"/>
      <c r="H739" s="11"/>
      <c r="I739" s="11"/>
      <c r="J739" s="11"/>
      <c r="K739" s="11"/>
      <c r="L739" s="11"/>
    </row>
    <row r="740">
      <c r="A740" s="13" t="str">
        <f>IFERROR(__xludf.DUMMYFUNCTION("""COMPUTED_VALUE"""),"Huntail")</f>
        <v>Huntail</v>
      </c>
      <c r="B740" s="11" t="str">
        <f>IFERROR(__xludf.DUMMYFUNCTION("""COMPUTED_VALUE"""),"solid water gem")</f>
        <v>solid water gem</v>
      </c>
      <c r="C740" s="11" t="str">
        <f>IFERROR(__xludf.DUMMYFUNCTION("""COMPUTED_VALUE"""),"orange fins")</f>
        <v>orange fins</v>
      </c>
      <c r="D740" s="11" t="str">
        <f>IFERROR(__xludf.DUMMYFUNCTION("""COMPUTED_VALUE"""),"water essence")</f>
        <v>water essence</v>
      </c>
      <c r="E740" s="11" t="str">
        <f>IFERROR(__xludf.DUMMYFUNCTION("""COMPUTED_VALUE"""),"water stone")</f>
        <v>water stone</v>
      </c>
      <c r="F740" s="11"/>
      <c r="G740" s="11"/>
      <c r="H740" s="11"/>
      <c r="I740" s="11"/>
      <c r="J740" s="11"/>
      <c r="K740" s="11"/>
      <c r="L740" s="11"/>
    </row>
    <row r="741">
      <c r="A741" s="13" t="str">
        <f>IFERROR(__xludf.DUMMYFUNCTION("""COMPUTED_VALUE"""),"Shiny Huntail")</f>
        <v>Shiny Huntail</v>
      </c>
      <c r="B741" s="11" t="str">
        <f>IFERROR(__xludf.DUMMYFUNCTION("""COMPUTED_VALUE"""),"solid water gem")</f>
        <v>solid water gem</v>
      </c>
      <c r="C741" s="11" t="str">
        <f>IFERROR(__xludf.DUMMYFUNCTION("""COMPUTED_VALUE"""),"green abyssal tail")</f>
        <v>green abyssal tail</v>
      </c>
      <c r="D741" s="11" t="str">
        <f>IFERROR(__xludf.DUMMYFUNCTION("""COMPUTED_VALUE"""),"water stone")</f>
        <v>water stone</v>
      </c>
      <c r="E741" s="11" t="str">
        <f>IFERROR(__xludf.DUMMYFUNCTION("""COMPUTED_VALUE"""),"celestial water orb")</f>
        <v>celestial water orb</v>
      </c>
      <c r="F741" s="11"/>
      <c r="G741" s="11"/>
      <c r="H741" s="11"/>
      <c r="I741" s="11"/>
      <c r="J741" s="11"/>
      <c r="K741" s="11"/>
      <c r="L741" s="11"/>
    </row>
    <row r="742">
      <c r="A742" s="13" t="str">
        <f>IFERROR(__xludf.DUMMYFUNCTION("""COMPUTED_VALUE"""),"Gorebyss")</f>
        <v>Gorebyss</v>
      </c>
      <c r="B742" s="11" t="str">
        <f>IFERROR(__xludf.DUMMYFUNCTION("""COMPUTED_VALUE"""),"solid water gem")</f>
        <v>solid water gem</v>
      </c>
      <c r="C742" s="11" t="str">
        <f>IFERROR(__xludf.DUMMYFUNCTION("""COMPUTED_VALUE"""),"gorebyss tail")</f>
        <v>gorebyss tail</v>
      </c>
      <c r="D742" s="11" t="str">
        <f>IFERROR(__xludf.DUMMYFUNCTION("""COMPUTED_VALUE"""),"water essence")</f>
        <v>water essence</v>
      </c>
      <c r="E742" s="11" t="str">
        <f>IFERROR(__xludf.DUMMYFUNCTION("""COMPUTED_VALUE"""),"water stone")</f>
        <v>water stone</v>
      </c>
      <c r="F742" s="11"/>
      <c r="G742" s="11"/>
      <c r="H742" s="11"/>
      <c r="I742" s="11"/>
      <c r="J742" s="11"/>
      <c r="K742" s="11"/>
      <c r="L742" s="11"/>
    </row>
    <row r="743">
      <c r="A743" s="13" t="str">
        <f>IFERROR(__xludf.DUMMYFUNCTION("""COMPUTED_VALUE"""),"Shiny Gorebyss")</f>
        <v>Shiny Gorebyss</v>
      </c>
      <c r="B743" s="11" t="str">
        <f>IFERROR(__xludf.DUMMYFUNCTION("""COMPUTED_VALUE"""),"solid water gem")</f>
        <v>solid water gem</v>
      </c>
      <c r="C743" s="11" t="str">
        <f>IFERROR(__xludf.DUMMYFUNCTION("""COMPUTED_VALUE"""),"yellowish gorebyss tail")</f>
        <v>yellowish gorebyss tail</v>
      </c>
      <c r="D743" s="11" t="str">
        <f>IFERROR(__xludf.DUMMYFUNCTION("""COMPUTED_VALUE"""),"water stone")</f>
        <v>water stone</v>
      </c>
      <c r="E743" s="11" t="str">
        <f>IFERROR(__xludf.DUMMYFUNCTION("""COMPUTED_VALUE"""),"celestial water orb")</f>
        <v>celestial water orb</v>
      </c>
      <c r="F743" s="11"/>
      <c r="G743" s="11"/>
      <c r="H743" s="11"/>
      <c r="I743" s="11"/>
      <c r="J743" s="11"/>
      <c r="K743" s="11"/>
      <c r="L743" s="11"/>
    </row>
    <row r="744">
      <c r="A744" s="13" t="str">
        <f>IFERROR(__xludf.DUMMYFUNCTION("""COMPUTED_VALUE"""),"Relicanth")</f>
        <v>Relicanth</v>
      </c>
      <c r="B744" s="11" t="str">
        <f>IFERROR(__xludf.DUMMYFUNCTION("""COMPUTED_VALUE"""),"solid water gem")</f>
        <v>solid water gem</v>
      </c>
      <c r="C744" s="11" t="str">
        <f>IFERROR(__xludf.DUMMYFUNCTION("""COMPUTED_VALUE"""),"big stone")</f>
        <v>big stone</v>
      </c>
      <c r="D744" s="11" t="str">
        <f>IFERROR(__xludf.DUMMYFUNCTION("""COMPUTED_VALUE"""),"fossil fins")</f>
        <v>fossil fins</v>
      </c>
      <c r="E744" s="11" t="str">
        <f>IFERROR(__xludf.DUMMYFUNCTION("""COMPUTED_VALUE"""),"water essence")</f>
        <v>water essence</v>
      </c>
      <c r="F744" s="11" t="str">
        <f>IFERROR(__xludf.DUMMYFUNCTION("""COMPUTED_VALUE"""),"rock essence")</f>
        <v>rock essence</v>
      </c>
      <c r="G744" s="11" t="str">
        <f>IFERROR(__xludf.DUMMYFUNCTION("""COMPUTED_VALUE"""),"water stone")</f>
        <v>water stone</v>
      </c>
      <c r="H744" s="11" t="str">
        <f>IFERROR(__xludf.DUMMYFUNCTION("""COMPUTED_VALUE"""),"rock stone")</f>
        <v>rock stone</v>
      </c>
      <c r="I744" s="11"/>
      <c r="J744" s="11"/>
      <c r="K744" s="11"/>
      <c r="L744" s="11"/>
    </row>
    <row r="745">
      <c r="A745" s="13" t="str">
        <f>IFERROR(__xludf.DUMMYFUNCTION("""COMPUTED_VALUE"""),"Shiny Relicanth")</f>
        <v>Shiny Relicanth</v>
      </c>
      <c r="B745" s="11" t="str">
        <f>IFERROR(__xludf.DUMMYFUNCTION("""COMPUTED_VALUE"""),"solid water gem")</f>
        <v>solid water gem</v>
      </c>
      <c r="C745" s="11" t="str">
        <f>IFERROR(__xludf.DUMMYFUNCTION("""COMPUTED_VALUE"""),"big stone")</f>
        <v>big stone</v>
      </c>
      <c r="D745" s="11" t="str">
        <f>IFERROR(__xludf.DUMMYFUNCTION("""COMPUTED_VALUE"""),"greenish fossil fins")</f>
        <v>greenish fossil fins</v>
      </c>
      <c r="E745" s="11" t="str">
        <f>IFERROR(__xludf.DUMMYFUNCTION("""COMPUTED_VALUE"""),"water stone")</f>
        <v>water stone</v>
      </c>
      <c r="F745" s="11" t="str">
        <f>IFERROR(__xludf.DUMMYFUNCTION("""COMPUTED_VALUE"""),"rock stone")</f>
        <v>rock stone</v>
      </c>
      <c r="G745" s="11" t="str">
        <f>IFERROR(__xludf.DUMMYFUNCTION("""COMPUTED_VALUE"""),"celestial water orb")</f>
        <v>celestial water orb</v>
      </c>
      <c r="H745" s="11"/>
      <c r="I745" s="11"/>
      <c r="J745" s="11"/>
      <c r="K745" s="11"/>
      <c r="L745" s="11"/>
    </row>
    <row r="746">
      <c r="A746" s="13" t="str">
        <f>IFERROR(__xludf.DUMMYFUNCTION("""COMPUTED_VALUE"""),"Luvdisc")</f>
        <v>Luvdisc</v>
      </c>
      <c r="B746" s="11" t="str">
        <f>IFERROR(__xludf.DUMMYFUNCTION("""COMPUTED_VALUE"""),"solid water gem")</f>
        <v>solid water gem</v>
      </c>
      <c r="C746" s="11" t="str">
        <f>IFERROR(__xludf.DUMMYFUNCTION("""COMPUTED_VALUE"""),"little heat")</f>
        <v>little heat</v>
      </c>
      <c r="D746" s="11" t="str">
        <f>IFERROR(__xludf.DUMMYFUNCTION("""COMPUTED_VALUE"""),"water essence")</f>
        <v>water essence</v>
      </c>
      <c r="E746" s="11" t="str">
        <f>IFERROR(__xludf.DUMMYFUNCTION("""COMPUTED_VALUE"""),"water stone")</f>
        <v>water stone</v>
      </c>
      <c r="F746" s="11"/>
      <c r="G746" s="11"/>
      <c r="H746" s="11"/>
      <c r="I746" s="11"/>
      <c r="J746" s="11"/>
      <c r="K746" s="11"/>
      <c r="L746" s="11"/>
    </row>
    <row r="747">
      <c r="A747" s="13" t="str">
        <f>IFERROR(__xludf.DUMMYFUNCTION("""COMPUTED_VALUE"""),"Shiny Luvdisc")</f>
        <v>Shiny Luvdisc</v>
      </c>
      <c r="B747" s="11" t="str">
        <f>IFERROR(__xludf.DUMMYFUNCTION("""COMPUTED_VALUE"""),"solid water gem")</f>
        <v>solid water gem</v>
      </c>
      <c r="C747" s="11" t="str">
        <f>IFERROR(__xludf.DUMMYFUNCTION("""COMPUTED_VALUE"""),"yellow heart")</f>
        <v>yellow heart</v>
      </c>
      <c r="D747" s="11" t="str">
        <f>IFERROR(__xludf.DUMMYFUNCTION("""COMPUTED_VALUE"""),"water stone")</f>
        <v>water stone</v>
      </c>
      <c r="E747" s="11" t="str">
        <f>IFERROR(__xludf.DUMMYFUNCTION("""COMPUTED_VALUE"""),"mythic water orb")</f>
        <v>mythic water orb</v>
      </c>
      <c r="F747" s="11"/>
      <c r="G747" s="11"/>
      <c r="H747" s="11"/>
      <c r="I747" s="11"/>
      <c r="J747" s="11"/>
      <c r="K747" s="11"/>
      <c r="L747" s="11"/>
    </row>
    <row r="748">
      <c r="A748" s="13" t="str">
        <f>IFERROR(__xludf.DUMMYFUNCTION("""COMPUTED_VALUE"""),"Bagon")</f>
        <v>Bagon</v>
      </c>
      <c r="B748" s="11" t="str">
        <f>IFERROR(__xludf.DUMMYFUNCTION("""COMPUTED_VALUE"""),"giant dragon scale")</f>
        <v>giant dragon scale</v>
      </c>
      <c r="C748" s="11" t="str">
        <f>IFERROR(__xludf.DUMMYFUNCTION("""COMPUTED_VALUE"""),"dragon topknot")</f>
        <v>dragon topknot</v>
      </c>
      <c r="D748" s="11" t="str">
        <f>IFERROR(__xludf.DUMMYFUNCTION("""COMPUTED_VALUE"""),"dragon essence")</f>
        <v>dragon essence</v>
      </c>
      <c r="E748" s="11" t="str">
        <f>IFERROR(__xludf.DUMMYFUNCTION("""COMPUTED_VALUE"""),"crystal stone")</f>
        <v>crystal stone</v>
      </c>
      <c r="F748" s="11"/>
      <c r="G748" s="11"/>
      <c r="H748" s="11"/>
      <c r="I748" s="11"/>
      <c r="J748" s="11"/>
      <c r="K748" s="11"/>
      <c r="L748" s="11"/>
    </row>
    <row r="749">
      <c r="A749" s="13" t="str">
        <f>IFERROR(__xludf.DUMMYFUNCTION("""COMPUTED_VALUE"""),"Shiny Bagon")</f>
        <v>Shiny Bagon</v>
      </c>
      <c r="B749" s="11" t="str">
        <f>IFERROR(__xludf.DUMMYFUNCTION("""COMPUTED_VALUE"""),"giant dragon scale")</f>
        <v>giant dragon scale</v>
      </c>
      <c r="C749" s="11" t="str">
        <f>IFERROR(__xludf.DUMMYFUNCTION("""COMPUTED_VALUE"""),"greenish dragon topknot")</f>
        <v>greenish dragon topknot</v>
      </c>
      <c r="D749" s="11" t="str">
        <f>IFERROR(__xludf.DUMMYFUNCTION("""COMPUTED_VALUE"""),"crystal stone")</f>
        <v>crystal stone</v>
      </c>
      <c r="E749" s="11" t="str">
        <f>IFERROR(__xludf.DUMMYFUNCTION("""COMPUTED_VALUE"""),"mythic dragon orb")</f>
        <v>mythic dragon orb</v>
      </c>
      <c r="F749" s="11"/>
      <c r="G749" s="11"/>
      <c r="H749" s="11"/>
      <c r="I749" s="11"/>
      <c r="J749" s="11"/>
      <c r="K749" s="11"/>
      <c r="L749" s="11"/>
    </row>
    <row r="750">
      <c r="A750" s="13" t="str">
        <f>IFERROR(__xludf.DUMMYFUNCTION("""COMPUTED_VALUE"""),"Shelgon")</f>
        <v>Shelgon</v>
      </c>
      <c r="B750" s="11" t="str">
        <f>IFERROR(__xludf.DUMMYFUNCTION("""COMPUTED_VALUE"""),"giant dragon scale")</f>
        <v>giant dragon scale</v>
      </c>
      <c r="C750" s="11" t="str">
        <f>IFERROR(__xludf.DUMMYFUNCTION("""COMPUTED_VALUE"""),"draco shell")</f>
        <v>draco shell</v>
      </c>
      <c r="D750" s="11" t="str">
        <f>IFERROR(__xludf.DUMMYFUNCTION("""COMPUTED_VALUE"""),"dragon essence")</f>
        <v>dragon essence</v>
      </c>
      <c r="E750" s="11" t="str">
        <f>IFERROR(__xludf.DUMMYFUNCTION("""COMPUTED_VALUE"""),"crystal stone")</f>
        <v>crystal stone</v>
      </c>
      <c r="F750" s="11"/>
      <c r="G750" s="11"/>
      <c r="H750" s="11"/>
      <c r="I750" s="11"/>
      <c r="J750" s="11"/>
      <c r="K750" s="11"/>
      <c r="L750" s="11"/>
    </row>
    <row r="751">
      <c r="A751" s="13" t="str">
        <f>IFERROR(__xludf.DUMMYFUNCTION("""COMPUTED_VALUE"""),"Shiny Shelgon")</f>
        <v>Shiny Shelgon</v>
      </c>
      <c r="B751" s="11" t="str">
        <f>IFERROR(__xludf.DUMMYFUNCTION("""COMPUTED_VALUE"""),"giant dragon scale")</f>
        <v>giant dragon scale</v>
      </c>
      <c r="C751" s="11" t="str">
        <f>IFERROR(__xludf.DUMMYFUNCTION("""COMPUTED_VALUE"""),"greenish draco shell")</f>
        <v>greenish draco shell</v>
      </c>
      <c r="D751" s="11" t="str">
        <f>IFERROR(__xludf.DUMMYFUNCTION("""COMPUTED_VALUE"""),"crystal stone")</f>
        <v>crystal stone</v>
      </c>
      <c r="E751" s="11" t="str">
        <f>IFERROR(__xludf.DUMMYFUNCTION("""COMPUTED_VALUE"""),"mythic dragon orb")</f>
        <v>mythic dragon orb</v>
      </c>
      <c r="F751" s="11"/>
      <c r="G751" s="11"/>
      <c r="H751" s="11"/>
      <c r="I751" s="11"/>
      <c r="J751" s="11"/>
      <c r="K751" s="11"/>
      <c r="L751" s="11"/>
    </row>
    <row r="752">
      <c r="A752" s="13" t="str">
        <f>IFERROR(__xludf.DUMMYFUNCTION("""COMPUTED_VALUE"""),"Salamence")</f>
        <v>Salamence</v>
      </c>
      <c r="B752" s="11" t="str">
        <f>IFERROR(__xludf.DUMMYFUNCTION("""COMPUTED_VALUE"""),"giant dragon scale")</f>
        <v>giant dragon scale</v>
      </c>
      <c r="C752" s="11" t="str">
        <f>IFERROR(__xludf.DUMMYFUNCTION("""COMPUTED_VALUE"""),"compressed straw")</f>
        <v>compressed straw</v>
      </c>
      <c r="D752" s="11" t="str">
        <f>IFERROR(__xludf.DUMMYFUNCTION("""COMPUTED_VALUE"""),"bloody wings")</f>
        <v>bloody wings</v>
      </c>
      <c r="E752" s="11" t="str">
        <f>IFERROR(__xludf.DUMMYFUNCTION("""COMPUTED_VALUE"""),"dragon essence")</f>
        <v>dragon essence</v>
      </c>
      <c r="F752" s="11" t="str">
        <f>IFERROR(__xludf.DUMMYFUNCTION("""COMPUTED_VALUE"""),"flying essence")</f>
        <v>flying essence</v>
      </c>
      <c r="G752" s="11" t="str">
        <f>IFERROR(__xludf.DUMMYFUNCTION("""COMPUTED_VALUE"""),"crystal stone")</f>
        <v>crystal stone</v>
      </c>
      <c r="H752" s="11" t="str">
        <f>IFERROR(__xludf.DUMMYFUNCTION("""COMPUTED_VALUE"""),"feather stone")</f>
        <v>feather stone</v>
      </c>
      <c r="I752" s="11"/>
      <c r="J752" s="11"/>
      <c r="K752" s="11"/>
      <c r="L752" s="11"/>
    </row>
    <row r="753">
      <c r="A753" s="13" t="str">
        <f>IFERROR(__xludf.DUMMYFUNCTION("""COMPUTED_VALUE"""),"Shiny Salamence")</f>
        <v>Shiny Salamence</v>
      </c>
      <c r="B753" s="11" t="str">
        <f>IFERROR(__xludf.DUMMYFUNCTION("""COMPUTED_VALUE"""),"giant dragon scale")</f>
        <v>giant dragon scale</v>
      </c>
      <c r="C753" s="11" t="str">
        <f>IFERROR(__xludf.DUMMYFUNCTION("""COMPUTED_VALUE"""),"compressed straw")</f>
        <v>compressed straw</v>
      </c>
      <c r="D753" s="11" t="str">
        <f>IFERROR(__xludf.DUMMYFUNCTION("""COMPUTED_VALUE"""),"green bloody wings")</f>
        <v>green bloody wings</v>
      </c>
      <c r="E753" s="11" t="str">
        <f>IFERROR(__xludf.DUMMYFUNCTION("""COMPUTED_VALUE"""),"crystal stone")</f>
        <v>crystal stone</v>
      </c>
      <c r="F753" s="11" t="str">
        <f>IFERROR(__xludf.DUMMYFUNCTION("""COMPUTED_VALUE"""),"feather stone")</f>
        <v>feather stone</v>
      </c>
      <c r="G753" s="11" t="str">
        <f>IFERROR(__xludf.DUMMYFUNCTION("""COMPUTED_VALUE"""),"celestial dragon orb")</f>
        <v>celestial dragon orb</v>
      </c>
      <c r="H753" s="11"/>
      <c r="I753" s="11"/>
      <c r="J753" s="11"/>
      <c r="K753" s="11"/>
      <c r="L753" s="11"/>
    </row>
    <row r="754">
      <c r="A754" s="13" t="str">
        <f>IFERROR(__xludf.DUMMYFUNCTION("""COMPUTED_VALUE"""),"Beldum")</f>
        <v>Beldum</v>
      </c>
      <c r="B754" s="11" t="str">
        <f>IFERROR(__xludf.DUMMYFUNCTION("""COMPUTED_VALUE"""),"compressed steel")</f>
        <v>compressed steel</v>
      </c>
      <c r="C754" s="11" t="str">
        <f>IFERROR(__xludf.DUMMYFUNCTION("""COMPUTED_VALUE"""),"big enchanted gem")</f>
        <v>big enchanted gem</v>
      </c>
      <c r="D754" s="11" t="str">
        <f>IFERROR(__xludf.DUMMYFUNCTION("""COMPUTED_VALUE"""),"metal arm")</f>
        <v>metal arm</v>
      </c>
      <c r="E754" s="11" t="str">
        <f>IFERROR(__xludf.DUMMYFUNCTION("""COMPUTED_VALUE"""),"psychic essence")</f>
        <v>psychic essence</v>
      </c>
      <c r="F754" s="11" t="str">
        <f>IFERROR(__xludf.DUMMYFUNCTION("""COMPUTED_VALUE"""),"steel essence")</f>
        <v>steel essence</v>
      </c>
      <c r="G754" s="11" t="str">
        <f>IFERROR(__xludf.DUMMYFUNCTION("""COMPUTED_VALUE"""),"metal stone")</f>
        <v>metal stone</v>
      </c>
      <c r="H754" s="11" t="str">
        <f>IFERROR(__xludf.DUMMYFUNCTION("""COMPUTED_VALUE"""),"enigma stone")</f>
        <v>enigma stone</v>
      </c>
      <c r="I754" s="11"/>
      <c r="J754" s="11"/>
      <c r="K754" s="11"/>
      <c r="L754" s="11"/>
    </row>
    <row r="755">
      <c r="A755" s="13" t="str">
        <f>IFERROR(__xludf.DUMMYFUNCTION("""COMPUTED_VALUE"""),"Shiny Beldum")</f>
        <v>Shiny Beldum</v>
      </c>
      <c r="B755" s="11" t="str">
        <f>IFERROR(__xludf.DUMMYFUNCTION("""COMPUTED_VALUE"""),"compressed steel")</f>
        <v>compressed steel</v>
      </c>
      <c r="C755" s="11" t="str">
        <f>IFERROR(__xludf.DUMMYFUNCTION("""COMPUTED_VALUE"""),"big enchanted gem")</f>
        <v>big enchanted gem</v>
      </c>
      <c r="D755" s="11" t="str">
        <f>IFERROR(__xludf.DUMMYFUNCTION("""COMPUTED_VALUE"""),"white metal arm")</f>
        <v>white metal arm</v>
      </c>
      <c r="E755" s="11" t="str">
        <f>IFERROR(__xludf.DUMMYFUNCTION("""COMPUTED_VALUE"""),"metal stone")</f>
        <v>metal stone</v>
      </c>
      <c r="F755" s="11" t="str">
        <f>IFERROR(__xludf.DUMMYFUNCTION("""COMPUTED_VALUE"""),"enigma stone")</f>
        <v>enigma stone</v>
      </c>
      <c r="G755" s="11" t="str">
        <f>IFERROR(__xludf.DUMMYFUNCTION("""COMPUTED_VALUE"""),"mythic metal orb")</f>
        <v>mythic metal orb</v>
      </c>
      <c r="H755" s="11"/>
      <c r="I755" s="11"/>
      <c r="J755" s="11"/>
      <c r="K755" s="11"/>
      <c r="L755" s="11"/>
    </row>
    <row r="756">
      <c r="A756" s="13" t="str">
        <f>IFERROR(__xludf.DUMMYFUNCTION("""COMPUTED_VALUE"""),"Metang")</f>
        <v>Metang</v>
      </c>
      <c r="B756" s="11" t="str">
        <f>IFERROR(__xludf.DUMMYFUNCTION("""COMPUTED_VALUE"""),"compressed steel")</f>
        <v>compressed steel</v>
      </c>
      <c r="C756" s="11" t="str">
        <f>IFERROR(__xludf.DUMMYFUNCTION("""COMPUTED_VALUE"""),"big enchanted gem")</f>
        <v>big enchanted gem</v>
      </c>
      <c r="D756" s="11" t="str">
        <f>IFERROR(__xludf.DUMMYFUNCTION("""COMPUTED_VALUE"""),"tech ball")</f>
        <v>tech ball</v>
      </c>
      <c r="E756" s="11" t="str">
        <f>IFERROR(__xludf.DUMMYFUNCTION("""COMPUTED_VALUE"""),"psychic essence")</f>
        <v>psychic essence</v>
      </c>
      <c r="F756" s="11" t="str">
        <f>IFERROR(__xludf.DUMMYFUNCTION("""COMPUTED_VALUE"""),"steel essence")</f>
        <v>steel essence</v>
      </c>
      <c r="G756" s="11" t="str">
        <f>IFERROR(__xludf.DUMMYFUNCTION("""COMPUTED_VALUE"""),"metal stone")</f>
        <v>metal stone</v>
      </c>
      <c r="H756" s="11" t="str">
        <f>IFERROR(__xludf.DUMMYFUNCTION("""COMPUTED_VALUE"""),"enigma stone")</f>
        <v>enigma stone</v>
      </c>
      <c r="I756" s="11"/>
      <c r="J756" s="11"/>
      <c r="K756" s="11"/>
      <c r="L756" s="11"/>
    </row>
    <row r="757">
      <c r="A757" s="13" t="str">
        <f>IFERROR(__xludf.DUMMYFUNCTION("""COMPUTED_VALUE"""),"Shiny Metang")</f>
        <v>Shiny Metang</v>
      </c>
      <c r="B757" s="11" t="str">
        <f>IFERROR(__xludf.DUMMYFUNCTION("""COMPUTED_VALUE"""),"compressed steel")</f>
        <v>compressed steel</v>
      </c>
      <c r="C757" s="11" t="str">
        <f>IFERROR(__xludf.DUMMYFUNCTION("""COMPUTED_VALUE"""),"big enchanted gem")</f>
        <v>big enchanted gem</v>
      </c>
      <c r="D757" s="11" t="str">
        <f>IFERROR(__xludf.DUMMYFUNCTION("""COMPUTED_VALUE"""),"white tech ball")</f>
        <v>white tech ball</v>
      </c>
      <c r="E757" s="11" t="str">
        <f>IFERROR(__xludf.DUMMYFUNCTION("""COMPUTED_VALUE"""),"metal stone")</f>
        <v>metal stone</v>
      </c>
      <c r="F757" s="11" t="str">
        <f>IFERROR(__xludf.DUMMYFUNCTION("""COMPUTED_VALUE"""),"enigma stone")</f>
        <v>enigma stone</v>
      </c>
      <c r="G757" s="11" t="str">
        <f>IFERROR(__xludf.DUMMYFUNCTION("""COMPUTED_VALUE"""),"celestial metal orb")</f>
        <v>celestial metal orb</v>
      </c>
      <c r="H757" s="11"/>
      <c r="I757" s="11"/>
      <c r="J757" s="11"/>
      <c r="K757" s="11"/>
      <c r="L757" s="11"/>
    </row>
    <row r="758">
      <c r="A758" s="13" t="str">
        <f>IFERROR(__xludf.DUMMYFUNCTION("""COMPUTED_VALUE"""),"Metagross")</f>
        <v>Metagross</v>
      </c>
      <c r="B758" s="11" t="str">
        <f>IFERROR(__xludf.DUMMYFUNCTION("""COMPUTED_VALUE"""),"compressed steel")</f>
        <v>compressed steel</v>
      </c>
      <c r="C758" s="11" t="str">
        <f>IFERROR(__xludf.DUMMYFUNCTION("""COMPUTED_VALUE"""),"big enchanted gem")</f>
        <v>big enchanted gem</v>
      </c>
      <c r="D758" s="11" t="str">
        <f>IFERROR(__xludf.DUMMYFUNCTION("""COMPUTED_VALUE"""),"metal coat")</f>
        <v>metal coat</v>
      </c>
      <c r="E758" s="11" t="str">
        <f>IFERROR(__xludf.DUMMYFUNCTION("""COMPUTED_VALUE"""),"psychic essence")</f>
        <v>psychic essence</v>
      </c>
      <c r="F758" s="11" t="str">
        <f>IFERROR(__xludf.DUMMYFUNCTION("""COMPUTED_VALUE"""),"steel essence")</f>
        <v>steel essence</v>
      </c>
      <c r="G758" s="11" t="str">
        <f>IFERROR(__xludf.DUMMYFUNCTION("""COMPUTED_VALUE"""),"metal stone")</f>
        <v>metal stone</v>
      </c>
      <c r="H758" s="11" t="str">
        <f>IFERROR(__xludf.DUMMYFUNCTION("""COMPUTED_VALUE"""),"enigma stone")</f>
        <v>enigma stone</v>
      </c>
      <c r="I758" s="11"/>
      <c r="J758" s="11"/>
      <c r="K758" s="11"/>
      <c r="L758" s="11"/>
    </row>
    <row r="759">
      <c r="A759" s="13" t="str">
        <f>IFERROR(__xludf.DUMMYFUNCTION("""COMPUTED_VALUE"""),"Shiny Metagross")</f>
        <v>Shiny Metagross</v>
      </c>
      <c r="B759" s="11" t="str">
        <f>IFERROR(__xludf.DUMMYFUNCTION("""COMPUTED_VALUE"""),"compressed steel")</f>
        <v>compressed steel</v>
      </c>
      <c r="C759" s="11" t="str">
        <f>IFERROR(__xludf.DUMMYFUNCTION("""COMPUTED_VALUE"""),"enchanted gem")</f>
        <v>enchanted gem</v>
      </c>
      <c r="D759" s="11" t="str">
        <f>IFERROR(__xludf.DUMMYFUNCTION("""COMPUTED_VALUE"""),"white metal coat")</f>
        <v>white metal coat</v>
      </c>
      <c r="E759" s="11" t="str">
        <f>IFERROR(__xludf.DUMMYFUNCTION("""COMPUTED_VALUE"""),"metal stone")</f>
        <v>metal stone</v>
      </c>
      <c r="F759" s="11" t="str">
        <f>IFERROR(__xludf.DUMMYFUNCTION("""COMPUTED_VALUE"""),"enigma stone")</f>
        <v>enigma stone</v>
      </c>
      <c r="G759" s="11" t="str">
        <f>IFERROR(__xludf.DUMMYFUNCTION("""COMPUTED_VALUE"""),"celestial metal orb")</f>
        <v>celestial metal orb</v>
      </c>
      <c r="H759" s="11"/>
      <c r="I759" s="11"/>
      <c r="J759" s="11"/>
      <c r="K759" s="11"/>
      <c r="L759" s="11"/>
    </row>
    <row r="760">
      <c r="A760" s="13" t="str">
        <f>IFERROR(__xludf.DUMMYFUNCTION("""COMPUTED_VALUE"""),"Regirock")</f>
        <v>Regirock</v>
      </c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</row>
    <row r="761">
      <c r="A761" s="13" t="str">
        <f>IFERROR(__xludf.DUMMYFUNCTION("""COMPUTED_VALUE"""),"Shiny Regirock")</f>
        <v>Shiny Regirock</v>
      </c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</row>
    <row r="762">
      <c r="A762" s="13" t="str">
        <f>IFERROR(__xludf.DUMMYFUNCTION("""COMPUTED_VALUE"""),"Regice")</f>
        <v>Regice</v>
      </c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</row>
    <row r="763">
      <c r="A763" s="13" t="str">
        <f>IFERROR(__xludf.DUMMYFUNCTION("""COMPUTED_VALUE"""),"Shiny Regice")</f>
        <v>Shiny Regice</v>
      </c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</row>
    <row r="764">
      <c r="A764" s="13" t="str">
        <f>IFERROR(__xludf.DUMMYFUNCTION("""COMPUTED_VALUE"""),"Registeel")</f>
        <v>Registeel</v>
      </c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</row>
    <row r="765">
      <c r="A765" s="13" t="str">
        <f>IFERROR(__xludf.DUMMYFUNCTION("""COMPUTED_VALUE"""),"Shiny Registeel")</f>
        <v>Shiny Registeel</v>
      </c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</row>
    <row r="766">
      <c r="A766" s="13" t="str">
        <f>IFERROR(__xludf.DUMMYFUNCTION("""COMPUTED_VALUE"""),"Latios")</f>
        <v>Latios</v>
      </c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>
      <c r="A767" s="13" t="str">
        <f>IFERROR(__xludf.DUMMYFUNCTION("""COMPUTED_VALUE"""),"Shiny Latios")</f>
        <v>Shiny Latios</v>
      </c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</row>
    <row r="768">
      <c r="A768" s="13" t="str">
        <f>IFERROR(__xludf.DUMMYFUNCTION("""COMPUTED_VALUE"""),"Latias")</f>
        <v>Latias</v>
      </c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</row>
    <row r="769">
      <c r="A769" s="13" t="str">
        <f>IFERROR(__xludf.DUMMYFUNCTION("""COMPUTED_VALUE"""),"Shiny Latias")</f>
        <v>Shiny Latias</v>
      </c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</row>
    <row r="770">
      <c r="A770" s="13" t="str">
        <f>IFERROR(__xludf.DUMMYFUNCTION("""COMPUTED_VALUE"""),"Kyogre")</f>
        <v>Kyogre</v>
      </c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</row>
    <row r="771">
      <c r="A771" s="13" t="str">
        <f>IFERROR(__xludf.DUMMYFUNCTION("""COMPUTED_VALUE"""),"Shiny Kyogre")</f>
        <v>Shiny Kyogre</v>
      </c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</row>
    <row r="772">
      <c r="A772" s="13" t="str">
        <f>IFERROR(__xludf.DUMMYFUNCTION("""COMPUTED_VALUE"""),"Groudon")</f>
        <v>Groudon</v>
      </c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</row>
    <row r="773">
      <c r="A773" s="13" t="str">
        <f>IFERROR(__xludf.DUMMYFUNCTION("""COMPUTED_VALUE"""),"Shiny Groudon")</f>
        <v>Shiny Groudon</v>
      </c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</row>
    <row r="774">
      <c r="A774" s="13" t="str">
        <f>IFERROR(__xludf.DUMMYFUNCTION("""COMPUTED_VALUE"""),"Rayquaza")</f>
        <v>Rayquaza</v>
      </c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</row>
    <row r="775">
      <c r="A775" s="13" t="str">
        <f>IFERROR(__xludf.DUMMYFUNCTION("""COMPUTED_VALUE"""),"Shiny Rayquaza")</f>
        <v>Shiny Rayquaza</v>
      </c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</row>
    <row r="776">
      <c r="A776" s="13" t="str">
        <f>IFERROR(__xludf.DUMMYFUNCTION("""COMPUTED_VALUE"""),"Jirachi")</f>
        <v>Jirachi</v>
      </c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</row>
    <row r="777">
      <c r="A777" s="13" t="str">
        <f>IFERROR(__xludf.DUMMYFUNCTION("""COMPUTED_VALUE"""),"Shiny Jirachi")</f>
        <v>Shiny Jirachi</v>
      </c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</row>
    <row r="778">
      <c r="A778" s="13" t="str">
        <f>IFERROR(__xludf.DUMMYFUNCTION("""COMPUTED_VALUE"""),"Deoxys")</f>
        <v>Deoxys</v>
      </c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</row>
    <row r="779">
      <c r="A779" s="13" t="str">
        <f>IFERROR(__xludf.DUMMYFUNCTION("""COMPUTED_VALUE"""),"Shiny Deoxys")</f>
        <v>Shiny Deoxys</v>
      </c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</row>
    <row r="780">
      <c r="A780" s="13" t="str">
        <f>IFERROR(__xludf.DUMMYFUNCTION("""COMPUTED_VALUE"""),"Turtwig")</f>
        <v>Turtwig</v>
      </c>
      <c r="B780" s="11" t="str">
        <f>IFERROR(__xludf.DUMMYFUNCTION("""COMPUTED_VALUE"""),"seed")</f>
        <v>seed</v>
      </c>
      <c r="C780" s="11" t="str">
        <f>IFERROR(__xludf.DUMMYFUNCTION("""COMPUTED_VALUE"""),"sproutop")</f>
        <v>sproutop</v>
      </c>
      <c r="D780" s="11" t="str">
        <f>IFERROR(__xludf.DUMMYFUNCTION("""COMPUTED_VALUE"""),"leaf stone")</f>
        <v>leaf stone</v>
      </c>
      <c r="E780" s="11"/>
      <c r="F780" s="11"/>
      <c r="G780" s="11"/>
      <c r="H780" s="11"/>
      <c r="I780" s="11"/>
      <c r="J780" s="11"/>
      <c r="K780" s="11"/>
      <c r="L780" s="11"/>
    </row>
    <row r="781">
      <c r="A781" s="13" t="str">
        <f>IFERROR(__xludf.DUMMYFUNCTION("""COMPUTED_VALUE"""),"Shiny Turtwig")</f>
        <v>Shiny Turtwig</v>
      </c>
      <c r="B781" s="11" t="str">
        <f>IFERROR(__xludf.DUMMYFUNCTION("""COMPUTED_VALUE"""),"seed")</f>
        <v>seed</v>
      </c>
      <c r="C781" s="11" t="str">
        <f>IFERROR(__xludf.DUMMYFUNCTION("""COMPUTED_VALUE"""),"reddish sproutop")</f>
        <v>reddish sproutop</v>
      </c>
      <c r="D781" s="11" t="str">
        <f>IFERROR(__xludf.DUMMYFUNCTION("""COMPUTED_VALUE"""),"leaf stone")</f>
        <v>leaf stone</v>
      </c>
      <c r="E781" s="11" t="str">
        <f>IFERROR(__xludf.DUMMYFUNCTION("""COMPUTED_VALUE"""),"arcane grass orb")</f>
        <v>arcane grass orb</v>
      </c>
      <c r="F781" s="11"/>
      <c r="G781" s="11"/>
      <c r="H781" s="11"/>
      <c r="I781" s="11"/>
      <c r="J781" s="11"/>
      <c r="K781" s="11"/>
      <c r="L781" s="11"/>
    </row>
    <row r="782">
      <c r="A782" s="13" t="str">
        <f>IFERROR(__xludf.DUMMYFUNCTION("""COMPUTED_VALUE"""),"Grotle")</f>
        <v>Grotle</v>
      </c>
      <c r="B782" s="11" t="str">
        <f>IFERROR(__xludf.DUMMYFUNCTION("""COMPUTED_VALUE"""),"seed")</f>
        <v>seed</v>
      </c>
      <c r="C782" s="11" t="str">
        <f>IFERROR(__xludf.DUMMYFUNCTION("""COMPUTED_VALUE"""),"shellgrove")</f>
        <v>shellgrove</v>
      </c>
      <c r="D782" s="11" t="str">
        <f>IFERROR(__xludf.DUMMYFUNCTION("""COMPUTED_VALUE"""),"leaf stone")</f>
        <v>leaf stone</v>
      </c>
      <c r="E782" s="11"/>
      <c r="F782" s="11"/>
      <c r="G782" s="11"/>
      <c r="H782" s="11"/>
      <c r="I782" s="11"/>
      <c r="J782" s="11"/>
      <c r="K782" s="11"/>
      <c r="L782" s="11"/>
    </row>
    <row r="783">
      <c r="A783" s="13" t="str">
        <f>IFERROR(__xludf.DUMMYFUNCTION("""COMPUTED_VALUE"""),"Shiny Grotle")</f>
        <v>Shiny Grotle</v>
      </c>
      <c r="B783" s="11" t="str">
        <f>IFERROR(__xludf.DUMMYFUNCTION("""COMPUTED_VALUE"""),"seed")</f>
        <v>seed</v>
      </c>
      <c r="C783" s="11" t="str">
        <f>IFERROR(__xludf.DUMMYFUNCTION("""COMPUTED_VALUE"""),"reddish shellgrove")</f>
        <v>reddish shellgrove</v>
      </c>
      <c r="D783" s="11" t="str">
        <f>IFERROR(__xludf.DUMMYFUNCTION("""COMPUTED_VALUE"""),"leaf stone")</f>
        <v>leaf stone</v>
      </c>
      <c r="E783" s="11" t="str">
        <f>IFERROR(__xludf.DUMMYFUNCTION("""COMPUTED_VALUE"""),"arcane grass orb")</f>
        <v>arcane grass orb</v>
      </c>
      <c r="F783" s="11" t="str">
        <f>IFERROR(__xludf.DUMMYFUNCTION("""COMPUTED_VALUE"""),"mythic grass orb")</f>
        <v>mythic grass orb</v>
      </c>
      <c r="G783" s="11"/>
      <c r="H783" s="11"/>
      <c r="I783" s="11"/>
      <c r="J783" s="11"/>
      <c r="K783" s="11"/>
      <c r="L783" s="11"/>
    </row>
    <row r="784">
      <c r="A784" s="13" t="str">
        <f>IFERROR(__xludf.DUMMYFUNCTION("""COMPUTED_VALUE"""),"Torterra")</f>
        <v>Torterra</v>
      </c>
      <c r="B784" s="11" t="str">
        <f>IFERROR(__xludf.DUMMYFUNCTION("""COMPUTED_VALUE"""),"earth ball")</f>
        <v>earth ball</v>
      </c>
      <c r="C784" s="11" t="str">
        <f>IFERROR(__xludf.DUMMYFUNCTION("""COMPUTED_VALUE"""),"small stone")</f>
        <v>small stone</v>
      </c>
      <c r="D784" s="11" t="str">
        <f>IFERROR(__xludf.DUMMYFUNCTION("""COMPUTED_VALUE"""),"piece of rock")</f>
        <v>piece of rock</v>
      </c>
      <c r="E784" s="11" t="str">
        <f>IFERROR(__xludf.DUMMYFUNCTION("""COMPUTED_VALUE"""),"continent thorn")</f>
        <v>continent thorn</v>
      </c>
      <c r="F784" s="11" t="str">
        <f>IFERROR(__xludf.DUMMYFUNCTION("""COMPUTED_VALUE"""),"leaf stone")</f>
        <v>leaf stone</v>
      </c>
      <c r="G784" s="11" t="str">
        <f>IFERROR(__xludf.DUMMYFUNCTION("""COMPUTED_VALUE"""),"earth stone")</f>
        <v>earth stone</v>
      </c>
      <c r="H784" s="11"/>
      <c r="I784" s="11"/>
      <c r="J784" s="11"/>
      <c r="K784" s="11"/>
      <c r="L784" s="11"/>
    </row>
    <row r="785">
      <c r="A785" s="13" t="str">
        <f>IFERROR(__xludf.DUMMYFUNCTION("""COMPUTED_VALUE"""),"Shiny Torterra")</f>
        <v>Shiny Torterra</v>
      </c>
      <c r="B785" s="11" t="str">
        <f>IFERROR(__xludf.DUMMYFUNCTION("""COMPUTED_VALUE"""),"seed")</f>
        <v>seed</v>
      </c>
      <c r="C785" s="11" t="str">
        <f>IFERROR(__xludf.DUMMYFUNCTION("""COMPUTED_VALUE"""),"earth ball")</f>
        <v>earth ball</v>
      </c>
      <c r="D785" s="11" t="str">
        <f>IFERROR(__xludf.DUMMYFUNCTION("""COMPUTED_VALUE"""),"reddish continent thorn")</f>
        <v>reddish continent thorn</v>
      </c>
      <c r="E785" s="11" t="str">
        <f>IFERROR(__xludf.DUMMYFUNCTION("""COMPUTED_VALUE"""),"earth stone")</f>
        <v>earth stone</v>
      </c>
      <c r="F785" s="11" t="str">
        <f>IFERROR(__xludf.DUMMYFUNCTION("""COMPUTED_VALUE"""),"leaf stone")</f>
        <v>leaf stone</v>
      </c>
      <c r="G785" s="11" t="str">
        <f>IFERROR(__xludf.DUMMYFUNCTION("""COMPUTED_VALUE"""),"mythic ground orb")</f>
        <v>mythic ground orb</v>
      </c>
      <c r="H785" s="11"/>
      <c r="I785" s="11"/>
      <c r="J785" s="11"/>
      <c r="K785" s="11"/>
      <c r="L785" s="11"/>
    </row>
    <row r="786">
      <c r="A786" s="13" t="str">
        <f>IFERROR(__xludf.DUMMYFUNCTION("""COMPUTED_VALUE"""),"Chimchar")</f>
        <v>Chimchar</v>
      </c>
      <c r="B786" s="11" t="str">
        <f>IFERROR(__xludf.DUMMYFUNCTION("""COMPUTED_VALUE"""),"essence of fire")</f>
        <v>essence of fire</v>
      </c>
      <c r="C786" s="11" t="str">
        <f>IFERROR(__xludf.DUMMYFUNCTION("""COMPUTED_VALUE"""),"chimchar topknot")</f>
        <v>chimchar topknot</v>
      </c>
      <c r="D786" s="11" t="str">
        <f>IFERROR(__xludf.DUMMYFUNCTION("""COMPUTED_VALUE"""),"fire stone")</f>
        <v>fire stone</v>
      </c>
      <c r="E786" s="11"/>
      <c r="F786" s="11"/>
      <c r="G786" s="11"/>
      <c r="H786" s="11"/>
      <c r="I786" s="11"/>
      <c r="J786" s="11"/>
      <c r="K786" s="11"/>
      <c r="L786" s="11"/>
    </row>
    <row r="787">
      <c r="A787" s="13" t="str">
        <f>IFERROR(__xludf.DUMMYFUNCTION("""COMPUTED_VALUE"""),"Shiny Chimchar")</f>
        <v>Shiny Chimchar</v>
      </c>
      <c r="B787" s="11" t="str">
        <f>IFERROR(__xludf.DUMMYFUNCTION("""COMPUTED_VALUE"""),"essence of fire")</f>
        <v>essence of fire</v>
      </c>
      <c r="C787" s="11" t="str">
        <f>IFERROR(__xludf.DUMMYFUNCTION("""COMPUTED_VALUE"""),"reddish chimchar topknot")</f>
        <v>reddish chimchar topknot</v>
      </c>
      <c r="D787" s="11" t="str">
        <f>IFERROR(__xludf.DUMMYFUNCTION("""COMPUTED_VALUE"""),"fire stone")</f>
        <v>fire stone</v>
      </c>
      <c r="E787" s="11" t="str">
        <f>IFERROR(__xludf.DUMMYFUNCTION("""COMPUTED_VALUE"""),"arcane fire orb")</f>
        <v>arcane fire orb</v>
      </c>
      <c r="F787" s="11"/>
      <c r="G787" s="11"/>
      <c r="H787" s="11"/>
      <c r="I787" s="11"/>
      <c r="J787" s="11"/>
      <c r="K787" s="11"/>
      <c r="L787" s="11"/>
    </row>
    <row r="788">
      <c r="A788" s="13" t="str">
        <f>IFERROR(__xludf.DUMMYFUNCTION("""COMPUTED_VALUE"""),"Monferno")</f>
        <v>Monferno</v>
      </c>
      <c r="B788" s="11" t="str">
        <f>IFERROR(__xludf.DUMMYFUNCTION("""COMPUTED_VALUE"""),"band aid")</f>
        <v>band aid</v>
      </c>
      <c r="C788" s="11" t="str">
        <f>IFERROR(__xludf.DUMMYFUNCTION("""COMPUTED_VALUE"""),"essence of fire")</f>
        <v>essence of fire</v>
      </c>
      <c r="D788" s="11" t="str">
        <f>IFERROR(__xludf.DUMMYFUNCTION("""COMPUTED_VALUE"""),"monferno topknot")</f>
        <v>monferno topknot</v>
      </c>
      <c r="E788" s="11" t="str">
        <f>IFERROR(__xludf.DUMMYFUNCTION("""COMPUTED_VALUE"""),"fire stone")</f>
        <v>fire stone</v>
      </c>
      <c r="F788" s="11" t="str">
        <f>IFERROR(__xludf.DUMMYFUNCTION("""COMPUTED_VALUE"""),"punch stone")</f>
        <v>punch stone</v>
      </c>
      <c r="G788" s="11"/>
      <c r="H788" s="11"/>
      <c r="I788" s="11"/>
      <c r="J788" s="11"/>
      <c r="K788" s="11"/>
      <c r="L788" s="11"/>
    </row>
    <row r="789">
      <c r="A789" s="13" t="str">
        <f>IFERROR(__xludf.DUMMYFUNCTION("""COMPUTED_VALUE"""),"Shiny Monferno")</f>
        <v>Shiny Monferno</v>
      </c>
      <c r="B789" s="11" t="str">
        <f>IFERROR(__xludf.DUMMYFUNCTION("""COMPUTED_VALUE"""),"band aid")</f>
        <v>band aid</v>
      </c>
      <c r="C789" s="11" t="str">
        <f>IFERROR(__xludf.DUMMYFUNCTION("""COMPUTED_VALUE"""),"essence of fire")</f>
        <v>essence of fire</v>
      </c>
      <c r="D789" s="11" t="str">
        <f>IFERROR(__xludf.DUMMYFUNCTION("""COMPUTED_VALUE"""),"reddish monferno topknot")</f>
        <v>reddish monferno topknot</v>
      </c>
      <c r="E789" s="11" t="str">
        <f>IFERROR(__xludf.DUMMYFUNCTION("""COMPUTED_VALUE"""),"fire stone")</f>
        <v>fire stone</v>
      </c>
      <c r="F789" s="11" t="str">
        <f>IFERROR(__xludf.DUMMYFUNCTION("""COMPUTED_VALUE"""),"punch stone")</f>
        <v>punch stone</v>
      </c>
      <c r="G789" s="11" t="str">
        <f>IFERROR(__xludf.DUMMYFUNCTION("""COMPUTED_VALUE"""),"arcane fire orb")</f>
        <v>arcane fire orb</v>
      </c>
      <c r="H789" s="11"/>
      <c r="I789" s="11"/>
      <c r="J789" s="11"/>
      <c r="K789" s="11"/>
      <c r="L789" s="11"/>
    </row>
    <row r="790">
      <c r="A790" s="13" t="str">
        <f>IFERROR(__xludf.DUMMYFUNCTION("""COMPUTED_VALUE"""),"Infarnape")</f>
        <v>Infarnape</v>
      </c>
      <c r="B790" s="11" t="str">
        <f>IFERROR(__xludf.DUMMYFUNCTION("""COMPUTED_VALUE"""),"band aid")</f>
        <v>band aid</v>
      </c>
      <c r="C790" s="11" t="str">
        <f>IFERROR(__xludf.DUMMYFUNCTION("""COMPUTED_VALUE"""),"essence of fire")</f>
        <v>essence of fire</v>
      </c>
      <c r="D790" s="11" t="str">
        <f>IFERROR(__xludf.DUMMYFUNCTION("""COMPUTED_VALUE"""),"infernape topknot")</f>
        <v>infernape topknot</v>
      </c>
      <c r="E790" s="11" t="str">
        <f>IFERROR(__xludf.DUMMYFUNCTION("""COMPUTED_VALUE"""),"flame tail")</f>
        <v>flame tail</v>
      </c>
      <c r="F790" s="11" t="str">
        <f>IFERROR(__xludf.DUMMYFUNCTION("""COMPUTED_VALUE"""),"fire stone")</f>
        <v>fire stone</v>
      </c>
      <c r="G790" s="11"/>
      <c r="H790" s="11"/>
      <c r="I790" s="11"/>
      <c r="J790" s="11"/>
      <c r="K790" s="11"/>
      <c r="L790" s="11"/>
    </row>
    <row r="791">
      <c r="A791" s="13" t="str">
        <f>IFERROR(__xludf.DUMMYFUNCTION("""COMPUTED_VALUE"""),"Shiny Infarnape")</f>
        <v>Shiny Infarnape</v>
      </c>
      <c r="B791" s="11" t="str">
        <f>IFERROR(__xludf.DUMMYFUNCTION("""COMPUTED_VALUE"""),"band aid")</f>
        <v>band aid</v>
      </c>
      <c r="C791" s="11" t="str">
        <f>IFERROR(__xludf.DUMMYFUNCTION("""COMPUTED_VALUE"""),"essence of fire")</f>
        <v>essence of fire</v>
      </c>
      <c r="D791" s="11" t="str">
        <f>IFERROR(__xludf.DUMMYFUNCTION("""COMPUTED_VALUE"""),"reddish infernape topknot")</f>
        <v>reddish infernape topknot</v>
      </c>
      <c r="E791" s="11" t="str">
        <f>IFERROR(__xludf.DUMMYFUNCTION("""COMPUTED_VALUE"""),"fire stone")</f>
        <v>fire stone</v>
      </c>
      <c r="F791" s="11" t="str">
        <f>IFERROR(__xludf.DUMMYFUNCTION("""COMPUTED_VALUE"""),"punch stone")</f>
        <v>punch stone</v>
      </c>
      <c r="G791" s="11" t="str">
        <f>IFERROR(__xludf.DUMMYFUNCTION("""COMPUTED_VALUE"""),"mythic fire orb")</f>
        <v>mythic fire orb</v>
      </c>
      <c r="H791" s="11"/>
      <c r="I791" s="11"/>
      <c r="J791" s="11"/>
      <c r="K791" s="11"/>
      <c r="L791" s="11"/>
    </row>
    <row r="792">
      <c r="A792" s="13" t="str">
        <f>IFERROR(__xludf.DUMMYFUNCTION("""COMPUTED_VALUE"""),"Shinx")</f>
        <v>Shinx</v>
      </c>
      <c r="B792" s="11" t="str">
        <f>IFERROR(__xludf.DUMMYFUNCTION("""COMPUTED_VALUE"""),"screw")</f>
        <v>screw</v>
      </c>
      <c r="C792" s="11" t="str">
        <f>IFERROR(__xludf.DUMMYFUNCTION("""COMPUTED_VALUE"""),"shinx fur")</f>
        <v>shinx fur</v>
      </c>
      <c r="D792" s="11" t="str">
        <f>IFERROR(__xludf.DUMMYFUNCTION("""COMPUTED_VALUE"""),"thunder stone")</f>
        <v>thunder stone</v>
      </c>
      <c r="E792" s="11"/>
      <c r="F792" s="11"/>
      <c r="G792" s="11"/>
      <c r="H792" s="11"/>
      <c r="I792" s="11"/>
      <c r="J792" s="11"/>
      <c r="K792" s="11"/>
      <c r="L792" s="11"/>
    </row>
    <row r="793">
      <c r="A793" s="13" t="str">
        <f>IFERROR(__xludf.DUMMYFUNCTION("""COMPUTED_VALUE"""),"Shiny Shinx")</f>
        <v>Shiny Shinx</v>
      </c>
      <c r="B793" s="11" t="str">
        <f>IFERROR(__xludf.DUMMYFUNCTION("""COMPUTED_VALUE"""),"screw")</f>
        <v>screw</v>
      </c>
      <c r="C793" s="11" t="str">
        <f>IFERROR(__xludf.DUMMYFUNCTION("""COMPUTED_VALUE"""),"cyan shinx fur")</f>
        <v>cyan shinx fur</v>
      </c>
      <c r="D793" s="11" t="str">
        <f>IFERROR(__xludf.DUMMYFUNCTION("""COMPUTED_VALUE"""),"thunder stone")</f>
        <v>thunder stone</v>
      </c>
      <c r="E793" s="11" t="str">
        <f>IFERROR(__xludf.DUMMYFUNCTION("""COMPUTED_VALUE"""),"arcane electric orb")</f>
        <v>arcane electric orb</v>
      </c>
      <c r="F793" s="11"/>
      <c r="G793" s="11"/>
      <c r="H793" s="11"/>
      <c r="I793" s="11"/>
      <c r="J793" s="11"/>
      <c r="K793" s="11"/>
      <c r="L793" s="11"/>
    </row>
    <row r="794">
      <c r="A794" s="13" t="str">
        <f>IFERROR(__xludf.DUMMYFUNCTION("""COMPUTED_VALUE"""),"Luxio")</f>
        <v>Luxio</v>
      </c>
      <c r="B794" s="11" t="str">
        <f>IFERROR(__xludf.DUMMYFUNCTION("""COMPUTED_VALUE"""),"screw")</f>
        <v>screw</v>
      </c>
      <c r="C794" s="11" t="str">
        <f>IFERROR(__xludf.DUMMYFUNCTION("""COMPUTED_VALUE"""),"electric sphere")</f>
        <v>electric sphere</v>
      </c>
      <c r="D794" s="11" t="str">
        <f>IFERROR(__xludf.DUMMYFUNCTION("""COMPUTED_VALUE"""),"thunder stone")</f>
        <v>thunder stone</v>
      </c>
      <c r="E794" s="11"/>
      <c r="F794" s="11"/>
      <c r="G794" s="11"/>
      <c r="H794" s="11"/>
      <c r="I794" s="11"/>
      <c r="J794" s="11"/>
      <c r="K794" s="11"/>
      <c r="L794" s="11"/>
    </row>
    <row r="795">
      <c r="A795" s="13" t="str">
        <f>IFERROR(__xludf.DUMMYFUNCTION("""COMPUTED_VALUE"""),"Shiny Luxio")</f>
        <v>Shiny Luxio</v>
      </c>
      <c r="B795" s="11" t="str">
        <f>IFERROR(__xludf.DUMMYFUNCTION("""COMPUTED_VALUE"""),"screw")</f>
        <v>screw</v>
      </c>
      <c r="C795" s="11" t="str">
        <f>IFERROR(__xludf.DUMMYFUNCTION("""COMPUTED_VALUE"""),"reddish electric sphere")</f>
        <v>reddish electric sphere</v>
      </c>
      <c r="D795" s="11" t="str">
        <f>IFERROR(__xludf.DUMMYFUNCTION("""COMPUTED_VALUE"""),"thunder stone")</f>
        <v>thunder stone</v>
      </c>
      <c r="E795" s="11" t="str">
        <f>IFERROR(__xludf.DUMMYFUNCTION("""COMPUTED_VALUE"""),"arcane electric orb")</f>
        <v>arcane electric orb</v>
      </c>
      <c r="F795" s="11" t="str">
        <f>IFERROR(__xludf.DUMMYFUNCTION("""COMPUTED_VALUE"""),"mythic electric orb")</f>
        <v>mythic electric orb</v>
      </c>
      <c r="G795" s="11"/>
      <c r="H795" s="11"/>
      <c r="I795" s="11"/>
      <c r="J795" s="11"/>
      <c r="K795" s="11"/>
      <c r="L795" s="11"/>
    </row>
    <row r="796">
      <c r="A796" s="13" t="str">
        <f>IFERROR(__xludf.DUMMYFUNCTION("""COMPUTED_VALUE"""),"Luxray")</f>
        <v>Luxray</v>
      </c>
      <c r="B796" s="11" t="str">
        <f>IFERROR(__xludf.DUMMYFUNCTION("""COMPUTED_VALUE"""),"screw")</f>
        <v>screw</v>
      </c>
      <c r="C796" s="11" t="str">
        <f>IFERROR(__xludf.DUMMYFUNCTION("""COMPUTED_VALUE"""),"luxray ear")</f>
        <v>luxray ear</v>
      </c>
      <c r="D796" s="11" t="str">
        <f>IFERROR(__xludf.DUMMYFUNCTION("""COMPUTED_VALUE"""),"gleam tail")</f>
        <v>gleam tail</v>
      </c>
      <c r="E796" s="11" t="str">
        <f>IFERROR(__xludf.DUMMYFUNCTION("""COMPUTED_VALUE"""),"thunder stone")</f>
        <v>thunder stone</v>
      </c>
      <c r="F796" s="11"/>
      <c r="G796" s="11"/>
      <c r="H796" s="11"/>
      <c r="I796" s="11"/>
      <c r="J796" s="11"/>
      <c r="K796" s="11"/>
      <c r="L796" s="11"/>
    </row>
    <row r="797">
      <c r="A797" s="13" t="str">
        <f>IFERROR(__xludf.DUMMYFUNCTION("""COMPUTED_VALUE"""),"Shiny Luxray")</f>
        <v>Shiny Luxray</v>
      </c>
      <c r="B797" s="11" t="str">
        <f>IFERROR(__xludf.DUMMYFUNCTION("""COMPUTED_VALUE"""),"screw")</f>
        <v>screw</v>
      </c>
      <c r="C797" s="11" t="str">
        <f>IFERROR(__xludf.DUMMYFUNCTION("""COMPUTED_VALUE"""),"shiny gleam tail")</f>
        <v>shiny gleam tail</v>
      </c>
      <c r="D797" s="11" t="str">
        <f>IFERROR(__xludf.DUMMYFUNCTION("""COMPUTED_VALUE"""),"thunder stone")</f>
        <v>thunder stone</v>
      </c>
      <c r="E797" s="11" t="str">
        <f>IFERROR(__xludf.DUMMYFUNCTION("""COMPUTED_VALUE"""),"mythic electric orb")</f>
        <v>mythic electric orb</v>
      </c>
      <c r="F797" s="11"/>
      <c r="G797" s="11"/>
      <c r="H797" s="11"/>
      <c r="I797" s="11"/>
      <c r="J797" s="11"/>
      <c r="K797" s="11"/>
      <c r="L797" s="11"/>
    </row>
    <row r="798">
      <c r="A798" s="13" t="str">
        <f>IFERROR(__xludf.DUMMYFUNCTION("""COMPUTED_VALUE"""),"Cranidos")</f>
        <v>Cranidos</v>
      </c>
      <c r="B798" s="11" t="str">
        <f>IFERROR(__xludf.DUMMYFUNCTION("""COMPUTED_VALUE"""),"big stone")</f>
        <v>big stone</v>
      </c>
      <c r="C798" s="11" t="str">
        <f>IFERROR(__xludf.DUMMYFUNCTION("""COMPUTED_VALUE"""),"small solid head")</f>
        <v>small solid head</v>
      </c>
      <c r="D798" s="11" t="str">
        <f>IFERROR(__xludf.DUMMYFUNCTION("""COMPUTED_VALUE"""),"rock essence")</f>
        <v>rock essence</v>
      </c>
      <c r="E798" s="11" t="str">
        <f>IFERROR(__xludf.DUMMYFUNCTION("""COMPUTED_VALUE"""),"rock stone")</f>
        <v>rock stone</v>
      </c>
      <c r="F798" s="11"/>
      <c r="G798" s="11"/>
      <c r="H798" s="11"/>
      <c r="I798" s="11"/>
      <c r="J798" s="11"/>
      <c r="K798" s="11"/>
      <c r="L798" s="11"/>
    </row>
    <row r="799">
      <c r="A799" s="13" t="str">
        <f>IFERROR(__xludf.DUMMYFUNCTION("""COMPUTED_VALUE"""),"Shiny Cranidos")</f>
        <v>Shiny Cranidos</v>
      </c>
      <c r="B799" s="11" t="str">
        <f>IFERROR(__xludf.DUMMYFUNCTION("""COMPUTED_VALUE"""),"big stone")</f>
        <v>big stone</v>
      </c>
      <c r="C799" s="11" t="str">
        <f>IFERROR(__xludf.DUMMYFUNCTION("""COMPUTED_VALUE"""),"small reddish solid head")</f>
        <v>small reddish solid head</v>
      </c>
      <c r="D799" s="11" t="str">
        <f>IFERROR(__xludf.DUMMYFUNCTION("""COMPUTED_VALUE"""),"rock stone")</f>
        <v>rock stone</v>
      </c>
      <c r="E799" s="11" t="str">
        <f>IFERROR(__xludf.DUMMYFUNCTION("""COMPUTED_VALUE"""),"mythic rock orb")</f>
        <v>mythic rock orb</v>
      </c>
      <c r="F799" s="11"/>
      <c r="G799" s="11"/>
      <c r="H799" s="11"/>
      <c r="I799" s="11"/>
      <c r="J799" s="11"/>
      <c r="K799" s="11"/>
      <c r="L799" s="11"/>
    </row>
    <row r="800">
      <c r="A800" s="13" t="str">
        <f>IFERROR(__xludf.DUMMYFUNCTION("""COMPUTED_VALUE"""),"Rampardos")</f>
        <v>Rampardos</v>
      </c>
      <c r="B800" s="11" t="str">
        <f>IFERROR(__xludf.DUMMYFUNCTION("""COMPUTED_VALUE"""),"big stone")</f>
        <v>big stone</v>
      </c>
      <c r="C800" s="11" t="str">
        <f>IFERROR(__xludf.DUMMYFUNCTION("""COMPUTED_VALUE"""),"rampardos skull")</f>
        <v>rampardos skull</v>
      </c>
      <c r="D800" s="11" t="str">
        <f>IFERROR(__xludf.DUMMYFUNCTION("""COMPUTED_VALUE"""),"solid head")</f>
        <v>solid head</v>
      </c>
      <c r="E800" s="11" t="str">
        <f>IFERROR(__xludf.DUMMYFUNCTION("""COMPUTED_VALUE"""),"rock essence")</f>
        <v>rock essence</v>
      </c>
      <c r="F800" s="11" t="str">
        <f>IFERROR(__xludf.DUMMYFUNCTION("""COMPUTED_VALUE"""),"rock stone")</f>
        <v>rock stone</v>
      </c>
      <c r="G800" s="11"/>
      <c r="H800" s="11"/>
      <c r="I800" s="11"/>
      <c r="J800" s="11"/>
      <c r="K800" s="11"/>
      <c r="L800" s="11"/>
    </row>
    <row r="801">
      <c r="A801" s="13" t="str">
        <f>IFERROR(__xludf.DUMMYFUNCTION("""COMPUTED_VALUE"""),"Shiny Rampardos")</f>
        <v>Shiny Rampardos</v>
      </c>
      <c r="B801" s="11" t="str">
        <f>IFERROR(__xludf.DUMMYFUNCTION("""COMPUTED_VALUE"""),"big stone")</f>
        <v>big stone</v>
      </c>
      <c r="C801" s="11" t="str">
        <f>IFERROR(__xludf.DUMMYFUNCTION("""COMPUTED_VALUE"""),"reddish rampardos skull")</f>
        <v>reddish rampardos skull</v>
      </c>
      <c r="D801" s="11" t="str">
        <f>IFERROR(__xludf.DUMMYFUNCTION("""COMPUTED_VALUE"""),"rock stone")</f>
        <v>rock stone</v>
      </c>
      <c r="E801" s="11" t="str">
        <f>IFERROR(__xludf.DUMMYFUNCTION("""COMPUTED_VALUE"""),"celestial rock orb")</f>
        <v>celestial rock orb</v>
      </c>
      <c r="F801" s="11"/>
      <c r="G801" s="11"/>
      <c r="H801" s="11"/>
      <c r="I801" s="11"/>
      <c r="J801" s="11"/>
      <c r="K801" s="11"/>
      <c r="L801" s="11"/>
    </row>
    <row r="802">
      <c r="A802" s="13" t="str">
        <f>IFERROR(__xludf.DUMMYFUNCTION("""COMPUTED_VALUE"""),"Pachirisu")</f>
        <v>Pachirisu</v>
      </c>
      <c r="B802" s="11" t="str">
        <f>IFERROR(__xludf.DUMMYFUNCTION("""COMPUTED_VALUE"""),"screw")</f>
        <v>screw</v>
      </c>
      <c r="C802" s="11" t="str">
        <f>IFERROR(__xludf.DUMMYFUNCTION("""COMPUTED_VALUE"""),"electric blue tail")</f>
        <v>electric blue tail</v>
      </c>
      <c r="D802" s="11" t="str">
        <f>IFERROR(__xludf.DUMMYFUNCTION("""COMPUTED_VALUE"""),"thunder stone")</f>
        <v>thunder stone</v>
      </c>
      <c r="E802" s="11"/>
      <c r="F802" s="11"/>
      <c r="G802" s="11"/>
      <c r="H802" s="11"/>
      <c r="I802" s="11"/>
      <c r="J802" s="11"/>
      <c r="K802" s="11"/>
      <c r="L802" s="11"/>
    </row>
    <row r="803">
      <c r="A803" s="13" t="str">
        <f>IFERROR(__xludf.DUMMYFUNCTION("""COMPUTED_VALUE"""),"Shiny Pachirisu")</f>
        <v>Shiny Pachirisu</v>
      </c>
      <c r="B803" s="11" t="str">
        <f>IFERROR(__xludf.DUMMYFUNCTION("""COMPUTED_VALUE"""),"screw")</f>
        <v>screw</v>
      </c>
      <c r="C803" s="11" t="str">
        <f>IFERROR(__xludf.DUMMYFUNCTION("""COMPUTED_VALUE"""),"electric pink tail")</f>
        <v>electric pink tail</v>
      </c>
      <c r="D803" s="11" t="str">
        <f>IFERROR(__xludf.DUMMYFUNCTION("""COMPUTED_VALUE"""),"thunder stone")</f>
        <v>thunder stone</v>
      </c>
      <c r="E803" s="11" t="str">
        <f>IFERROR(__xludf.DUMMYFUNCTION("""COMPUTED_VALUE"""),"mythic electric orb")</f>
        <v>mythic electric orb</v>
      </c>
      <c r="F803" s="11"/>
      <c r="G803" s="11"/>
      <c r="H803" s="11"/>
      <c r="I803" s="11"/>
      <c r="J803" s="11"/>
      <c r="K803" s="11"/>
      <c r="L803" s="11"/>
    </row>
    <row r="804">
      <c r="A804" s="13" t="str">
        <f>IFERROR(__xludf.DUMMYFUNCTION("""COMPUTED_VALUE"""),"Lopunny")</f>
        <v>Lopunny</v>
      </c>
      <c r="B804" s="11" t="str">
        <f>IFERROR(__xludf.DUMMYFUNCTION("""COMPUTED_VALUE"""),"rubber ball")</f>
        <v>rubber ball</v>
      </c>
      <c r="C804" s="11" t="str">
        <f>IFERROR(__xludf.DUMMYFUNCTION("""COMPUTED_VALUE"""),"rabbit eyebrows")</f>
        <v>rabbit eyebrows</v>
      </c>
      <c r="D804" s="11" t="str">
        <f>IFERROR(__xludf.DUMMYFUNCTION("""COMPUTED_VALUE"""),"heart stone")</f>
        <v>heart stone</v>
      </c>
      <c r="E804" s="11"/>
      <c r="F804" s="11"/>
      <c r="G804" s="11"/>
      <c r="H804" s="11"/>
      <c r="I804" s="11"/>
      <c r="J804" s="11"/>
      <c r="K804" s="11"/>
      <c r="L804" s="11"/>
    </row>
    <row r="805">
      <c r="A805" s="13" t="str">
        <f>IFERROR(__xludf.DUMMYFUNCTION("""COMPUTED_VALUE"""),"Shiny Lopunny")</f>
        <v>Shiny Lopunny</v>
      </c>
      <c r="B805" s="11" t="str">
        <f>IFERROR(__xludf.DUMMYFUNCTION("""COMPUTED_VALUE"""),"rubber ball")</f>
        <v>rubber ball</v>
      </c>
      <c r="C805" s="11" t="str">
        <f>IFERROR(__xludf.DUMMYFUNCTION("""COMPUTED_VALUE"""),"pink bunny eyebrows")</f>
        <v>pink bunny eyebrows</v>
      </c>
      <c r="D805" s="11" t="str">
        <f>IFERROR(__xludf.DUMMYFUNCTION("""COMPUTED_VALUE"""),"heart stone")</f>
        <v>heart stone</v>
      </c>
      <c r="E805" s="11" t="str">
        <f>IFERROR(__xludf.DUMMYFUNCTION("""COMPUTED_VALUE"""),"mythic normal orb")</f>
        <v>mythic normal orb</v>
      </c>
      <c r="F805" s="11"/>
      <c r="G805" s="11"/>
      <c r="H805" s="11"/>
      <c r="I805" s="11"/>
      <c r="J805" s="11"/>
      <c r="K805" s="11"/>
      <c r="L805" s="11"/>
    </row>
    <row r="806">
      <c r="A806" s="13" t="str">
        <f>IFERROR(__xludf.DUMMYFUNCTION("""COMPUTED_VALUE"""),"Riolu")</f>
        <v>Riolu</v>
      </c>
      <c r="B806" s="11" t="str">
        <f>IFERROR(__xludf.DUMMYFUNCTION("""COMPUTED_VALUE"""),"band aid")</f>
        <v>band aid</v>
      </c>
      <c r="C806" s="11" t="str">
        <f>IFERROR(__xludf.DUMMYFUNCTION("""COMPUTED_VALUE"""),"small blue tail")</f>
        <v>small blue tail</v>
      </c>
      <c r="D806" s="11" t="str">
        <f>IFERROR(__xludf.DUMMYFUNCTION("""COMPUTED_VALUE"""),"punch stone")</f>
        <v>punch stone</v>
      </c>
      <c r="E806" s="11"/>
      <c r="F806" s="11"/>
      <c r="G806" s="11"/>
      <c r="H806" s="11"/>
      <c r="I806" s="11"/>
      <c r="J806" s="11"/>
      <c r="K806" s="11"/>
      <c r="L806" s="11"/>
    </row>
    <row r="807">
      <c r="A807" s="13" t="str">
        <f>IFERROR(__xludf.DUMMYFUNCTION("""COMPUTED_VALUE"""),"Shiny Riolu")</f>
        <v>Shiny Riolu</v>
      </c>
      <c r="B807" s="11" t="str">
        <f>IFERROR(__xludf.DUMMYFUNCTION("""COMPUTED_VALUE"""),"band aid")</f>
        <v>band aid</v>
      </c>
      <c r="C807" s="11" t="str">
        <f>IFERROR(__xludf.DUMMYFUNCTION("""COMPUTED_VALUE"""),"small yellow tail")</f>
        <v>small yellow tail</v>
      </c>
      <c r="D807" s="11" t="str">
        <f>IFERROR(__xludf.DUMMYFUNCTION("""COMPUTED_VALUE"""),"punch stone")</f>
        <v>punch stone</v>
      </c>
      <c r="E807" s="11"/>
      <c r="F807" s="11"/>
      <c r="G807" s="11"/>
      <c r="H807" s="11"/>
      <c r="I807" s="11"/>
      <c r="J807" s="11"/>
      <c r="K807" s="11"/>
      <c r="L807" s="11"/>
    </row>
    <row r="808">
      <c r="A808" s="13" t="str">
        <f>IFERROR(__xludf.DUMMYFUNCTION("""COMPUTED_VALUE"""),"Lucario")</f>
        <v>Lucario</v>
      </c>
      <c r="B808" s="11" t="str">
        <f>IFERROR(__xludf.DUMMYFUNCTION("""COMPUTED_VALUE"""),"injection")</f>
        <v>injection</v>
      </c>
      <c r="C808" s="11" t="str">
        <f>IFERROR(__xludf.DUMMYFUNCTION("""COMPUTED_VALUE"""),"compressed steel")</f>
        <v>compressed steel</v>
      </c>
      <c r="D808" s="11" t="str">
        <f>IFERROR(__xludf.DUMMYFUNCTION("""COMPUTED_VALUE"""),"lucario tail")</f>
        <v>lucario tail</v>
      </c>
      <c r="E808" s="11" t="str">
        <f>IFERROR(__xludf.DUMMYFUNCTION("""COMPUTED_VALUE"""),"fighter essence")</f>
        <v>fighter essence</v>
      </c>
      <c r="F808" s="11" t="str">
        <f>IFERROR(__xludf.DUMMYFUNCTION("""COMPUTED_VALUE"""),"steel essence")</f>
        <v>steel essence</v>
      </c>
      <c r="G808" s="11" t="str">
        <f>IFERROR(__xludf.DUMMYFUNCTION("""COMPUTED_VALUE"""),"punch stone")</f>
        <v>punch stone</v>
      </c>
      <c r="H808" s="11" t="str">
        <f>IFERROR(__xludf.DUMMYFUNCTION("""COMPUTED_VALUE"""),"metal stone")</f>
        <v>metal stone</v>
      </c>
      <c r="I808" s="11"/>
      <c r="J808" s="11"/>
      <c r="K808" s="11"/>
      <c r="L808" s="11"/>
    </row>
    <row r="809">
      <c r="A809" s="13" t="str">
        <f>IFERROR(__xludf.DUMMYFUNCTION("""COMPUTED_VALUE"""),"Shiny Lucario")</f>
        <v>Shiny Lucario</v>
      </c>
      <c r="B809" s="11" t="str">
        <f>IFERROR(__xludf.DUMMYFUNCTION("""COMPUTED_VALUE"""),"injection")</f>
        <v>injection</v>
      </c>
      <c r="C809" s="11" t="str">
        <f>IFERROR(__xludf.DUMMYFUNCTION("""COMPUTED_VALUE"""),"compressed steel")</f>
        <v>compressed steel</v>
      </c>
      <c r="D809" s="11" t="str">
        <f>IFERROR(__xludf.DUMMYFUNCTION("""COMPUTED_VALUE"""),"golden lucario tail")</f>
        <v>golden lucario tail</v>
      </c>
      <c r="E809" s="11" t="str">
        <f>IFERROR(__xludf.DUMMYFUNCTION("""COMPUTED_VALUE"""),"punch stone")</f>
        <v>punch stone</v>
      </c>
      <c r="F809" s="11" t="str">
        <f>IFERROR(__xludf.DUMMYFUNCTION("""COMPUTED_VALUE"""),"metal stone")</f>
        <v>metal stone</v>
      </c>
      <c r="G809" s="11" t="str">
        <f>IFERROR(__xludf.DUMMYFUNCTION("""COMPUTED_VALUE"""),"celestial fighting orb")</f>
        <v>celestial fighting orb</v>
      </c>
      <c r="H809" s="11" t="str">
        <f>IFERROR(__xludf.DUMMYFUNCTION("""COMPUTED_VALUE"""),"celestial metal orb")</f>
        <v>celestial metal orb</v>
      </c>
      <c r="I809" s="11"/>
      <c r="J809" s="11"/>
      <c r="K809" s="11"/>
      <c r="L809" s="11"/>
    </row>
    <row r="810">
      <c r="A810" s="13" t="str">
        <f>IFERROR(__xludf.DUMMYFUNCTION("""COMPUTED_VALUE"""),"Croagunk")</f>
        <v>Croagunk</v>
      </c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>
      <c r="A811" s="13" t="str">
        <f>IFERROR(__xludf.DUMMYFUNCTION("""COMPUTED_VALUE"""),"Shiny Croagunk")</f>
        <v>Shiny Croagunk</v>
      </c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>
      <c r="A812" s="13" t="str">
        <f>IFERROR(__xludf.DUMMYFUNCTION("""COMPUTED_VALUE"""),"Toxicroak")</f>
        <v>Toxicroak</v>
      </c>
      <c r="B812" s="11" t="str">
        <f>IFERROR(__xludf.DUMMYFUNCTION("""COMPUTED_VALUE"""),"band aid")</f>
        <v>band aid</v>
      </c>
      <c r="C812" s="11" t="str">
        <f>IFERROR(__xludf.DUMMYFUNCTION("""COMPUTED_VALUE"""),"bottle of poison")</f>
        <v>bottle of poison</v>
      </c>
      <c r="D812" s="11" t="str">
        <f>IFERROR(__xludf.DUMMYFUNCTION("""COMPUTED_VALUE"""),"poison bladder")</f>
        <v>poison bladder</v>
      </c>
      <c r="E812" s="11" t="str">
        <f>IFERROR(__xludf.DUMMYFUNCTION("""COMPUTED_VALUE"""),"punch stone")</f>
        <v>punch stone</v>
      </c>
      <c r="F812" s="11" t="str">
        <f>IFERROR(__xludf.DUMMYFUNCTION("""COMPUTED_VALUE"""),"venom stone")</f>
        <v>venom stone</v>
      </c>
      <c r="G812" s="11"/>
      <c r="H812" s="11"/>
      <c r="I812" s="11"/>
      <c r="J812" s="11"/>
      <c r="K812" s="11"/>
      <c r="L812" s="11"/>
    </row>
    <row r="813">
      <c r="A813" s="13" t="str">
        <f>IFERROR(__xludf.DUMMYFUNCTION("""COMPUTED_VALUE"""),"Shiny Toxicroak")</f>
        <v>Shiny Toxicroak</v>
      </c>
      <c r="B813" s="11" t="str">
        <f>IFERROR(__xludf.DUMMYFUNCTION("""COMPUTED_VALUE"""),"band aid")</f>
        <v>band aid</v>
      </c>
      <c r="C813" s="11" t="str">
        <f>IFERROR(__xludf.DUMMYFUNCTION("""COMPUTED_VALUE"""),"bottle of poison")</f>
        <v>bottle of poison</v>
      </c>
      <c r="D813" s="11" t="str">
        <f>IFERROR(__xludf.DUMMYFUNCTION("""COMPUTED_VALUE"""),"pink poison bladder")</f>
        <v>pink poison bladder</v>
      </c>
      <c r="E813" s="11" t="str">
        <f>IFERROR(__xludf.DUMMYFUNCTION("""COMPUTED_VALUE"""),"punch stone")</f>
        <v>punch stone</v>
      </c>
      <c r="F813" s="11" t="str">
        <f>IFERROR(__xludf.DUMMYFUNCTION("""COMPUTED_VALUE"""),"venom stone")</f>
        <v>venom stone</v>
      </c>
      <c r="G813" s="11" t="str">
        <f>IFERROR(__xludf.DUMMYFUNCTION("""COMPUTED_VALUE"""),"mythic poison orb")</f>
        <v>mythic poison orb</v>
      </c>
      <c r="H813" s="11" t="str">
        <f>IFERROR(__xludf.DUMMYFUNCTION("""COMPUTED_VALUE"""),"earth stone")</f>
        <v>earth stone</v>
      </c>
      <c r="I813" s="11"/>
      <c r="J813" s="11"/>
      <c r="K813" s="11"/>
      <c r="L813" s="11"/>
    </row>
    <row r="814">
      <c r="A814" s="13" t="str">
        <f>IFERROR(__xludf.DUMMYFUNCTION("""COMPUTED_VALUE"""),"Abomasnow")</f>
        <v>Abomasnow</v>
      </c>
      <c r="B814" s="11" t="str">
        <f>IFERROR(__xludf.DUMMYFUNCTION("""COMPUTED_VALUE"""),"seed")</f>
        <v>seed</v>
      </c>
      <c r="C814" s="11" t="str">
        <f>IFERROR(__xludf.DUMMYFUNCTION("""COMPUTED_VALUE"""),"snowball")</f>
        <v>snowball</v>
      </c>
      <c r="D814" s="11" t="str">
        <f>IFERROR(__xludf.DUMMYFUNCTION("""COMPUTED_VALUE"""),"abomasnow hands")</f>
        <v>abomasnow hands</v>
      </c>
      <c r="E814" s="11" t="str">
        <f>IFERROR(__xludf.DUMMYFUNCTION("""COMPUTED_VALUE"""),"leaf stone")</f>
        <v>leaf stone</v>
      </c>
      <c r="F814" s="11" t="str">
        <f>IFERROR(__xludf.DUMMYFUNCTION("""COMPUTED_VALUE"""),"ice stone")</f>
        <v>ice stone</v>
      </c>
      <c r="G814" s="11"/>
      <c r="H814" s="11" t="str">
        <f>IFERROR(__xludf.DUMMYFUNCTION("""COMPUTED_VALUE"""),"celestial rock orb")</f>
        <v>celestial rock orb</v>
      </c>
      <c r="I814" s="11"/>
      <c r="J814" s="11"/>
      <c r="K814" s="11"/>
      <c r="L814" s="11"/>
    </row>
    <row r="815">
      <c r="A815" s="13" t="str">
        <f>IFERROR(__xludf.DUMMYFUNCTION("""COMPUTED_VALUE"""),"Mega Abomasnow")</f>
        <v>Mega Abomasnow</v>
      </c>
      <c r="B815" s="11" t="str">
        <f>IFERROR(__xludf.DUMMYFUNCTION("""COMPUTED_VALUE"""),"mega shard")</f>
        <v>mega shard</v>
      </c>
      <c r="C815" s="11" t="str">
        <f>IFERROR(__xludf.DUMMYFUNCTION("""COMPUTED_VALUE"""),"seed")</f>
        <v>seed</v>
      </c>
      <c r="D815" s="11" t="str">
        <f>IFERROR(__xludf.DUMMYFUNCTION("""COMPUTED_VALUE"""),"snowball")</f>
        <v>snowball</v>
      </c>
      <c r="E815" s="11" t="str">
        <f>IFERROR(__xludf.DUMMYFUNCTION("""COMPUTED_VALUE"""),"abomasnow hands")</f>
        <v>abomasnow hands</v>
      </c>
      <c r="F815" s="11" t="str">
        <f>IFERROR(__xludf.DUMMYFUNCTION("""COMPUTED_VALUE"""),"leaf stone")</f>
        <v>leaf stone</v>
      </c>
      <c r="G815" s="11" t="str">
        <f>IFERROR(__xludf.DUMMYFUNCTION("""COMPUTED_VALUE"""),"ice stone")</f>
        <v>ice stone</v>
      </c>
      <c r="H815" s="11"/>
      <c r="I815" s="11"/>
      <c r="J815" s="11"/>
      <c r="K815" s="11"/>
      <c r="L815" s="11"/>
    </row>
    <row r="816">
      <c r="A816" s="13" t="str">
        <f>IFERROR(__xludf.DUMMYFUNCTION("""COMPUTED_VALUE"""),"Rhyperior")</f>
        <v>Rhyperior</v>
      </c>
      <c r="B816" s="11" t="str">
        <f>IFERROR(__xludf.DUMMYFUNCTION("""COMPUTED_VALUE"""),"hardened horn")</f>
        <v>hardened horn</v>
      </c>
      <c r="C816" s="11" t="str">
        <f>IFERROR(__xludf.DUMMYFUNCTION("""COMPUTED_VALUE"""),"solid earth piece")</f>
        <v>solid earth piece</v>
      </c>
      <c r="D816" s="11" t="str">
        <f>IFERROR(__xludf.DUMMYFUNCTION("""COMPUTED_VALUE"""),"big stone")</f>
        <v>big stone</v>
      </c>
      <c r="E816" s="11" t="str">
        <f>IFERROR(__xludf.DUMMYFUNCTION("""COMPUTED_VALUE"""),"solid rock paw")</f>
        <v>solid rock paw</v>
      </c>
      <c r="F816" s="11" t="str">
        <f>IFERROR(__xludf.DUMMYFUNCTION("""COMPUTED_VALUE"""),"rock essence")</f>
        <v>rock essence</v>
      </c>
      <c r="G816" s="11" t="str">
        <f>IFERROR(__xludf.DUMMYFUNCTION("""COMPUTED_VALUE"""),"rock stone")</f>
        <v>rock stone</v>
      </c>
      <c r="H816" s="11" t="str">
        <f>IFERROR(__xludf.DUMMYFUNCTION("""COMPUTED_VALUE"""),"abomasite")</f>
        <v>abomasite</v>
      </c>
      <c r="I816" s="11"/>
      <c r="J816" s="11"/>
      <c r="K816" s="11"/>
      <c r="L816" s="11"/>
    </row>
    <row r="817">
      <c r="A817" s="13" t="str">
        <f>IFERROR(__xludf.DUMMYFUNCTION("""COMPUTED_VALUE"""),"Shiny Rhyperior")</f>
        <v>Shiny Rhyperior</v>
      </c>
      <c r="B817" s="11" t="str">
        <f>IFERROR(__xludf.DUMMYFUNCTION("""COMPUTED_VALUE"""),"small stone")</f>
        <v>small stone</v>
      </c>
      <c r="C817" s="11" t="str">
        <f>IFERROR(__xludf.DUMMYFUNCTION("""COMPUTED_VALUE"""),"earth ball")</f>
        <v>earth ball</v>
      </c>
      <c r="D817" s="11" t="str">
        <f>IFERROR(__xludf.DUMMYFUNCTION("""COMPUTED_VALUE"""),"yellow solid rock paw")</f>
        <v>yellow solid rock paw</v>
      </c>
      <c r="E817" s="11" t="str">
        <f>IFERROR(__xludf.DUMMYFUNCTION("""COMPUTED_VALUE"""),"rock stone")</f>
        <v>rock stone</v>
      </c>
      <c r="F817" s="11" t="str">
        <f>IFERROR(__xludf.DUMMYFUNCTION("""COMPUTED_VALUE"""),"earth stone")</f>
        <v>earth stone</v>
      </c>
      <c r="G817" s="11" t="str">
        <f>IFERROR(__xludf.DUMMYFUNCTION("""COMPUTED_VALUE"""),"mythic rock orb")</f>
        <v>mythic rock orb</v>
      </c>
      <c r="H817" s="11"/>
      <c r="I817" s="11"/>
      <c r="J817" s="11"/>
      <c r="K817" s="11"/>
      <c r="L817" s="11"/>
    </row>
    <row r="818">
      <c r="A818" s="13" t="str">
        <f>IFERROR(__xludf.DUMMYFUNCTION("""COMPUTED_VALUE"""),"Tangrowth")</f>
        <v>Tangrowth</v>
      </c>
      <c r="B818" s="11" t="str">
        <f>IFERROR(__xludf.DUMMYFUNCTION("""COMPUTED_VALUE"""),"seed")</f>
        <v>seed</v>
      </c>
      <c r="C818" s="11" t="str">
        <f>IFERROR(__xludf.DUMMYFUNCTION("""COMPUTED_VALUE"""),"gaia hands")</f>
        <v>gaia hands</v>
      </c>
      <c r="D818" s="11" t="str">
        <f>IFERROR(__xludf.DUMMYFUNCTION("""COMPUTED_VALUE"""),"gaia tentacles")</f>
        <v>gaia tentacles</v>
      </c>
      <c r="E818" s="11" t="str">
        <f>IFERROR(__xludf.DUMMYFUNCTION("""COMPUTED_VALUE"""),"leaf stone")</f>
        <v>leaf stone</v>
      </c>
      <c r="F818" s="11"/>
      <c r="G818" s="11"/>
      <c r="H818" s="11"/>
      <c r="I818" s="11"/>
      <c r="J818" s="11"/>
      <c r="K818" s="11"/>
      <c r="L818" s="11"/>
    </row>
    <row r="819">
      <c r="A819" s="13" t="str">
        <f>IFERROR(__xludf.DUMMYFUNCTION("""COMPUTED_VALUE"""),"Shiny Tangrowth")</f>
        <v>Shiny Tangrowth</v>
      </c>
      <c r="B819" s="11" t="str">
        <f>IFERROR(__xludf.DUMMYFUNCTION("""COMPUTED_VALUE"""),"seed")</f>
        <v>seed</v>
      </c>
      <c r="C819" s="11" t="str">
        <f>IFERROR(__xludf.DUMMYFUNCTION("""COMPUTED_VALUE"""),"greenish gaia tentacles")</f>
        <v>greenish gaia tentacles</v>
      </c>
      <c r="D819" s="11" t="str">
        <f>IFERROR(__xludf.DUMMYFUNCTION("""COMPUTED_VALUE"""),"leaf stone")</f>
        <v>leaf stone</v>
      </c>
      <c r="E819" s="11" t="str">
        <f>IFERROR(__xludf.DUMMYFUNCTION("""COMPUTED_VALUE"""),"mythic grass orb")</f>
        <v>mythic grass orb</v>
      </c>
      <c r="F819" s="11"/>
      <c r="G819" s="11"/>
      <c r="H819" s="11"/>
      <c r="I819" s="11"/>
      <c r="J819" s="11"/>
      <c r="K819" s="11"/>
      <c r="L819" s="11"/>
    </row>
    <row r="820">
      <c r="A820" s="13" t="str">
        <f>IFERROR(__xludf.DUMMYFUNCTION("""COMPUTED_VALUE"""),"Leafeon")</f>
        <v>Leafeon</v>
      </c>
      <c r="B820" s="11" t="str">
        <f>IFERROR(__xludf.DUMMYFUNCTION("""COMPUTED_VALUE"""),"leaf tail")</f>
        <v>leaf tail</v>
      </c>
      <c r="C820" s="11" t="str">
        <f>IFERROR(__xludf.DUMMYFUNCTION("""COMPUTED_VALUE"""),"pile of seeds")</f>
        <v>pile of seeds</v>
      </c>
      <c r="D820" s="11" t="str">
        <f>IFERROR(__xludf.DUMMYFUNCTION("""COMPUTED_VALUE"""),"grass essence")</f>
        <v>grass essence</v>
      </c>
      <c r="E820" s="11" t="str">
        <f>IFERROR(__xludf.DUMMYFUNCTION("""COMPUTED_VALUE"""),"leaf stone")</f>
        <v>leaf stone</v>
      </c>
      <c r="F820" s="11"/>
      <c r="G820" s="11"/>
      <c r="H820" s="11"/>
      <c r="I820" s="11"/>
      <c r="J820" s="11"/>
      <c r="K820" s="11"/>
      <c r="L820" s="11"/>
    </row>
    <row r="821">
      <c r="A821" s="13" t="str">
        <f>IFERROR(__xludf.DUMMYFUNCTION("""COMPUTED_VALUE"""),"Shiny Leafeon")</f>
        <v>Shiny Leafeon</v>
      </c>
      <c r="B821" s="11" t="str">
        <f>IFERROR(__xludf.DUMMYFUNCTION("""COMPUTED_VALUE"""),"pile of seeds")</f>
        <v>pile of seeds</v>
      </c>
      <c r="C821" s="11" t="str">
        <f>IFERROR(__xludf.DUMMYFUNCTION("""COMPUTED_VALUE"""),"solar leaf tial")</f>
        <v>solar leaf tial</v>
      </c>
      <c r="D821" s="11" t="str">
        <f>IFERROR(__xludf.DUMMYFUNCTION("""COMPUTED_VALUE"""),"leaf stone")</f>
        <v>leaf stone</v>
      </c>
      <c r="E821" s="11" t="str">
        <f>IFERROR(__xludf.DUMMYFUNCTION("""COMPUTED_VALUE"""),"celestial grass orb")</f>
        <v>celestial grass orb</v>
      </c>
      <c r="F821" s="11"/>
      <c r="G821" s="11"/>
      <c r="H821" s="11"/>
      <c r="I821" s="11"/>
      <c r="J821" s="11"/>
      <c r="K821" s="11"/>
      <c r="L821" s="11"/>
    </row>
    <row r="822">
      <c r="A822" s="13" t="str">
        <f>IFERROR(__xludf.DUMMYFUNCTION("""COMPUTED_VALUE"""),"Glaceon")</f>
        <v>Glaceon</v>
      </c>
      <c r="B822" s="11" t="str">
        <f>IFERROR(__xludf.DUMMYFUNCTION("""COMPUTED_VALUE"""),"solid ice cube")</f>
        <v>solid ice cube</v>
      </c>
      <c r="C822" s="11" t="str">
        <f>IFERROR(__xludf.DUMMYFUNCTION("""COMPUTED_VALUE"""),"ice tail")</f>
        <v>ice tail</v>
      </c>
      <c r="D822" s="11" t="str">
        <f>IFERROR(__xludf.DUMMYFUNCTION("""COMPUTED_VALUE"""),"ice essence")</f>
        <v>ice essence</v>
      </c>
      <c r="E822" s="11" t="str">
        <f>IFERROR(__xludf.DUMMYFUNCTION("""COMPUTED_VALUE"""),"ice stone")</f>
        <v>ice stone</v>
      </c>
      <c r="F822" s="11"/>
      <c r="G822" s="11"/>
      <c r="H822" s="11"/>
      <c r="I822" s="11"/>
      <c r="J822" s="11"/>
      <c r="K822" s="11"/>
      <c r="L822" s="11"/>
    </row>
    <row r="823">
      <c r="A823" s="13" t="str">
        <f>IFERROR(__xludf.DUMMYFUNCTION("""COMPUTED_VALUE"""),"Shiny Glaceon")</f>
        <v>Shiny Glaceon</v>
      </c>
      <c r="B823" s="11" t="str">
        <f>IFERROR(__xludf.DUMMYFUNCTION("""COMPUTED_VALUE"""),"solid ice cube")</f>
        <v>solid ice cube</v>
      </c>
      <c r="C823" s="11" t="str">
        <f>IFERROR(__xludf.DUMMYFUNCTION("""COMPUTED_VALUE"""),"frozen ice ears")</f>
        <v>frozen ice ears</v>
      </c>
      <c r="D823" s="11" t="str">
        <f>IFERROR(__xludf.DUMMYFUNCTION("""COMPUTED_VALUE"""),"ice stone")</f>
        <v>ice stone</v>
      </c>
      <c r="E823" s="11" t="str">
        <f>IFERROR(__xludf.DUMMYFUNCTION("""COMPUTED_VALUE"""),"celestial ice orb")</f>
        <v>celestial ice orb</v>
      </c>
      <c r="F823" s="11"/>
      <c r="G823" s="11"/>
      <c r="H823" s="11"/>
      <c r="I823" s="11"/>
      <c r="J823" s="11"/>
      <c r="K823" s="11"/>
      <c r="L823" s="11"/>
    </row>
    <row r="824">
      <c r="A824" s="13" t="str">
        <f>IFERROR(__xludf.DUMMYFUNCTION("""COMPUTED_VALUE"""),"Gliscor")</f>
        <v>Gliscor</v>
      </c>
      <c r="B824" s="11" t="str">
        <f>IFERROR(__xludf.DUMMYFUNCTION("""COMPUTED_VALUE"""),"earth ball")</f>
        <v>earth ball</v>
      </c>
      <c r="C824" s="11" t="str">
        <f>IFERROR(__xludf.DUMMYFUNCTION("""COMPUTED_VALUE"""),"straw")</f>
        <v>straw</v>
      </c>
      <c r="D824" s="11" t="str">
        <f>IFERROR(__xludf.DUMMYFUNCTION("""COMPUTED_VALUE"""),"gliscor claw")</f>
        <v>gliscor claw</v>
      </c>
      <c r="E824" s="11" t="str">
        <f>IFERROR(__xludf.DUMMYFUNCTION("""COMPUTED_VALUE"""),"shadow gliscor wings")</f>
        <v>shadow gliscor wings</v>
      </c>
      <c r="F824" s="11" t="str">
        <f>IFERROR(__xludf.DUMMYFUNCTION("""COMPUTED_VALUE"""),"earth stone")</f>
        <v>earth stone</v>
      </c>
      <c r="G824" s="11" t="str">
        <f>IFERROR(__xludf.DUMMYFUNCTION("""COMPUTED_VALUE"""),"feather stone")</f>
        <v>feather stone</v>
      </c>
      <c r="H824" s="11"/>
      <c r="I824" s="11"/>
      <c r="J824" s="11"/>
      <c r="K824" s="11"/>
      <c r="L824" s="11"/>
    </row>
    <row r="825">
      <c r="A825" s="13" t="str">
        <f>IFERROR(__xludf.DUMMYFUNCTION("""COMPUTED_VALUE"""),"Shiny Gliscor")</f>
        <v>Shiny Gliscor</v>
      </c>
      <c r="B825" s="11" t="str">
        <f>IFERROR(__xludf.DUMMYFUNCTION("""COMPUTED_VALUE"""),"earth ball")</f>
        <v>earth ball</v>
      </c>
      <c r="C825" s="11" t="str">
        <f>IFERROR(__xludf.DUMMYFUNCTION("""COMPUTED_VALUE"""),"straw")</f>
        <v>straw</v>
      </c>
      <c r="D825" s="11" t="str">
        <f>IFERROR(__xludf.DUMMYFUNCTION("""COMPUTED_VALUE"""),"blue gliscor wings")</f>
        <v>blue gliscor wings</v>
      </c>
      <c r="E825" s="11" t="str">
        <f>IFERROR(__xludf.DUMMYFUNCTION("""COMPUTED_VALUE"""),"earth stone")</f>
        <v>earth stone</v>
      </c>
      <c r="F825" s="11" t="str">
        <f>IFERROR(__xludf.DUMMYFUNCTION("""COMPUTED_VALUE"""),"feather stone")</f>
        <v>feather stone</v>
      </c>
      <c r="G825" s="11" t="str">
        <f>IFERROR(__xludf.DUMMYFUNCTION("""COMPUTED_VALUE"""),"mythic ground orb")</f>
        <v>mythic ground orb</v>
      </c>
      <c r="H825" s="11"/>
      <c r="I825" s="11"/>
      <c r="J825" s="11"/>
      <c r="K825" s="11"/>
      <c r="L825" s="11"/>
    </row>
    <row r="826">
      <c r="A826" s="13" t="str">
        <f>IFERROR(__xludf.DUMMYFUNCTION("""COMPUTED_VALUE"""),"Dusknoir")</f>
        <v>Dusknoir</v>
      </c>
      <c r="B826" s="11" t="str">
        <f>IFERROR(__xludf.DUMMYFUNCTION("""COMPUTED_VALUE"""),"ghost essence")</f>
        <v>ghost essence</v>
      </c>
      <c r="C826" s="11" t="str">
        <f>IFERROR(__xludf.DUMMYFUNCTION("""COMPUTED_VALUE"""),"ghost hands")</f>
        <v>ghost hands</v>
      </c>
      <c r="D826" s="11" t="str">
        <f>IFERROR(__xludf.DUMMYFUNCTION("""COMPUTED_VALUE"""),"reaper cloth")</f>
        <v>reaper cloth</v>
      </c>
      <c r="E826" s="11" t="str">
        <f>IFERROR(__xludf.DUMMYFUNCTION("""COMPUTED_VALUE"""),"ghost stone")</f>
        <v>ghost stone</v>
      </c>
      <c r="F826" s="11"/>
      <c r="G826" s="11"/>
      <c r="H826" s="11"/>
      <c r="I826" s="11"/>
      <c r="J826" s="11"/>
      <c r="K826" s="11"/>
      <c r="L826" s="11"/>
    </row>
    <row r="827">
      <c r="A827" s="13" t="str">
        <f>IFERROR(__xludf.DUMMYFUNCTION("""COMPUTED_VALUE"""),"Shiny Dusknoir")</f>
        <v>Shiny Dusknoir</v>
      </c>
      <c r="B827" s="11" t="str">
        <f>IFERROR(__xludf.DUMMYFUNCTION("""COMPUTED_VALUE"""),"ghost essence")</f>
        <v>ghost essence</v>
      </c>
      <c r="C827" s="11" t="str">
        <f>IFERROR(__xludf.DUMMYFUNCTION("""COMPUTED_VALUE"""),"blue ghost hands")</f>
        <v>blue ghost hands</v>
      </c>
      <c r="D827" s="11" t="str">
        <f>IFERROR(__xludf.DUMMYFUNCTION("""COMPUTED_VALUE"""),"ghost stone")</f>
        <v>ghost stone</v>
      </c>
      <c r="E827" s="11" t="str">
        <f>IFERROR(__xludf.DUMMYFUNCTION("""COMPUTED_VALUE"""),"mythic ghost orb")</f>
        <v>mythic ghost orb</v>
      </c>
      <c r="F827" s="11"/>
      <c r="G827" s="11"/>
      <c r="H827" s="11"/>
      <c r="I827" s="11"/>
      <c r="J827" s="11"/>
      <c r="K827" s="11"/>
      <c r="L827" s="11"/>
    </row>
    <row r="828">
      <c r="A828" s="13" t="str">
        <f>IFERROR(__xludf.DUMMYFUNCTION("""COMPUTED_VALUE"""),"Audino")</f>
        <v>Audino</v>
      </c>
      <c r="B828" s="11" t="str">
        <f>IFERROR(__xludf.DUMMYFUNCTION("""COMPUTED_VALUE"""),"rubber ball")</f>
        <v>rubber ball</v>
      </c>
      <c r="C828" s="11" t="str">
        <f>IFERROR(__xludf.DUMMYFUNCTION("""COMPUTED_VALUE"""),"audino tail")</f>
        <v>audino tail</v>
      </c>
      <c r="D828" s="11" t="str">
        <f>IFERROR(__xludf.DUMMYFUNCTION("""COMPUTED_VALUE"""),"heart stone")</f>
        <v>heart stone</v>
      </c>
      <c r="E828" s="11"/>
      <c r="F828" s="11"/>
      <c r="G828" s="11"/>
      <c r="H828" s="11"/>
      <c r="I828" s="11"/>
      <c r="J828" s="11"/>
      <c r="K828" s="11"/>
      <c r="L828" s="11"/>
    </row>
    <row r="829">
      <c r="A829" s="13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>
      <c r="A830" s="13" t="str">
        <f>IFERROR(__xludf.DUMMYFUNCTION("""COMPUTED_VALUE"""),"Scolipede")</f>
        <v>Scolipede</v>
      </c>
      <c r="B830" s="11" t="str">
        <f>IFERROR(__xludf.DUMMYFUNCTION("""COMPUTED_VALUE"""),"bug gosme")</f>
        <v>bug gosme</v>
      </c>
      <c r="C830" s="11" t="str">
        <f>IFERROR(__xludf.DUMMYFUNCTION("""COMPUTED_VALUE"""),"bottle of poison")</f>
        <v>bottle of poison</v>
      </c>
      <c r="D830" s="11" t="str">
        <f>IFERROR(__xludf.DUMMYFUNCTION("""COMPUTED_VALUE"""),"scolipede tail")</f>
        <v>scolipede tail</v>
      </c>
      <c r="E830" s="11" t="str">
        <f>IFERROR(__xludf.DUMMYFUNCTION("""COMPUTED_VALUE"""),"cocoon stone")</f>
        <v>cocoon stone</v>
      </c>
      <c r="F830" s="11" t="str">
        <f>IFERROR(__xludf.DUMMYFUNCTION("""COMPUTED_VALUE"""),"venom stone")</f>
        <v>venom stone</v>
      </c>
      <c r="G830" s="11"/>
      <c r="H830" s="11"/>
      <c r="I830" s="11"/>
      <c r="J830" s="11"/>
      <c r="K830" s="11"/>
      <c r="L830" s="11"/>
    </row>
    <row r="831">
      <c r="A831" s="13" t="str">
        <f>IFERROR(__xludf.DUMMYFUNCTION("""COMPUTED_VALUE"""),"Mega Scolipede")</f>
        <v>Mega Scolipede</v>
      </c>
      <c r="B831" s="11" t="str">
        <f>IFERROR(__xludf.DUMMYFUNCTION("""COMPUTED_VALUE"""),"mega shard")</f>
        <v>mega shard</v>
      </c>
      <c r="C831" s="11" t="str">
        <f>IFERROR(__xludf.DUMMYFUNCTION("""COMPUTED_VALUE"""),"bug gosme")</f>
        <v>bug gosme</v>
      </c>
      <c r="D831" s="11" t="str">
        <f>IFERROR(__xludf.DUMMYFUNCTION("""COMPUTED_VALUE"""),"bottle of poison")</f>
        <v>bottle of poison</v>
      </c>
      <c r="E831" s="11" t="str">
        <f>IFERROR(__xludf.DUMMYFUNCTION("""COMPUTED_VALUE"""),"scolipede tail")</f>
        <v>scolipede tail</v>
      </c>
      <c r="F831" s="11" t="str">
        <f>IFERROR(__xludf.DUMMYFUNCTION("""COMPUTED_VALUE"""),"cocoon stone")</f>
        <v>cocoon stone</v>
      </c>
      <c r="G831" s="11" t="str">
        <f>IFERROR(__xludf.DUMMYFUNCTION("""COMPUTED_VALUE"""),"venom stone")</f>
        <v>venom stone</v>
      </c>
      <c r="H831" s="11"/>
      <c r="I831" s="11"/>
      <c r="J831" s="11"/>
      <c r="K831" s="11"/>
      <c r="L831" s="11"/>
    </row>
    <row r="832">
      <c r="A832" s="13" t="str">
        <f>IFERROR(__xludf.DUMMYFUNCTION("""COMPUTED_VALUE"""),"Trubbish")</f>
        <v>Trubbish</v>
      </c>
      <c r="B832" s="11" t="str">
        <f>IFERROR(__xludf.DUMMYFUNCTION("""COMPUTED_VALUE"""),"bottle of poison")</f>
        <v>bottle of poison</v>
      </c>
      <c r="C832" s="11" t="str">
        <f>IFERROR(__xludf.DUMMYFUNCTION("""COMPUTED_VALUE"""),"trubbish ears")</f>
        <v>trubbish ears</v>
      </c>
      <c r="D832" s="11"/>
      <c r="E832" s="11"/>
      <c r="F832" s="11"/>
      <c r="G832" s="11"/>
      <c r="H832" s="11"/>
      <c r="I832" s="11"/>
      <c r="J832" s="11"/>
      <c r="K832" s="11"/>
      <c r="L832" s="11"/>
    </row>
    <row r="833">
      <c r="A833" s="13" t="str">
        <f>IFERROR(__xludf.DUMMYFUNCTION("""COMPUTED_VALUE"""),"Shiny Trubbish")</f>
        <v>Shiny Trubbish</v>
      </c>
      <c r="B833" s="11" t="str">
        <f>IFERROR(__xludf.DUMMYFUNCTION("""COMPUTED_VALUE"""),"bottle of poison")</f>
        <v>bottle of poison</v>
      </c>
      <c r="C833" s="11" t="str">
        <f>IFERROR(__xludf.DUMMYFUNCTION("""COMPUTED_VALUE"""),"trubbish blue ears")</f>
        <v>trubbish blue ears</v>
      </c>
      <c r="D833" s="11" t="str">
        <f>IFERROR(__xludf.DUMMYFUNCTION("""COMPUTED_VALUE"""),"venom stone")</f>
        <v>venom stone</v>
      </c>
      <c r="E833" s="11" t="str">
        <f>IFERROR(__xludf.DUMMYFUNCTION("""COMPUTED_VALUE"""),"arcane poison orb")</f>
        <v>arcane poison orb</v>
      </c>
      <c r="F833" s="11"/>
      <c r="G833" s="11"/>
      <c r="H833" s="11"/>
      <c r="I833" s="11"/>
      <c r="J833" s="11"/>
      <c r="K833" s="11"/>
      <c r="L833" s="11"/>
    </row>
    <row r="834">
      <c r="A834" s="13" t="str">
        <f>IFERROR(__xludf.DUMMYFUNCTION("""COMPUTED_VALUE"""),"Garbodor")</f>
        <v>Garbodor</v>
      </c>
      <c r="B834" s="11" t="str">
        <f>IFERROR(__xludf.DUMMYFUNCTION("""COMPUTED_VALUE"""),"big poison bottle")</f>
        <v>big poison bottle</v>
      </c>
      <c r="C834" s="11" t="str">
        <f>IFERROR(__xludf.DUMMYFUNCTION("""COMPUTED_VALUE"""),"garbodor ears")</f>
        <v>garbodor ears</v>
      </c>
      <c r="D834" s="11" t="str">
        <f>IFERROR(__xludf.DUMMYFUNCTION("""COMPUTED_VALUE"""),"poison piece")</f>
        <v>poison piece</v>
      </c>
      <c r="E834" s="11" t="str">
        <f>IFERROR(__xludf.DUMMYFUNCTION("""COMPUTED_VALUE"""),"poison essence")</f>
        <v>poison essence</v>
      </c>
      <c r="F834" s="11" t="str">
        <f>IFERROR(__xludf.DUMMYFUNCTION("""COMPUTED_VALUE"""),"venom stone")</f>
        <v>venom stone</v>
      </c>
      <c r="G834" s="11"/>
      <c r="H834" s="11"/>
      <c r="I834" s="11"/>
      <c r="J834" s="11"/>
      <c r="K834" s="11"/>
      <c r="L834" s="11"/>
    </row>
    <row r="835">
      <c r="A835" s="13" t="str">
        <f>IFERROR(__xludf.DUMMYFUNCTION("""COMPUTED_VALUE"""),"Shiny Garbodor")</f>
        <v>Shiny Garbodor</v>
      </c>
      <c r="B835" s="11" t="str">
        <f>IFERROR(__xludf.DUMMYFUNCTION("""COMPUTED_VALUE"""),"big poison bottle")</f>
        <v>big poison bottle</v>
      </c>
      <c r="C835" s="11" t="str">
        <f>IFERROR(__xludf.DUMMYFUNCTION("""COMPUTED_VALUE"""),"purple poison piece")</f>
        <v>purple poison piece</v>
      </c>
      <c r="D835" s="11" t="str">
        <f>IFERROR(__xludf.DUMMYFUNCTION("""COMPUTED_VALUE"""),"venom stone")</f>
        <v>venom stone</v>
      </c>
      <c r="E835" s="11" t="str">
        <f>IFERROR(__xludf.DUMMYFUNCTION("""COMPUTED_VALUE"""),"celestial poison orb")</f>
        <v>celestial poison orb</v>
      </c>
      <c r="F835" s="11"/>
      <c r="G835" s="11"/>
      <c r="H835" s="11"/>
      <c r="I835" s="11"/>
      <c r="J835" s="11"/>
      <c r="K835" s="11"/>
      <c r="L835" s="11"/>
    </row>
    <row r="836">
      <c r="A836" s="13" t="str">
        <f>IFERROR(__xludf.DUMMYFUNCTION("""COMPUTED_VALUE"""),"Druddigon")</f>
        <v>Druddigon</v>
      </c>
      <c r="B836" s="11" t="str">
        <f>IFERROR(__xludf.DUMMYFUNCTION("""COMPUTED_VALUE"""),"dragon scale")</f>
        <v>dragon scale</v>
      </c>
      <c r="C836" s="11" t="str">
        <f>IFERROR(__xludf.DUMMYFUNCTION("""COMPUTED_VALUE"""),"crystal stone")</f>
        <v>crystal stone</v>
      </c>
      <c r="D836" s="11"/>
      <c r="E836" s="11"/>
      <c r="F836" s="11"/>
      <c r="G836" s="11"/>
      <c r="H836" s="11"/>
      <c r="I836" s="11"/>
      <c r="J836" s="11"/>
      <c r="K836" s="11"/>
      <c r="L836" s="11"/>
    </row>
    <row r="837">
      <c r="A837" s="13" t="str">
        <f>IFERROR(__xludf.DUMMYFUNCTION("""COMPUTED_VALUE"""),"Shiny Druddigon")</f>
        <v>Shiny Druddigon</v>
      </c>
      <c r="B837" s="11" t="str">
        <f>IFERROR(__xludf.DUMMYFUNCTION("""COMPUTED_VALUE"""),"dragon scale")</f>
        <v>dragon scale</v>
      </c>
      <c r="C837" s="11" t="str">
        <f>IFERROR(__xludf.DUMMYFUNCTION("""COMPUTED_VALUE"""),"crystal stone")</f>
        <v>crystal stone</v>
      </c>
      <c r="D837" s="11"/>
      <c r="E837" s="11"/>
      <c r="F837" s="11"/>
      <c r="G837" s="11"/>
      <c r="H837" s="11"/>
      <c r="I837" s="11"/>
      <c r="J837" s="11"/>
      <c r="K837" s="11"/>
      <c r="L837" s="11"/>
    </row>
    <row r="838">
      <c r="A838" s="13" t="str">
        <f>IFERROR(__xludf.DUMMYFUNCTION("""COMPUTED_VALUE"""),"Deino")</f>
        <v>Deino</v>
      </c>
      <c r="B838" s="11" t="str">
        <f>IFERROR(__xludf.DUMMYFUNCTION("""COMPUTED_VALUE"""),"dragon scale")</f>
        <v>dragon scale</v>
      </c>
      <c r="C838" s="11" t="str">
        <f>IFERROR(__xludf.DUMMYFUNCTION("""COMPUTED_VALUE"""),"strange solid piece")</f>
        <v>strange solid piece</v>
      </c>
      <c r="D838" s="11"/>
      <c r="E838" s="11"/>
      <c r="F838" s="11"/>
      <c r="G838" s="11"/>
      <c r="H838" s="11"/>
      <c r="I838" s="11"/>
      <c r="J838" s="11"/>
      <c r="K838" s="11"/>
      <c r="L838" s="11"/>
    </row>
    <row r="839">
      <c r="A839" s="13" t="str">
        <f>IFERROR(__xludf.DUMMYFUNCTION("""COMPUTED_VALUE"""),"Shiny Deino")</f>
        <v>Shiny Deino</v>
      </c>
      <c r="B839" s="11" t="str">
        <f>IFERROR(__xludf.DUMMYFUNCTION("""COMPUTED_VALUE"""),"dragon scale")</f>
        <v>dragon scale</v>
      </c>
      <c r="C839" s="11" t="str">
        <f>IFERROR(__xludf.DUMMYFUNCTION("""COMPUTED_VALUE"""),"strange greenish piece")</f>
        <v>strange greenish piece</v>
      </c>
      <c r="D839" s="11" t="str">
        <f>IFERROR(__xludf.DUMMYFUNCTION("""COMPUTED_VALUE"""),"crystal stone")</f>
        <v>crystal stone</v>
      </c>
      <c r="E839" s="11" t="str">
        <f>IFERROR(__xludf.DUMMYFUNCTION("""COMPUTED_VALUE"""),"simple dark orb")</f>
        <v>simple dark orb</v>
      </c>
      <c r="F839" s="11"/>
      <c r="G839" s="11"/>
      <c r="H839" s="11"/>
      <c r="I839" s="11"/>
      <c r="J839" s="11"/>
      <c r="K839" s="11"/>
      <c r="L839" s="11"/>
    </row>
    <row r="840">
      <c r="A840" s="13" t="str">
        <f>IFERROR(__xludf.DUMMYFUNCTION("""COMPUTED_VALUE"""),"Zweilous")</f>
        <v>Zweilous</v>
      </c>
      <c r="B840" s="11" t="str">
        <f>IFERROR(__xludf.DUMMYFUNCTION("""COMPUTED_VALUE"""),"dragon scale")</f>
        <v>dragon scale</v>
      </c>
      <c r="C840" s="11" t="str">
        <f>IFERROR(__xludf.DUMMYFUNCTION("""COMPUTED_VALUE"""),"tweezers")</f>
        <v>tweezers</v>
      </c>
      <c r="D840" s="11"/>
      <c r="E840" s="11"/>
      <c r="F840" s="11"/>
      <c r="G840" s="11"/>
      <c r="H840" s="11"/>
      <c r="I840" s="11"/>
      <c r="J840" s="11"/>
      <c r="K840" s="11"/>
      <c r="L840" s="11"/>
    </row>
    <row r="841">
      <c r="A841" s="13" t="str">
        <f>IFERROR(__xludf.DUMMYFUNCTION("""COMPUTED_VALUE"""),"Shiny Zweilous")</f>
        <v>Shiny Zweilous</v>
      </c>
      <c r="B841" s="11" t="str">
        <f>IFERROR(__xludf.DUMMYFUNCTION("""COMPUTED_VALUE"""),"dragon scale")</f>
        <v>dragon scale</v>
      </c>
      <c r="C841" s="11" t="str">
        <f>IFERROR(__xludf.DUMMYFUNCTION("""COMPUTED_VALUE"""),"greenish tweezers")</f>
        <v>greenish tweezers</v>
      </c>
      <c r="D841" s="11" t="str">
        <f>IFERROR(__xludf.DUMMYFUNCTION("""COMPUTED_VALUE"""),"crystal stone")</f>
        <v>crystal stone</v>
      </c>
      <c r="E841" s="11" t="str">
        <f>IFERROR(__xludf.DUMMYFUNCTION("""COMPUTED_VALUE"""),"arcane dragon orb")</f>
        <v>arcane dragon orb</v>
      </c>
      <c r="F841" s="11"/>
      <c r="G841" s="11"/>
      <c r="H841" s="11"/>
      <c r="I841" s="11"/>
      <c r="J841" s="11"/>
      <c r="K841" s="11"/>
      <c r="L841" s="11"/>
    </row>
    <row r="842">
      <c r="A842" s="13" t="str">
        <f>IFERROR(__xludf.DUMMYFUNCTION("""COMPUTED_VALUE"""),"Hydreigon")</f>
        <v>Hydreigon</v>
      </c>
      <c r="B842" s="11" t="str">
        <f>IFERROR(__xludf.DUMMYFUNCTION("""COMPUTED_VALUE"""),"dragon scale")</f>
        <v>dragon scale</v>
      </c>
      <c r="C842" s="11" t="str">
        <f>IFERROR(__xludf.DUMMYFUNCTION("""COMPUTED_VALUE"""),"shadow tail")</f>
        <v>shadow tail</v>
      </c>
      <c r="D842" s="11" t="str">
        <f>IFERROR(__xludf.DUMMYFUNCTION("""COMPUTED_VALUE"""),"crystal stone")</f>
        <v>crystal stone</v>
      </c>
      <c r="E842" s="11" t="str">
        <f>IFERROR(__xludf.DUMMYFUNCTION("""COMPUTED_VALUE"""),"darkness stone")</f>
        <v>darkness stone</v>
      </c>
      <c r="F842" s="11"/>
      <c r="G842" s="11"/>
      <c r="H842" s="11"/>
      <c r="I842" s="11"/>
      <c r="J842" s="11"/>
      <c r="K842" s="11"/>
      <c r="L842" s="11"/>
    </row>
    <row r="843">
      <c r="A843" s="13" t="str">
        <f>IFERROR(__xludf.DUMMYFUNCTION("""COMPUTED_VALUE"""),"Shiny Hydreigon")</f>
        <v>Shiny Hydreigon</v>
      </c>
      <c r="B843" s="11" t="str">
        <f>IFERROR(__xludf.DUMMYFUNCTION("""COMPUTED_VALUE"""),"dragon scale")</f>
        <v>dragon scale</v>
      </c>
      <c r="C843" s="11" t="str">
        <f>IFERROR(__xludf.DUMMYFUNCTION("""COMPUTED_VALUE"""),"phantom tail")</f>
        <v>phantom tail</v>
      </c>
      <c r="D843" s="11" t="str">
        <f>IFERROR(__xludf.DUMMYFUNCTION("""COMPUTED_VALUE"""),"crystal stone")</f>
        <v>crystal stone</v>
      </c>
      <c r="E843" s="11" t="str">
        <f>IFERROR(__xludf.DUMMYFUNCTION("""COMPUTED_VALUE"""),"mythic dark orb")</f>
        <v>mythic dark orb</v>
      </c>
      <c r="F843" s="11"/>
      <c r="G843" s="11"/>
      <c r="H843" s="11"/>
      <c r="I843" s="11"/>
      <c r="J843" s="11"/>
      <c r="K843" s="11"/>
      <c r="L843" s="11"/>
    </row>
    <row r="844">
      <c r="A844" s="13" t="str">
        <f>IFERROR(__xludf.DUMMYFUNCTION("""COMPUTED_VALUE"""),"Flabébé")</f>
        <v>Flabébé</v>
      </c>
      <c r="B844" s="11" t="str">
        <f>IFERROR(__xludf.DUMMYFUNCTION("""COMPUTED_VALUE"""),"fairy essence")</f>
        <v>fairy essence</v>
      </c>
      <c r="C844" s="11" t="str">
        <f>IFERROR(__xludf.DUMMYFUNCTION("""COMPUTED_VALUE"""),"yellow crown")</f>
        <v>yellow crown</v>
      </c>
      <c r="D844" s="11"/>
      <c r="E844" s="11"/>
      <c r="F844" s="11"/>
      <c r="G844" s="11"/>
      <c r="H844" s="11"/>
      <c r="I844" s="11"/>
      <c r="J844" s="11"/>
      <c r="K844" s="11"/>
      <c r="L844" s="11"/>
    </row>
    <row r="845">
      <c r="A845" s="13" t="str">
        <f>IFERROR(__xludf.DUMMYFUNCTION("""COMPUTED_VALUE"""),"Shiny Flabébé")</f>
        <v>Shiny Flabébé</v>
      </c>
      <c r="B845" s="11" t="str">
        <f>IFERROR(__xludf.DUMMYFUNCTION("""COMPUTED_VALUE"""),"fairy essence")</f>
        <v>fairy essence</v>
      </c>
      <c r="C845" s="11" t="str">
        <f>IFERROR(__xludf.DUMMYFUNCTION("""COMPUTED_VALUE"""),"blue crown")</f>
        <v>blue crown</v>
      </c>
      <c r="D845" s="11" t="str">
        <f>IFERROR(__xludf.DUMMYFUNCTION("""COMPUTED_VALUE"""),"fairy stone")</f>
        <v>fairy stone</v>
      </c>
      <c r="E845" s="11" t="str">
        <f>IFERROR(__xludf.DUMMYFUNCTION("""COMPUTED_VALUE"""),"simple fairy orb")</f>
        <v>simple fairy orb</v>
      </c>
      <c r="F845" s="11"/>
      <c r="G845" s="11"/>
      <c r="H845" s="11"/>
      <c r="I845" s="11"/>
      <c r="J845" s="11"/>
      <c r="K845" s="11"/>
      <c r="L845" s="11"/>
    </row>
    <row r="846">
      <c r="A846" s="13" t="str">
        <f>IFERROR(__xludf.DUMMYFUNCTION("""COMPUTED_VALUE"""),"Floette")</f>
        <v>Floette</v>
      </c>
      <c r="B846" s="11" t="str">
        <f>IFERROR(__xludf.DUMMYFUNCTION("""COMPUTED_VALUE"""),"fairy essence")</f>
        <v>fairy essence</v>
      </c>
      <c r="C846" s="11" t="str">
        <f>IFERROR(__xludf.DUMMYFUNCTION("""COMPUTED_VALUE"""),"mystic flower")</f>
        <v>mystic flower</v>
      </c>
      <c r="D846" s="11" t="str">
        <f>IFERROR(__xludf.DUMMYFUNCTION("""COMPUTED_VALUE"""),"fairy stone")</f>
        <v>fairy stone</v>
      </c>
      <c r="E846" s="11"/>
      <c r="F846" s="11"/>
      <c r="G846" s="11"/>
      <c r="H846" s="11"/>
      <c r="I846" s="11"/>
      <c r="J846" s="11"/>
      <c r="K846" s="11"/>
      <c r="L846" s="11"/>
    </row>
    <row r="847">
      <c r="A847" s="13" t="str">
        <f>IFERROR(__xludf.DUMMYFUNCTION("""COMPUTED_VALUE"""),"Shiny Floette")</f>
        <v>Shiny Floette</v>
      </c>
      <c r="B847" s="11" t="str">
        <f>IFERROR(__xludf.DUMMYFUNCTION("""COMPUTED_VALUE"""),"fairy essence")</f>
        <v>fairy essence</v>
      </c>
      <c r="C847" s="11" t="str">
        <f>IFERROR(__xludf.DUMMYFUNCTION("""COMPUTED_VALUE"""),"blue mystic flower")</f>
        <v>blue mystic flower</v>
      </c>
      <c r="D847" s="11" t="str">
        <f>IFERROR(__xludf.DUMMYFUNCTION("""COMPUTED_VALUE"""),"fairy stone")</f>
        <v>fairy stone</v>
      </c>
      <c r="E847" s="11" t="str">
        <f>IFERROR(__xludf.DUMMYFUNCTION("""COMPUTED_VALUE"""),"arcane fairy orb")</f>
        <v>arcane fairy orb</v>
      </c>
      <c r="F847" s="11"/>
      <c r="G847" s="11"/>
      <c r="H847" s="11"/>
      <c r="I847" s="11"/>
      <c r="J847" s="11"/>
      <c r="K847" s="11"/>
      <c r="L847" s="11"/>
    </row>
    <row r="848">
      <c r="A848" s="13" t="str">
        <f>IFERROR(__xludf.DUMMYFUNCTION("""COMPUTED_VALUE"""),"Florges")</f>
        <v>Florges</v>
      </c>
      <c r="B848" s="11" t="str">
        <f>IFERROR(__xludf.DUMMYFUNCTION("""COMPUTED_VALUE"""),"fairy essence")</f>
        <v>fairy essence</v>
      </c>
      <c r="C848" s="11" t="str">
        <f>IFERROR(__xludf.DUMMYFUNCTION("""COMPUTED_VALUE"""),"mystic petal")</f>
        <v>mystic petal</v>
      </c>
      <c r="D848" s="11" t="str">
        <f>IFERROR(__xludf.DUMMYFUNCTION("""COMPUTED_VALUE"""),"fairy stone")</f>
        <v>fairy stone</v>
      </c>
      <c r="E848" s="11"/>
      <c r="F848" s="11"/>
      <c r="G848" s="11"/>
      <c r="H848" s="11"/>
      <c r="I848" s="11"/>
      <c r="J848" s="11"/>
      <c r="K848" s="11"/>
      <c r="L848" s="11"/>
    </row>
    <row r="849">
      <c r="A849" s="13" t="str">
        <f>IFERROR(__xludf.DUMMYFUNCTION("""COMPUTED_VALUE"""),"Shiny Florges")</f>
        <v>Shiny Florges</v>
      </c>
      <c r="B849" s="11" t="str">
        <f>IFERROR(__xludf.DUMMYFUNCTION("""COMPUTED_VALUE"""),"fairy essence")</f>
        <v>fairy essence</v>
      </c>
      <c r="C849" s="11" t="str">
        <f>IFERROR(__xludf.DUMMYFUNCTION("""COMPUTED_VALUE"""),"purple mystic petal")</f>
        <v>purple mystic petal</v>
      </c>
      <c r="D849" s="11" t="str">
        <f>IFERROR(__xludf.DUMMYFUNCTION("""COMPUTED_VALUE"""),"fairy stone")</f>
        <v>fairy stone</v>
      </c>
      <c r="E849" s="11" t="str">
        <f>IFERROR(__xludf.DUMMYFUNCTION("""COMPUTED_VALUE"""),"mythic fairy orb")</f>
        <v>mythic fairy orb</v>
      </c>
      <c r="F849" s="11"/>
      <c r="G849" s="11"/>
      <c r="H849" s="11"/>
      <c r="I849" s="11"/>
      <c r="J849" s="11"/>
      <c r="K849" s="11"/>
      <c r="L849" s="11"/>
    </row>
    <row r="850">
      <c r="A850" s="13" t="str">
        <f>IFERROR(__xludf.DUMMYFUNCTION("""COMPUTED_VALUE"""),"Skiddo")</f>
        <v>Skiddo</v>
      </c>
      <c r="B850" s="11" t="str">
        <f>IFERROR(__xludf.DUMMYFUNCTION("""COMPUTED_VALUE"""),"seed")</f>
        <v>seed</v>
      </c>
      <c r="C850" s="11" t="str">
        <f>IFERROR(__xludf.DUMMYFUNCTION("""COMPUTED_VALUE"""),"small mane leaf")</f>
        <v>small mane leaf</v>
      </c>
      <c r="D850" s="11" t="str">
        <f>IFERROR(__xludf.DUMMYFUNCTION("""COMPUTED_VALUE"""),"leaf stone")</f>
        <v>leaf stone</v>
      </c>
      <c r="E850" s="11"/>
      <c r="F850" s="11"/>
      <c r="G850" s="11"/>
      <c r="H850" s="11"/>
      <c r="I850" s="11"/>
      <c r="J850" s="11"/>
      <c r="K850" s="11"/>
      <c r="L850" s="11"/>
    </row>
    <row r="851">
      <c r="A851" s="13" t="str">
        <f>IFERROR(__xludf.DUMMYFUNCTION("""COMPUTED_VALUE"""),"Shiny Skiddo")</f>
        <v>Shiny Skiddo</v>
      </c>
      <c r="B851" s="11" t="str">
        <f>IFERROR(__xludf.DUMMYFUNCTION("""COMPUTED_VALUE"""),"seed")</f>
        <v>seed</v>
      </c>
      <c r="C851" s="11" t="str">
        <f>IFERROR(__xludf.DUMMYFUNCTION("""COMPUTED_VALUE"""),"leaf stone")</f>
        <v>leaf stone</v>
      </c>
      <c r="D851" s="11" t="str">
        <f>IFERROR(__xludf.DUMMYFUNCTION("""COMPUTED_VALUE"""),"small yellow mane leaf")</f>
        <v>small yellow mane leaf</v>
      </c>
      <c r="E851" s="11" t="str">
        <f>IFERROR(__xludf.DUMMYFUNCTION("""COMPUTED_VALUE"""),"arcane grass orb")</f>
        <v>arcane grass orb</v>
      </c>
      <c r="F851" s="11" t="str">
        <f>IFERROR(__xludf.DUMMYFUNCTION("""COMPUTED_VALUE"""),"mythic grass orb")</f>
        <v>mythic grass orb</v>
      </c>
      <c r="G851" s="11"/>
      <c r="H851" s="11"/>
      <c r="I851" s="11"/>
      <c r="J851" s="11"/>
      <c r="K851" s="11"/>
      <c r="L851" s="11"/>
    </row>
    <row r="852">
      <c r="A852" s="13" t="str">
        <f>IFERROR(__xludf.DUMMYFUNCTION("""COMPUTED_VALUE"""),"Gogoat")</f>
        <v>Gogoat</v>
      </c>
      <c r="B852" s="11" t="str">
        <f>IFERROR(__xludf.DUMMYFUNCTION("""COMPUTED_VALUE"""),"seed")</f>
        <v>seed</v>
      </c>
      <c r="C852" s="11" t="str">
        <f>IFERROR(__xludf.DUMMYFUNCTION("""COMPUTED_VALUE"""),"mane leaf")</f>
        <v>mane leaf</v>
      </c>
      <c r="D852" s="11" t="str">
        <f>IFERROR(__xludf.DUMMYFUNCTION("""COMPUTED_VALUE"""),"big mount horn")</f>
        <v>big mount horn</v>
      </c>
      <c r="E852" s="11" t="str">
        <f>IFERROR(__xludf.DUMMYFUNCTION("""COMPUTED_VALUE"""),"leaf stone")</f>
        <v>leaf stone</v>
      </c>
      <c r="F852" s="11"/>
      <c r="G852" s="11"/>
      <c r="H852" s="11"/>
      <c r="I852" s="11"/>
      <c r="J852" s="11"/>
      <c r="K852" s="11"/>
      <c r="L852" s="11"/>
    </row>
    <row r="853">
      <c r="A853" s="13" t="str">
        <f>IFERROR(__xludf.DUMMYFUNCTION("""COMPUTED_VALUE"""),"Shiny Gogoat")</f>
        <v>Shiny Gogoat</v>
      </c>
      <c r="B853" s="11" t="str">
        <f>IFERROR(__xludf.DUMMYFUNCTION("""COMPUTED_VALUE"""),"seed")</f>
        <v>seed</v>
      </c>
      <c r="C853" s="11" t="str">
        <f>IFERROR(__xludf.DUMMYFUNCTION("""COMPUTED_VALUE"""),"yellow mane leaf")</f>
        <v>yellow mane leaf</v>
      </c>
      <c r="D853" s="11" t="str">
        <f>IFERROR(__xludf.DUMMYFUNCTION("""COMPUTED_VALUE"""),"leaf stone")</f>
        <v>leaf stone</v>
      </c>
      <c r="E853" s="11" t="str">
        <f>IFERROR(__xludf.DUMMYFUNCTION("""COMPUTED_VALUE"""),"mythic grass orb")</f>
        <v>mythic grass orb</v>
      </c>
      <c r="F853" s="11"/>
      <c r="G853" s="11"/>
      <c r="H853" s="11"/>
      <c r="I853" s="11"/>
      <c r="J853" s="11"/>
      <c r="K853" s="11"/>
      <c r="L853" s="11"/>
    </row>
    <row r="854">
      <c r="A854" s="13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</row>
    <row r="855">
      <c r="A855" s="13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</row>
    <row r="856">
      <c r="A856" s="13" t="str">
        <f>IFERROR(__xludf.DUMMYFUNCTION("""COMPUTED_VALUE"""),"Sylveon")</f>
        <v>Sylveon</v>
      </c>
      <c r="B856" s="11" t="str">
        <f>IFERROR(__xludf.DUMMYFUNCTION("""COMPUTED_VALUE"""),"fairy esence")</f>
        <v>fairy esence</v>
      </c>
      <c r="C856" s="11" t="str">
        <f>IFERROR(__xludf.DUMMYFUNCTION("""COMPUTED_VALUE"""),"pink fairy bow")</f>
        <v>pink fairy bow</v>
      </c>
      <c r="D856" s="11" t="str">
        <f>IFERROR(__xludf.DUMMYFUNCTION("""COMPUTED_VALUE"""),"fairy stone")</f>
        <v>fairy stone</v>
      </c>
      <c r="E856" s="11"/>
      <c r="F856" s="11"/>
      <c r="G856" s="11"/>
      <c r="H856" s="11"/>
      <c r="I856" s="11"/>
      <c r="J856" s="11"/>
      <c r="K856" s="11"/>
      <c r="L856" s="11"/>
    </row>
    <row r="857">
      <c r="A857" s="13" t="str">
        <f>IFERROR(__xludf.DUMMYFUNCTION("""COMPUTED_VALUE"""),"Shiny Sylveon")</f>
        <v>Shiny Sylveon</v>
      </c>
      <c r="B857" s="11" t="str">
        <f>IFERROR(__xludf.DUMMYFUNCTION("""COMPUTED_VALUE"""),"fairy esence")</f>
        <v>fairy esence</v>
      </c>
      <c r="C857" s="11" t="str">
        <f>IFERROR(__xludf.DUMMYFUNCTION("""COMPUTED_VALUE"""),"purple fairy bow")</f>
        <v>purple fairy bow</v>
      </c>
      <c r="D857" s="11" t="str">
        <f>IFERROR(__xludf.DUMMYFUNCTION("""COMPUTED_VALUE"""),"fairy stone")</f>
        <v>fairy stone</v>
      </c>
      <c r="E857" s="11" t="str">
        <f>IFERROR(__xludf.DUMMYFUNCTION("""COMPUTED_VALUE"""),"mythic fairy orb")</f>
        <v>mythic fairy orb</v>
      </c>
      <c r="F857" s="11"/>
      <c r="G857" s="11"/>
      <c r="H857" s="11"/>
      <c r="I857" s="11"/>
      <c r="J857" s="11"/>
      <c r="K857" s="11"/>
      <c r="L857" s="11"/>
    </row>
    <row r="858">
      <c r="A858" s="13" t="str">
        <f>IFERROR(__xludf.DUMMYFUNCTION("""COMPUTED_VALUE"""),"Mimikyu")</f>
        <v>Mimikyu</v>
      </c>
      <c r="B858" s="11" t="str">
        <f>IFERROR(__xludf.DUMMYFUNCTION("""COMPUTED_VALUE"""),"ghost essence")</f>
        <v>ghost essence</v>
      </c>
      <c r="C858" s="11" t="str">
        <f>IFERROR(__xludf.DUMMYFUNCTION("""COMPUTED_VALUE"""),"fairy essence")</f>
        <v>fairy essence</v>
      </c>
      <c r="D858" s="11" t="str">
        <f>IFERROR(__xludf.DUMMYFUNCTION("""COMPUTED_VALUE"""),"yellow mimikyu head")</f>
        <v>yellow mimikyu head</v>
      </c>
      <c r="E858" s="11" t="str">
        <f>IFERROR(__xludf.DUMMYFUNCTION("""COMPUTED_VALUE"""),"ghost stone")</f>
        <v>ghost stone</v>
      </c>
      <c r="F858" s="11" t="str">
        <f>IFERROR(__xludf.DUMMYFUNCTION("""COMPUTED_VALUE"""),"fairy stone")</f>
        <v>fairy stone</v>
      </c>
      <c r="G858" s="11"/>
      <c r="H858" s="11"/>
      <c r="I858" s="11"/>
      <c r="J858" s="11"/>
      <c r="K858" s="11"/>
      <c r="L858" s="11"/>
    </row>
    <row r="859">
      <c r="A859" s="13" t="str">
        <f>IFERROR(__xludf.DUMMYFUNCTION("""COMPUTED_VALUE"""),"Shiny Mimikyu")</f>
        <v>Shiny Mimikyu</v>
      </c>
      <c r="B859" s="11" t="str">
        <f>IFERROR(__xludf.DUMMYFUNCTION("""COMPUTED_VALUE"""),"ghost essence")</f>
        <v>ghost essence</v>
      </c>
      <c r="C859" s="11" t="str">
        <f>IFERROR(__xludf.DUMMYFUNCTION("""COMPUTED_VALUE"""),"fairy essence")</f>
        <v>fairy essence</v>
      </c>
      <c r="D859" s="11" t="str">
        <f>IFERROR(__xludf.DUMMYFUNCTION("""COMPUTED_VALUE"""),"white mimikyu head")</f>
        <v>white mimikyu head</v>
      </c>
      <c r="E859" s="11" t="str">
        <f>IFERROR(__xludf.DUMMYFUNCTION("""COMPUTED_VALUE"""),"ghost stone")</f>
        <v>ghost stone</v>
      </c>
      <c r="F859" s="11" t="str">
        <f>IFERROR(__xludf.DUMMYFUNCTION("""COMPUTED_VALUE"""),"fairy stone")</f>
        <v>fairy stone</v>
      </c>
      <c r="G859" s="11" t="str">
        <f>IFERROR(__xludf.DUMMYFUNCTION("""COMPUTED_VALUE"""),"mythic ghost orb")</f>
        <v>mythic ghost orb</v>
      </c>
      <c r="H859" s="11"/>
      <c r="I859" s="11"/>
      <c r="J859" s="11"/>
      <c r="K859" s="11"/>
      <c r="L859" s="11"/>
    </row>
    <row r="860">
      <c r="A860" s="13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>
      <c r="A861" s="13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>
      <c r="A862" s="13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>
      <c r="A863" s="13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>
      <c r="A864" s="13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>
      <c r="A865" s="13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>
      <c r="A866" s="13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>
      <c r="A867" s="13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  <row r="868">
      <c r="A868" s="13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</row>
    <row r="869">
      <c r="A869" s="13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</row>
    <row r="870">
      <c r="A870" s="13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>
      <c r="A871" s="13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>
      <c r="A872" s="13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>
      <c r="A873" s="13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>
      <c r="A874" s="13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>
      <c r="A875" s="13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>
      <c r="A876" s="13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>
      <c r="A877" s="13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>
      <c r="A878" s="13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>
      <c r="A879" s="13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>
      <c r="A880" s="13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>
      <c r="A881" s="13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>
      <c r="A882" s="13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>
      <c r="A883" s="13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>
      <c r="A884" s="13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>
      <c r="A885" s="13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>
      <c r="A886" s="13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</row>
    <row r="887">
      <c r="A887" s="13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</row>
    <row r="888">
      <c r="A888" s="13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</row>
    <row r="889">
      <c r="A889" s="13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</row>
    <row r="890">
      <c r="A890" s="13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>
      <c r="A891" s="13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>
      <c r="A892" s="13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>
      <c r="A893" s="13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>
      <c r="A894" s="13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>
      <c r="A895" s="13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>
      <c r="A896" s="13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>
      <c r="A897" s="13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>
      <c r="A898" s="13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  <row r="899">
      <c r="A899" s="13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</row>
    <row r="900">
      <c r="A900" s="13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</row>
    <row r="901">
      <c r="A901" s="13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</row>
    <row r="902">
      <c r="A902" s="13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</row>
    <row r="903">
      <c r="A903" s="13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</row>
    <row r="904">
      <c r="A904" s="13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</row>
    <row r="905">
      <c r="A905" s="13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</row>
    <row r="906">
      <c r="A906" s="13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</row>
    <row r="907">
      <c r="A907" s="13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</row>
    <row r="908">
      <c r="A908" s="13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</row>
    <row r="909">
      <c r="A909" s="13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</row>
    <row r="910">
      <c r="A910" s="13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</row>
    <row r="911">
      <c r="A911" s="13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</row>
    <row r="912">
      <c r="A912" s="13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</row>
    <row r="913">
      <c r="A913" s="13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</row>
    <row r="914">
      <c r="A914" s="13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</row>
    <row r="915">
      <c r="A915" s="13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</row>
    <row r="916">
      <c r="A916" s="13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</row>
    <row r="917">
      <c r="A917" s="13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</row>
    <row r="918">
      <c r="A918" s="13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>
      <c r="A919" s="13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>
      <c r="A920" s="13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</row>
    <row r="921">
      <c r="A921" s="13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</row>
    <row r="922">
      <c r="A922" s="13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</row>
    <row r="923">
      <c r="A923" s="13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>
      <c r="A924" s="13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</row>
    <row r="925">
      <c r="A925" s="13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</row>
    <row r="926">
      <c r="A926" s="13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>
      <c r="A927" s="13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</row>
    <row r="928">
      <c r="A928" s="13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</row>
    <row r="929">
      <c r="A929" s="13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</row>
    <row r="930">
      <c r="A930" s="13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</row>
    <row r="931">
      <c r="A931" s="13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</row>
    <row r="932">
      <c r="A932" s="13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</row>
    <row r="933">
      <c r="A933" s="13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</row>
    <row r="934">
      <c r="A934" s="13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</row>
    <row r="935">
      <c r="A935" s="13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</row>
    <row r="936">
      <c r="A936" s="13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</row>
    <row r="937">
      <c r="A937" s="13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</row>
    <row r="938">
      <c r="A938" s="13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</row>
    <row r="939">
      <c r="A939" s="13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</row>
    <row r="940">
      <c r="A940" s="13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</row>
    <row r="941">
      <c r="A941" s="13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</row>
    <row r="942">
      <c r="A942" s="13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</row>
    <row r="943">
      <c r="A943" s="13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</row>
    <row r="944">
      <c r="A944" s="13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</row>
    <row r="945">
      <c r="A945" s="13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</row>
    <row r="946">
      <c r="A946" s="13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</row>
    <row r="947">
      <c r="A947" s="13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</row>
    <row r="948">
      <c r="A948" s="13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</row>
    <row r="949">
      <c r="A949" s="13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</row>
    <row r="950">
      <c r="A950" s="13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</row>
    <row r="951">
      <c r="A951" s="13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</row>
    <row r="952">
      <c r="A952" s="13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</row>
    <row r="953">
      <c r="A953" s="13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</row>
    <row r="954">
      <c r="A954" s="13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</row>
    <row r="955">
      <c r="A955" s="13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</row>
    <row r="956">
      <c r="A956" s="13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</row>
    <row r="957">
      <c r="A957" s="13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</row>
    <row r="958">
      <c r="A958" s="13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>
      <c r="A959" s="13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</row>
    <row r="960">
      <c r="A960" s="13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</row>
    <row r="961">
      <c r="A961" s="13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</row>
    <row r="962">
      <c r="A962" s="13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</row>
    <row r="963">
      <c r="A963" s="13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</row>
    <row r="964">
      <c r="A964" s="13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</row>
    <row r="965">
      <c r="A965" s="13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</row>
    <row r="966">
      <c r="A966" s="13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</row>
    <row r="967">
      <c r="A967" s="13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</row>
    <row r="968">
      <c r="A968" s="13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</row>
    <row r="969">
      <c r="A969" s="13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</row>
    <row r="970">
      <c r="A970" s="13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</row>
    <row r="971">
      <c r="A971" s="13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</row>
    <row r="972">
      <c r="A972" s="13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</row>
    <row r="973">
      <c r="A973" s="13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</row>
    <row r="974">
      <c r="A974" s="13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</row>
    <row r="975">
      <c r="A975" s="13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</row>
    <row r="976">
      <c r="A976" s="13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</row>
    <row r="977">
      <c r="A977" s="13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</row>
    <row r="978">
      <c r="A978" s="13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</row>
    <row r="979">
      <c r="A979" s="13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</row>
    <row r="980">
      <c r="A980" s="13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</row>
    <row r="981">
      <c r="A981" s="13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</row>
    <row r="982">
      <c r="A982" s="13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</row>
    <row r="983">
      <c r="A983" s="13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</row>
    <row r="984">
      <c r="A984" s="13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</row>
    <row r="985">
      <c r="A985" s="13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</row>
    <row r="986">
      <c r="A986" s="13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</row>
    <row r="987">
      <c r="A987" s="13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</row>
    <row r="988">
      <c r="A988" s="64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</row>
  </sheetData>
  <mergeCells count="1">
    <mergeCell ref="B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5" max="5" width="7.38"/>
    <col customWidth="1" min="9" max="9" width="7.63"/>
    <col customWidth="1" min="13" max="13" width="5.25"/>
  </cols>
  <sheetData>
    <row r="1">
      <c r="A1" s="1"/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</row>
    <row r="2">
      <c r="A2" s="1"/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</row>
    <row r="3">
      <c r="A3" s="1"/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</row>
    <row r="4">
      <c r="A4" s="1"/>
      <c r="B4" s="3"/>
      <c r="C4" s="3"/>
      <c r="D4" s="3"/>
      <c r="E4" s="4"/>
      <c r="F4" s="4"/>
      <c r="G4" s="4"/>
      <c r="H4" s="4"/>
      <c r="I4" s="4"/>
      <c r="J4" s="4"/>
      <c r="K4" s="4"/>
      <c r="L4" s="4"/>
      <c r="M4" s="4"/>
    </row>
    <row r="5">
      <c r="A5" s="3"/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</row>
    <row r="6">
      <c r="A6" s="3"/>
      <c r="B6" s="3"/>
      <c r="C6" s="3"/>
      <c r="D6" s="3"/>
      <c r="E6" s="4"/>
      <c r="F6" s="4"/>
      <c r="G6" s="4"/>
      <c r="H6" s="4"/>
      <c r="I6" s="4"/>
      <c r="J6" s="4"/>
      <c r="K6" s="4"/>
      <c r="L6" s="4"/>
      <c r="M6" s="4"/>
    </row>
    <row r="7">
      <c r="A7" s="3"/>
      <c r="B7" s="3"/>
      <c r="C7" s="3"/>
      <c r="D7" s="3"/>
      <c r="E7" s="4"/>
      <c r="F7" s="4"/>
      <c r="G7" s="4"/>
      <c r="H7" s="4"/>
      <c r="I7" s="4"/>
      <c r="J7" s="4"/>
      <c r="K7" s="4"/>
      <c r="L7" s="4"/>
      <c r="M7" s="4"/>
    </row>
    <row r="8">
      <c r="A8" s="3"/>
      <c r="B8" s="12" t="str">
        <f>HYPERLINK("https://docs.google.com/spreadsheets/d/1GCH3PmFKQrBj7AA51hgqfg6Q2SrvNgrNlxgIidVeTMU/edit?pli=1&amp;gid=1112155848#gid=1112155848",IMAGE("https://i.imgur.com/uwh7mPY.png"))</f>
        <v/>
      </c>
      <c r="E8" s="4"/>
      <c r="F8" s="14" t="str">
        <f>HYPERLINK("https://docs.google.com/spreadsheets/d/1GCH3PmFKQrBj7AA51hgqfg6Q2SrvNgrNlxgIidVeTMU/edit?pli=1&amp;gid=1881536412#gid=1881536412",IMAGE("https://i.imgur.com/pjoG0fa.png"))</f>
        <v/>
      </c>
      <c r="I8" s="4"/>
      <c r="J8" s="14" t="str">
        <f>HYPERLINK("https://docs.google.com/spreadsheets/d/1GCH3PmFKQrBj7AA51hgqfg6Q2SrvNgrNlxgIidVeTMU/edit?pli=1&amp;gid=622619474#gid=622619474",IMAGE("https://i.imgur.com/EDc1VZz.png"))</f>
        <v/>
      </c>
      <c r="M8" s="4"/>
    </row>
    <row r="13">
      <c r="B13" s="4"/>
      <c r="C13" s="4"/>
      <c r="D13" s="4"/>
      <c r="F13" s="4"/>
      <c r="G13" s="4"/>
      <c r="H13" s="4"/>
      <c r="J13" s="16" t="str">
        <f>HYPERLINK("https://docs.google.com/spreadsheets/d/1GCH3PmFKQrBj7AA51hgqfg6Q2SrvNgrNlxgIidVeTMU/edit?pli=1&amp;gid=1112155848#gid=1112155848",IMAGE("https://imgur.com/a/FhRl6MG"))</f>
        <v/>
      </c>
      <c r="K13" s="4"/>
      <c r="L13" s="4"/>
    </row>
    <row r="14">
      <c r="B14" s="14" t="str">
        <f>HYPERLINK("https://docs.google.com/spreadsheets/d/1GCH3PmFKQrBj7AA51hgqfg6Q2SrvNgrNlxgIidVeTMU/edit?pli=1&amp;gid=751365694#gid=751365694",IMAGE("https://i.imgur.com/mQmfFCu.png"))</f>
        <v/>
      </c>
      <c r="F14" s="14" t="str">
        <f>HYPERLINK("https://docs.google.com/spreadsheets/d/1GCH3PmFKQrBj7AA51hgqfg6Q2SrvNgrNlxgIidVeTMU/edit?pli=1&amp;gid=1798431963#gid=1798431963",IMAGE("https://i.imgur.com/u9P90MY.png"))</f>
        <v/>
      </c>
      <c r="J14" s="3"/>
    </row>
    <row r="19">
      <c r="B19" s="4"/>
      <c r="C19" s="4"/>
      <c r="D19" s="4"/>
      <c r="F19" s="4"/>
      <c r="G19" s="4"/>
      <c r="H19" s="4"/>
      <c r="J19" s="4"/>
      <c r="K19" s="4"/>
      <c r="L19" s="4"/>
    </row>
    <row r="20">
      <c r="B20" s="14" t="str">
        <f>HYPERLINK("https://docs.google.com/spreadsheets/d/1GCH3PmFKQrBj7AA51hgqfg6Q2SrvNgrNlxgIidVeTMU/edit?pli=1&amp;gid=1684775291#gid=1684775291",IMAGE("https://i.imgur.com/h5PYsbu.png"))</f>
        <v/>
      </c>
      <c r="F20" s="14" t="str">
        <f>HYPERLINK("https://docs.google.com/spreadsheets/d/1GCH3PmFKQrBj7AA51hgqfg6Q2SrvNgrNlxgIidVeTMU/edit?pli=1&amp;gid=1372498596#gid=1372498596",IMAGE("https://i.imgur.com/TIQizsS.png"))</f>
        <v/>
      </c>
      <c r="J20" s="4"/>
      <c r="K20" s="4"/>
      <c r="L20" s="4"/>
    </row>
    <row r="21">
      <c r="J21" s="4"/>
      <c r="K21" s="4"/>
      <c r="L21" s="4"/>
    </row>
    <row r="22">
      <c r="J22" s="4"/>
      <c r="K22" s="4"/>
      <c r="L22" s="4"/>
    </row>
    <row r="23">
      <c r="J23" s="4"/>
      <c r="K23" s="4"/>
      <c r="L23" s="4"/>
    </row>
    <row r="24">
      <c r="J24" s="4"/>
      <c r="K24" s="4"/>
      <c r="L24" s="4"/>
    </row>
    <row r="25">
      <c r="A25" s="3"/>
      <c r="B25" s="3"/>
      <c r="C25" s="3"/>
      <c r="D25" s="3"/>
      <c r="E25" s="4"/>
      <c r="F25" s="3"/>
      <c r="G25" s="3"/>
      <c r="H25" s="3"/>
      <c r="I25" s="4"/>
      <c r="J25" s="4"/>
      <c r="K25" s="4"/>
      <c r="L25" s="4"/>
      <c r="M25" s="4"/>
    </row>
    <row r="26">
      <c r="A26" s="3"/>
      <c r="B26" s="3"/>
      <c r="C26" s="3"/>
      <c r="D26" s="3"/>
      <c r="E26" s="4"/>
      <c r="F26" s="3"/>
      <c r="G26" s="3"/>
      <c r="H26" s="3"/>
      <c r="I26" s="4"/>
      <c r="J26" s="4"/>
      <c r="K26" s="4"/>
      <c r="L26" s="4"/>
      <c r="M26" s="4"/>
    </row>
    <row r="27">
      <c r="A27" s="3"/>
      <c r="B27" s="3"/>
      <c r="C27" s="3"/>
      <c r="D27" s="3"/>
      <c r="E27" s="4"/>
      <c r="F27" s="3"/>
      <c r="G27" s="3"/>
      <c r="H27" s="3"/>
      <c r="I27" s="4"/>
      <c r="J27" s="4"/>
      <c r="K27" s="4"/>
      <c r="L27" s="4"/>
      <c r="M27" s="4"/>
    </row>
  </sheetData>
  <mergeCells count="12">
    <mergeCell ref="F8:H12"/>
    <mergeCell ref="F14:H18"/>
    <mergeCell ref="B14:D18"/>
    <mergeCell ref="B20:D24"/>
    <mergeCell ref="A8:A24"/>
    <mergeCell ref="B8:D12"/>
    <mergeCell ref="E8:E24"/>
    <mergeCell ref="I8:I24"/>
    <mergeCell ref="J8:L12"/>
    <mergeCell ref="M8:M24"/>
    <mergeCell ref="J14:L18"/>
    <mergeCell ref="F20:H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99.63"/>
  </cols>
  <sheetData>
    <row r="1">
      <c r="A1" s="20" t="s">
        <v>0</v>
      </c>
      <c r="B1" s="20" t="s">
        <v>14</v>
      </c>
      <c r="C1" s="20" t="s">
        <v>15</v>
      </c>
    </row>
    <row r="2">
      <c r="A2" s="20" t="s">
        <v>16</v>
      </c>
      <c r="B2" s="24" t="s">
        <v>17</v>
      </c>
      <c r="C2" s="20" t="s">
        <v>15</v>
      </c>
    </row>
    <row r="3">
      <c r="A3" s="20" t="s">
        <v>19</v>
      </c>
      <c r="B3" s="20" t="s">
        <v>20</v>
      </c>
      <c r="C3" s="20" t="s">
        <v>15</v>
      </c>
    </row>
    <row r="4">
      <c r="A4" s="20" t="s">
        <v>22</v>
      </c>
      <c r="B4" s="20" t="s">
        <v>23</v>
      </c>
      <c r="C4" s="20" t="s">
        <v>15</v>
      </c>
    </row>
    <row r="5">
      <c r="A5" s="20" t="s">
        <v>24</v>
      </c>
      <c r="B5" s="20" t="s">
        <v>25</v>
      </c>
      <c r="C5" s="20" t="s">
        <v>15</v>
      </c>
    </row>
    <row r="6">
      <c r="A6" s="20" t="s">
        <v>26</v>
      </c>
      <c r="B6" s="20" t="s">
        <v>27</v>
      </c>
      <c r="C6" s="20" t="s">
        <v>15</v>
      </c>
    </row>
    <row r="7">
      <c r="A7" s="20" t="s">
        <v>28</v>
      </c>
      <c r="B7" s="26" t="s">
        <v>29</v>
      </c>
      <c r="C7" s="20" t="s">
        <v>15</v>
      </c>
    </row>
    <row r="8">
      <c r="A8" s="20" t="s">
        <v>30</v>
      </c>
      <c r="B8" s="27" t="s">
        <v>31</v>
      </c>
      <c r="C8" s="20" t="s">
        <v>15</v>
      </c>
    </row>
    <row r="9">
      <c r="A9" s="28" t="s">
        <v>33</v>
      </c>
      <c r="B9" s="28" t="s">
        <v>34</v>
      </c>
      <c r="C9" s="20" t="s">
        <v>15</v>
      </c>
    </row>
    <row r="10">
      <c r="A10" s="20" t="s">
        <v>35</v>
      </c>
      <c r="B10" s="29" t="s">
        <v>36</v>
      </c>
      <c r="C10" s="20" t="s">
        <v>15</v>
      </c>
    </row>
    <row r="11">
      <c r="A11" s="20" t="s">
        <v>37</v>
      </c>
      <c r="B11" s="20" t="s">
        <v>38</v>
      </c>
      <c r="C11" s="20" t="s">
        <v>15</v>
      </c>
    </row>
    <row r="12">
      <c r="A12" s="20" t="s">
        <v>39</v>
      </c>
      <c r="B12" s="20" t="s">
        <v>40</v>
      </c>
      <c r="C12" s="20" t="s">
        <v>15</v>
      </c>
    </row>
    <row r="13">
      <c r="A13" s="20" t="s">
        <v>42</v>
      </c>
      <c r="B13" s="20" t="s">
        <v>43</v>
      </c>
      <c r="C13" s="20" t="s">
        <v>15</v>
      </c>
    </row>
    <row r="14">
      <c r="A14" s="20" t="s">
        <v>44</v>
      </c>
      <c r="B14" s="20" t="s">
        <v>45</v>
      </c>
      <c r="C14" s="20" t="s">
        <v>15</v>
      </c>
    </row>
    <row r="15">
      <c r="A15" s="20" t="s">
        <v>46</v>
      </c>
      <c r="B15" s="20" t="s">
        <v>47</v>
      </c>
      <c r="C15" s="20" t="s">
        <v>15</v>
      </c>
    </row>
    <row r="16">
      <c r="A16" s="28" t="s">
        <v>48</v>
      </c>
      <c r="B16" s="28" t="s">
        <v>49</v>
      </c>
      <c r="C16" s="20" t="s">
        <v>15</v>
      </c>
    </row>
    <row r="17">
      <c r="A17" s="20" t="s">
        <v>50</v>
      </c>
      <c r="B17" s="26" t="s">
        <v>51</v>
      </c>
      <c r="C17" s="20" t="s">
        <v>15</v>
      </c>
    </row>
    <row r="18">
      <c r="A18" s="20" t="s">
        <v>52</v>
      </c>
      <c r="B18" s="20" t="s">
        <v>53</v>
      </c>
      <c r="C18" s="20" t="s">
        <v>15</v>
      </c>
    </row>
    <row r="19">
      <c r="A19" s="20" t="s">
        <v>54</v>
      </c>
      <c r="B19" s="20" t="s">
        <v>55</v>
      </c>
      <c r="C19" s="20" t="s">
        <v>15</v>
      </c>
    </row>
    <row r="20">
      <c r="A20" s="20" t="s">
        <v>56</v>
      </c>
      <c r="B20" s="26" t="s">
        <v>57</v>
      </c>
      <c r="C20" s="20" t="s">
        <v>15</v>
      </c>
    </row>
    <row r="21">
      <c r="A21" s="20" t="s">
        <v>58</v>
      </c>
      <c r="B21" s="20" t="s">
        <v>59</v>
      </c>
      <c r="C21" s="20" t="s">
        <v>15</v>
      </c>
    </row>
    <row r="22">
      <c r="A22" s="20" t="s">
        <v>60</v>
      </c>
      <c r="B22" s="27" t="s">
        <v>61</v>
      </c>
      <c r="C22" s="20" t="s">
        <v>15</v>
      </c>
    </row>
    <row r="23">
      <c r="A23" s="20" t="s">
        <v>63</v>
      </c>
      <c r="B23" s="20" t="s">
        <v>64</v>
      </c>
      <c r="C23" s="20" t="s">
        <v>15</v>
      </c>
    </row>
    <row r="24">
      <c r="A24" s="20" t="s">
        <v>65</v>
      </c>
      <c r="B24" s="20" t="s">
        <v>66</v>
      </c>
      <c r="C24" s="20" t="s">
        <v>15</v>
      </c>
    </row>
    <row r="25">
      <c r="A25" s="20" t="s">
        <v>67</v>
      </c>
      <c r="B25" s="30" t="s">
        <v>68</v>
      </c>
      <c r="C25" s="20" t="s">
        <v>15</v>
      </c>
    </row>
    <row r="26">
      <c r="A26" s="20" t="s">
        <v>69</v>
      </c>
      <c r="B26" s="20" t="s">
        <v>70</v>
      </c>
      <c r="C26" s="20" t="s">
        <v>15</v>
      </c>
    </row>
    <row r="27">
      <c r="A27" s="20" t="s">
        <v>71</v>
      </c>
      <c r="B27" s="20" t="s">
        <v>72</v>
      </c>
      <c r="C27" s="20" t="s">
        <v>15</v>
      </c>
    </row>
    <row r="28">
      <c r="A28" s="20" t="s">
        <v>73</v>
      </c>
      <c r="B28" s="20" t="s">
        <v>74</v>
      </c>
      <c r="C28" s="20" t="s">
        <v>15</v>
      </c>
    </row>
    <row r="29">
      <c r="A29" s="20" t="s">
        <v>75</v>
      </c>
      <c r="B29" s="20" t="s">
        <v>76</v>
      </c>
      <c r="C29" s="20" t="s">
        <v>15</v>
      </c>
    </row>
    <row r="30">
      <c r="A30" s="20" t="s">
        <v>77</v>
      </c>
      <c r="B30" s="20" t="s">
        <v>78</v>
      </c>
      <c r="C30" s="20" t="s">
        <v>15</v>
      </c>
    </row>
    <row r="31">
      <c r="A31" s="20" t="s">
        <v>79</v>
      </c>
      <c r="B31" s="27" t="s">
        <v>80</v>
      </c>
      <c r="C31" s="20" t="s">
        <v>15</v>
      </c>
    </row>
    <row r="32">
      <c r="A32" s="20" t="s">
        <v>82</v>
      </c>
      <c r="B32" s="26" t="s">
        <v>83</v>
      </c>
      <c r="C32" s="20" t="s">
        <v>15</v>
      </c>
    </row>
    <row r="33">
      <c r="A33" s="20" t="s">
        <v>84</v>
      </c>
      <c r="B33" s="27" t="s">
        <v>85</v>
      </c>
      <c r="C33" s="20" t="s">
        <v>15</v>
      </c>
    </row>
    <row r="34">
      <c r="A34" s="20" t="s">
        <v>86</v>
      </c>
      <c r="B34" s="20" t="s">
        <v>87</v>
      </c>
      <c r="C34" s="20" t="s">
        <v>15</v>
      </c>
    </row>
    <row r="35">
      <c r="A35" s="20" t="s">
        <v>88</v>
      </c>
      <c r="B35" s="20" t="s">
        <v>90</v>
      </c>
      <c r="C35" s="20" t="s">
        <v>15</v>
      </c>
    </row>
    <row r="36">
      <c r="A36" s="20" t="s">
        <v>91</v>
      </c>
      <c r="B36" s="26" t="s">
        <v>92</v>
      </c>
      <c r="C36" s="20" t="s">
        <v>15</v>
      </c>
    </row>
    <row r="37">
      <c r="A37" s="20" t="s">
        <v>93</v>
      </c>
      <c r="B37" s="20" t="s">
        <v>94</v>
      </c>
      <c r="C37" s="20" t="s">
        <v>15</v>
      </c>
    </row>
    <row r="38">
      <c r="A38" s="20" t="s">
        <v>95</v>
      </c>
      <c r="B38" s="20" t="s">
        <v>96</v>
      </c>
      <c r="C38" s="20" t="s">
        <v>15</v>
      </c>
    </row>
    <row r="39">
      <c r="A39" s="20" t="s">
        <v>97</v>
      </c>
      <c r="B39" s="20" t="s">
        <v>98</v>
      </c>
      <c r="C39" s="20" t="s">
        <v>15</v>
      </c>
    </row>
    <row r="40">
      <c r="A40" s="20" t="s">
        <v>99</v>
      </c>
      <c r="B40" s="20" t="s">
        <v>100</v>
      </c>
      <c r="C40" s="20" t="s">
        <v>15</v>
      </c>
    </row>
    <row r="41">
      <c r="A41" s="20" t="s">
        <v>101</v>
      </c>
      <c r="B41" s="20" t="s">
        <v>102</v>
      </c>
      <c r="C41" s="20" t="s">
        <v>15</v>
      </c>
    </row>
    <row r="42">
      <c r="A42" s="20" t="s">
        <v>103</v>
      </c>
      <c r="B42" s="27" t="s">
        <v>104</v>
      </c>
      <c r="C42" s="20" t="s">
        <v>15</v>
      </c>
    </row>
    <row r="43">
      <c r="A43" s="20" t="s">
        <v>106</v>
      </c>
      <c r="B43" s="31" t="s">
        <v>107</v>
      </c>
      <c r="C43" s="20" t="s">
        <v>15</v>
      </c>
    </row>
    <row r="44">
      <c r="A44" s="20" t="s">
        <v>109</v>
      </c>
      <c r="B44" s="20" t="s">
        <v>110</v>
      </c>
      <c r="C44" s="20" t="s">
        <v>15</v>
      </c>
    </row>
    <row r="45">
      <c r="A45" s="20" t="s">
        <v>111</v>
      </c>
      <c r="B45" s="20" t="s">
        <v>112</v>
      </c>
      <c r="C45" s="20" t="s">
        <v>15</v>
      </c>
    </row>
    <row r="46">
      <c r="A46" s="20" t="s">
        <v>113</v>
      </c>
      <c r="B46" s="20" t="s">
        <v>114</v>
      </c>
      <c r="C46" s="20" t="s">
        <v>15</v>
      </c>
    </row>
    <row r="47">
      <c r="A47" s="20" t="s">
        <v>115</v>
      </c>
      <c r="B47" s="20" t="s">
        <v>116</v>
      </c>
      <c r="C47" s="20" t="s">
        <v>15</v>
      </c>
    </row>
    <row r="48">
      <c r="A48" s="20" t="s">
        <v>117</v>
      </c>
      <c r="B48" s="20" t="s">
        <v>118</v>
      </c>
      <c r="C48" s="20" t="s">
        <v>15</v>
      </c>
    </row>
    <row r="49">
      <c r="A49" s="20" t="s">
        <v>119</v>
      </c>
      <c r="B49" s="20" t="s">
        <v>120</v>
      </c>
      <c r="C49" s="20" t="s">
        <v>15</v>
      </c>
    </row>
    <row r="50">
      <c r="A50" s="20" t="s">
        <v>121</v>
      </c>
      <c r="B50" s="20" t="s">
        <v>122</v>
      </c>
      <c r="C50" s="20" t="s">
        <v>15</v>
      </c>
    </row>
    <row r="51">
      <c r="A51" s="20" t="s">
        <v>123</v>
      </c>
      <c r="B51" s="20" t="s">
        <v>124</v>
      </c>
      <c r="C51" s="20" t="s">
        <v>15</v>
      </c>
    </row>
    <row r="52">
      <c r="A52" s="20" t="s">
        <v>125</v>
      </c>
      <c r="B52" s="20" t="s">
        <v>126</v>
      </c>
      <c r="C52" s="20" t="s">
        <v>15</v>
      </c>
    </row>
    <row r="53">
      <c r="A53" s="20" t="s">
        <v>127</v>
      </c>
      <c r="B53" s="20" t="s">
        <v>128</v>
      </c>
      <c r="C53" s="20" t="s">
        <v>15</v>
      </c>
    </row>
    <row r="54">
      <c r="A54" s="20" t="s">
        <v>129</v>
      </c>
      <c r="B54" s="27" t="s">
        <v>130</v>
      </c>
      <c r="C54" s="20" t="s">
        <v>15</v>
      </c>
    </row>
    <row r="55">
      <c r="A55" s="20" t="s">
        <v>132</v>
      </c>
      <c r="B55" s="20" t="s">
        <v>133</v>
      </c>
      <c r="C55" s="20" t="s">
        <v>15</v>
      </c>
    </row>
    <row r="56">
      <c r="A56" s="20" t="s">
        <v>134</v>
      </c>
      <c r="B56" s="27" t="s">
        <v>135</v>
      </c>
      <c r="C56" s="20" t="s">
        <v>15</v>
      </c>
    </row>
    <row r="57">
      <c r="A57" s="20" t="s">
        <v>136</v>
      </c>
      <c r="B57" s="20" t="s">
        <v>137</v>
      </c>
      <c r="C57" s="20" t="s">
        <v>15</v>
      </c>
    </row>
    <row r="58">
      <c r="A58" s="20" t="s">
        <v>138</v>
      </c>
      <c r="B58" s="26" t="s">
        <v>139</v>
      </c>
      <c r="C58" s="20" t="s">
        <v>15</v>
      </c>
    </row>
    <row r="59">
      <c r="A59" s="20" t="s">
        <v>140</v>
      </c>
      <c r="B59" s="20" t="s">
        <v>141</v>
      </c>
      <c r="C59" s="20" t="s">
        <v>15</v>
      </c>
    </row>
    <row r="60">
      <c r="A60" s="20" t="s">
        <v>142</v>
      </c>
      <c r="B60" s="20" t="s">
        <v>143</v>
      </c>
      <c r="C60" s="20" t="s">
        <v>15</v>
      </c>
    </row>
    <row r="61">
      <c r="A61" s="20" t="s">
        <v>144</v>
      </c>
      <c r="B61" s="20" t="s">
        <v>145</v>
      </c>
      <c r="C61" s="20" t="s">
        <v>15</v>
      </c>
    </row>
    <row r="62">
      <c r="A62" s="20" t="s">
        <v>146</v>
      </c>
      <c r="B62" s="27" t="s">
        <v>147</v>
      </c>
      <c r="C62" s="20" t="s">
        <v>15</v>
      </c>
    </row>
    <row r="63">
      <c r="A63" s="20" t="s">
        <v>149</v>
      </c>
      <c r="B63" s="27" t="s">
        <v>150</v>
      </c>
      <c r="C63" s="20" t="s">
        <v>15</v>
      </c>
    </row>
    <row r="64">
      <c r="A64" s="20" t="s">
        <v>151</v>
      </c>
      <c r="B64" s="20" t="s">
        <v>152</v>
      </c>
      <c r="C64" s="20" t="s">
        <v>15</v>
      </c>
    </row>
    <row r="65">
      <c r="A65" s="20" t="s">
        <v>153</v>
      </c>
      <c r="B65" s="20" t="s">
        <v>154</v>
      </c>
      <c r="C65" s="20" t="s">
        <v>15</v>
      </c>
    </row>
    <row r="66">
      <c r="A66" s="20" t="s">
        <v>155</v>
      </c>
      <c r="B66" s="20" t="s">
        <v>156</v>
      </c>
      <c r="C66" s="20" t="s">
        <v>15</v>
      </c>
    </row>
    <row r="67">
      <c r="A67" s="20" t="s">
        <v>157</v>
      </c>
      <c r="B67" s="20" t="s">
        <v>158</v>
      </c>
      <c r="C67" s="20" t="s">
        <v>15</v>
      </c>
    </row>
    <row r="68">
      <c r="A68" s="20" t="s">
        <v>159</v>
      </c>
      <c r="B68" s="27" t="s">
        <v>160</v>
      </c>
      <c r="C68" s="20" t="s">
        <v>15</v>
      </c>
    </row>
    <row r="69">
      <c r="A69" s="20" t="s">
        <v>162</v>
      </c>
      <c r="B69" s="27" t="s">
        <v>163</v>
      </c>
      <c r="C69" s="20" t="s">
        <v>15</v>
      </c>
    </row>
    <row r="70">
      <c r="A70" s="20" t="s">
        <v>165</v>
      </c>
      <c r="B70" s="20" t="s">
        <v>166</v>
      </c>
      <c r="C70" s="20" t="s">
        <v>15</v>
      </c>
    </row>
    <row r="71">
      <c r="A71" s="20" t="s">
        <v>167</v>
      </c>
      <c r="B71" s="20" t="s">
        <v>168</v>
      </c>
      <c r="C71" s="20" t="s">
        <v>15</v>
      </c>
    </row>
    <row r="72">
      <c r="A72" s="20" t="s">
        <v>169</v>
      </c>
      <c r="B72" s="20" t="s">
        <v>170</v>
      </c>
      <c r="C72" s="20" t="s">
        <v>15</v>
      </c>
    </row>
    <row r="73">
      <c r="A73" s="20" t="s">
        <v>171</v>
      </c>
      <c r="B73" s="20" t="s">
        <v>172</v>
      </c>
      <c r="C73" s="20" t="s">
        <v>15</v>
      </c>
    </row>
    <row r="74">
      <c r="A74" s="20" t="s">
        <v>173</v>
      </c>
      <c r="B74" s="20" t="s">
        <v>174</v>
      </c>
      <c r="C74" s="20" t="s">
        <v>15</v>
      </c>
    </row>
    <row r="75">
      <c r="A75" s="20" t="s">
        <v>175</v>
      </c>
      <c r="B75" s="20" t="s">
        <v>176</v>
      </c>
      <c r="C75" s="20" t="s">
        <v>15</v>
      </c>
    </row>
    <row r="76">
      <c r="A76" s="20" t="s">
        <v>177</v>
      </c>
      <c r="B76" s="20" t="s">
        <v>178</v>
      </c>
      <c r="C76" s="20" t="s">
        <v>15</v>
      </c>
    </row>
    <row r="77">
      <c r="A77" s="20" t="s">
        <v>179</v>
      </c>
      <c r="B77" s="20" t="s">
        <v>180</v>
      </c>
      <c r="C77" s="20" t="s">
        <v>15</v>
      </c>
    </row>
    <row r="78">
      <c r="A78" s="20" t="s">
        <v>181</v>
      </c>
      <c r="B78" s="20" t="s">
        <v>182</v>
      </c>
      <c r="C78" s="20" t="s">
        <v>15</v>
      </c>
    </row>
    <row r="79">
      <c r="A79" s="20" t="s">
        <v>183</v>
      </c>
      <c r="B79" s="31" t="s">
        <v>184</v>
      </c>
      <c r="C79" s="20" t="s">
        <v>15</v>
      </c>
    </row>
    <row r="80">
      <c r="A80" s="20" t="s">
        <v>185</v>
      </c>
      <c r="B80" s="20" t="s">
        <v>186</v>
      </c>
      <c r="C80" s="20" t="s">
        <v>15</v>
      </c>
    </row>
    <row r="81">
      <c r="A81" s="20" t="s">
        <v>187</v>
      </c>
      <c r="B81" s="20" t="s">
        <v>188</v>
      </c>
      <c r="C81" s="20" t="s">
        <v>15</v>
      </c>
    </row>
    <row r="82">
      <c r="A82" s="20" t="s">
        <v>189</v>
      </c>
      <c r="B82" s="30" t="s">
        <v>190</v>
      </c>
      <c r="C82" s="20" t="s">
        <v>15</v>
      </c>
    </row>
    <row r="83">
      <c r="A83" s="20" t="s">
        <v>191</v>
      </c>
      <c r="B83" s="20" t="s">
        <v>192</v>
      </c>
      <c r="C83" s="20" t="s">
        <v>15</v>
      </c>
    </row>
    <row r="84">
      <c r="A84" s="20" t="s">
        <v>193</v>
      </c>
      <c r="B84" s="20" t="s">
        <v>194</v>
      </c>
      <c r="C84" s="20" t="s">
        <v>15</v>
      </c>
    </row>
    <row r="85">
      <c r="A85" s="20" t="s">
        <v>195</v>
      </c>
      <c r="B85" s="20" t="s">
        <v>196</v>
      </c>
      <c r="C85" s="20" t="s">
        <v>15</v>
      </c>
    </row>
    <row r="86">
      <c r="A86" s="20" t="s">
        <v>197</v>
      </c>
      <c r="B86" s="20" t="s">
        <v>198</v>
      </c>
      <c r="C86" s="20" t="s">
        <v>15</v>
      </c>
    </row>
    <row r="87">
      <c r="A87" s="20" t="s">
        <v>199</v>
      </c>
      <c r="B87" s="27" t="s">
        <v>200</v>
      </c>
      <c r="C87" s="20" t="s">
        <v>15</v>
      </c>
    </row>
    <row r="88">
      <c r="A88" s="20" t="s">
        <v>201</v>
      </c>
      <c r="B88" s="20" t="s">
        <v>202</v>
      </c>
      <c r="C88" s="20" t="s">
        <v>15</v>
      </c>
    </row>
    <row r="89">
      <c r="A89" s="20" t="s">
        <v>203</v>
      </c>
      <c r="B89" s="20" t="s">
        <v>204</v>
      </c>
      <c r="C89" s="20" t="s">
        <v>15</v>
      </c>
    </row>
    <row r="90">
      <c r="A90" s="20" t="s">
        <v>205</v>
      </c>
      <c r="B90" s="20" t="s">
        <v>206</v>
      </c>
      <c r="C90" s="20" t="s">
        <v>15</v>
      </c>
    </row>
    <row r="91">
      <c r="A91" s="20" t="s">
        <v>207</v>
      </c>
      <c r="B91" s="20" t="s">
        <v>208</v>
      </c>
      <c r="C91" s="20" t="s">
        <v>15</v>
      </c>
    </row>
    <row r="92">
      <c r="A92" s="20" t="s">
        <v>209</v>
      </c>
      <c r="B92" s="20" t="s">
        <v>210</v>
      </c>
      <c r="C92" s="20" t="s">
        <v>15</v>
      </c>
    </row>
    <row r="93">
      <c r="A93" s="20" t="s">
        <v>211</v>
      </c>
      <c r="B93" s="20" t="s">
        <v>212</v>
      </c>
      <c r="C93" s="20" t="s">
        <v>15</v>
      </c>
    </row>
    <row r="94">
      <c r="A94" s="20" t="s">
        <v>213</v>
      </c>
      <c r="B94" s="20" t="s">
        <v>214</v>
      </c>
      <c r="C94" s="20" t="s">
        <v>15</v>
      </c>
    </row>
    <row r="95">
      <c r="A95" s="20" t="s">
        <v>215</v>
      </c>
      <c r="B95" s="27" t="s">
        <v>216</v>
      </c>
      <c r="C95" s="20" t="s">
        <v>15</v>
      </c>
    </row>
    <row r="96">
      <c r="A96" s="20" t="s">
        <v>217</v>
      </c>
      <c r="B96" s="20" t="s">
        <v>218</v>
      </c>
      <c r="C96" s="20" t="s">
        <v>15</v>
      </c>
    </row>
    <row r="97">
      <c r="A97" s="20" t="s">
        <v>219</v>
      </c>
      <c r="B97" s="20" t="s">
        <v>220</v>
      </c>
      <c r="C97" s="20" t="s">
        <v>15</v>
      </c>
    </row>
    <row r="98">
      <c r="A98" s="20" t="s">
        <v>221</v>
      </c>
      <c r="B98" s="27" t="s">
        <v>222</v>
      </c>
      <c r="C98" s="20" t="s">
        <v>15</v>
      </c>
    </row>
    <row r="99">
      <c r="A99" s="20" t="s">
        <v>223</v>
      </c>
      <c r="B99" s="20" t="s">
        <v>224</v>
      </c>
      <c r="C99" s="20" t="s">
        <v>15</v>
      </c>
    </row>
    <row r="100">
      <c r="A100" s="20" t="s">
        <v>225</v>
      </c>
      <c r="B100" s="27" t="s">
        <v>226</v>
      </c>
      <c r="C100" s="20" t="s">
        <v>15</v>
      </c>
    </row>
    <row r="101">
      <c r="A101" s="32"/>
      <c r="B101" s="20" t="s">
        <v>227</v>
      </c>
      <c r="C101" s="20" t="s">
        <v>15</v>
      </c>
    </row>
    <row r="102">
      <c r="A102" s="33">
        <v>150.0</v>
      </c>
      <c r="B102" s="27" t="s">
        <v>228</v>
      </c>
      <c r="C102" s="20" t="s">
        <v>15</v>
      </c>
    </row>
    <row r="103">
      <c r="A103" s="20" t="s">
        <v>229</v>
      </c>
      <c r="B103" s="27" t="s">
        <v>230</v>
      </c>
      <c r="C103" s="20" t="s">
        <v>15</v>
      </c>
    </row>
    <row r="104">
      <c r="A104" s="20" t="s">
        <v>231</v>
      </c>
      <c r="B104" s="20" t="s">
        <v>232</v>
      </c>
      <c r="C104" s="20" t="s">
        <v>15</v>
      </c>
    </row>
    <row r="105">
      <c r="A105" s="20" t="s">
        <v>233</v>
      </c>
      <c r="B105" s="27" t="s">
        <v>234</v>
      </c>
      <c r="C105" s="20" t="s">
        <v>15</v>
      </c>
    </row>
    <row r="106">
      <c r="A106" s="20" t="s">
        <v>235</v>
      </c>
      <c r="B106" s="20" t="s">
        <v>236</v>
      </c>
      <c r="C106" s="20" t="s">
        <v>15</v>
      </c>
    </row>
    <row r="107">
      <c r="A107" s="20" t="s">
        <v>237</v>
      </c>
      <c r="B107" s="20" t="s">
        <v>238</v>
      </c>
      <c r="C107" s="20" t="s">
        <v>15</v>
      </c>
    </row>
    <row r="108">
      <c r="A108" s="20" t="s">
        <v>239</v>
      </c>
      <c r="B108" s="27" t="s">
        <v>240</v>
      </c>
      <c r="C108" s="20" t="s">
        <v>15</v>
      </c>
    </row>
    <row r="109">
      <c r="A109" s="20" t="s">
        <v>241</v>
      </c>
      <c r="B109" s="27" t="s">
        <v>242</v>
      </c>
      <c r="C109" s="20" t="s">
        <v>15</v>
      </c>
    </row>
    <row r="110">
      <c r="A110" s="20" t="s">
        <v>243</v>
      </c>
      <c r="B110" s="20" t="s">
        <v>244</v>
      </c>
      <c r="C110" s="20" t="s">
        <v>15</v>
      </c>
    </row>
    <row r="111">
      <c r="A111" s="20" t="s">
        <v>245</v>
      </c>
      <c r="B111" s="20" t="s">
        <v>246</v>
      </c>
      <c r="C111" s="20" t="s">
        <v>15</v>
      </c>
    </row>
    <row r="112">
      <c r="A112" s="20" t="s">
        <v>247</v>
      </c>
      <c r="B112" s="20" t="s">
        <v>248</v>
      </c>
      <c r="C112" s="20" t="s">
        <v>15</v>
      </c>
    </row>
    <row r="113">
      <c r="A113" s="20" t="s">
        <v>249</v>
      </c>
      <c r="B113" s="20" t="s">
        <v>250</v>
      </c>
      <c r="C113" s="20" t="s">
        <v>15</v>
      </c>
    </row>
    <row r="114">
      <c r="A114" s="20" t="s">
        <v>251</v>
      </c>
      <c r="B114" s="27" t="s">
        <v>252</v>
      </c>
      <c r="C114" s="20" t="s">
        <v>15</v>
      </c>
    </row>
    <row r="115">
      <c r="A115" s="20" t="s">
        <v>253</v>
      </c>
      <c r="B115" s="20" t="s">
        <v>254</v>
      </c>
      <c r="C115" s="20" t="s">
        <v>15</v>
      </c>
    </row>
    <row r="116">
      <c r="A116" s="20" t="s">
        <v>255</v>
      </c>
      <c r="B116" s="20" t="s">
        <v>256</v>
      </c>
      <c r="C116" s="20" t="s">
        <v>15</v>
      </c>
    </row>
    <row r="117">
      <c r="A117" s="20" t="s">
        <v>257</v>
      </c>
      <c r="B117" s="20" t="s">
        <v>258</v>
      </c>
      <c r="C117" s="20" t="s">
        <v>15</v>
      </c>
    </row>
    <row r="118">
      <c r="A118" s="20" t="s">
        <v>259</v>
      </c>
      <c r="B118" s="20" t="s">
        <v>260</v>
      </c>
      <c r="C118" s="20" t="s">
        <v>15</v>
      </c>
    </row>
    <row r="119">
      <c r="A119" s="20" t="s">
        <v>261</v>
      </c>
      <c r="B119" s="27" t="s">
        <v>262</v>
      </c>
      <c r="C119" s="20" t="s">
        <v>15</v>
      </c>
    </row>
    <row r="120">
      <c r="A120" s="20" t="s">
        <v>263</v>
      </c>
      <c r="B120" s="20" t="s">
        <v>264</v>
      </c>
      <c r="C120" s="20" t="s">
        <v>15</v>
      </c>
    </row>
    <row r="121">
      <c r="A121" s="20" t="s">
        <v>265</v>
      </c>
      <c r="B121" s="20" t="s">
        <v>266</v>
      </c>
      <c r="C121" s="20" t="s">
        <v>15</v>
      </c>
    </row>
    <row r="122">
      <c r="A122" s="20" t="s">
        <v>267</v>
      </c>
      <c r="B122" s="20" t="s">
        <v>268</v>
      </c>
      <c r="C122" s="20" t="s">
        <v>15</v>
      </c>
    </row>
    <row r="123">
      <c r="A123" s="20" t="s">
        <v>269</v>
      </c>
      <c r="B123" s="20" t="s">
        <v>270</v>
      </c>
      <c r="C123" s="32"/>
    </row>
    <row r="124">
      <c r="A124" s="20" t="s">
        <v>271</v>
      </c>
      <c r="B124" s="20" t="s">
        <v>272</v>
      </c>
      <c r="C124" s="32"/>
    </row>
    <row r="125">
      <c r="A125" s="20" t="s">
        <v>273</v>
      </c>
      <c r="B125" s="27" t="s">
        <v>274</v>
      </c>
      <c r="C125" s="32"/>
    </row>
    <row r="126">
      <c r="A126" s="20" t="s">
        <v>275</v>
      </c>
      <c r="B126" s="27" t="s">
        <v>276</v>
      </c>
      <c r="C126" s="32"/>
    </row>
    <row r="127">
      <c r="A127" s="20" t="s">
        <v>277</v>
      </c>
      <c r="B127" s="26" t="s">
        <v>278</v>
      </c>
      <c r="C127" s="32"/>
    </row>
    <row r="128">
      <c r="A128" s="20" t="s">
        <v>279</v>
      </c>
      <c r="B128" s="20" t="s">
        <v>280</v>
      </c>
      <c r="C128" s="32"/>
    </row>
    <row r="129">
      <c r="A129" s="20" t="s">
        <v>281</v>
      </c>
      <c r="B129" s="20" t="s">
        <v>282</v>
      </c>
      <c r="C129" s="32"/>
    </row>
    <row r="130">
      <c r="A130" s="20" t="s">
        <v>283</v>
      </c>
      <c r="B130" s="20" t="s">
        <v>284</v>
      </c>
      <c r="C130" s="32"/>
    </row>
    <row r="131">
      <c r="A131" s="20" t="s">
        <v>285</v>
      </c>
      <c r="B131" s="20" t="s">
        <v>286</v>
      </c>
      <c r="C131" s="32"/>
    </row>
    <row r="132">
      <c r="A132" s="32" t="s">
        <v>287</v>
      </c>
      <c r="B132" s="32" t="s">
        <v>288</v>
      </c>
      <c r="C132" s="32"/>
    </row>
    <row r="133">
      <c r="A133" s="32" t="s">
        <v>289</v>
      </c>
      <c r="B133" s="32" t="s">
        <v>290</v>
      </c>
      <c r="C133" s="32"/>
    </row>
    <row r="134">
      <c r="A134" s="32" t="s">
        <v>291</v>
      </c>
      <c r="B134" s="32" t="s">
        <v>292</v>
      </c>
      <c r="C134" s="32"/>
    </row>
    <row r="135">
      <c r="A135" s="32" t="s">
        <v>293</v>
      </c>
      <c r="B135" s="32" t="s">
        <v>294</v>
      </c>
      <c r="C135" s="32"/>
    </row>
    <row r="136">
      <c r="A136" s="32" t="s">
        <v>295</v>
      </c>
      <c r="B136" s="32" t="s">
        <v>296</v>
      </c>
      <c r="C136" s="32"/>
    </row>
    <row r="137">
      <c r="A137" s="32" t="s">
        <v>297</v>
      </c>
      <c r="B137" s="32" t="s">
        <v>298</v>
      </c>
      <c r="C137" s="32"/>
    </row>
    <row r="138">
      <c r="A138" s="32" t="s">
        <v>299</v>
      </c>
      <c r="B138" s="32" t="s">
        <v>300</v>
      </c>
      <c r="C138" s="32"/>
    </row>
    <row r="139">
      <c r="A139" s="32" t="s">
        <v>301</v>
      </c>
      <c r="B139" s="32" t="s">
        <v>302</v>
      </c>
    </row>
    <row r="140">
      <c r="A140" s="32" t="s">
        <v>303</v>
      </c>
      <c r="B140" s="34" t="s">
        <v>304</v>
      </c>
    </row>
    <row r="141">
      <c r="A141" s="32" t="s">
        <v>305</v>
      </c>
      <c r="B141" s="32" t="s">
        <v>306</v>
      </c>
    </row>
    <row r="142">
      <c r="A142" s="32" t="s">
        <v>307</v>
      </c>
      <c r="B142" s="32" t="s">
        <v>308</v>
      </c>
    </row>
    <row r="143">
      <c r="A143" s="32" t="s">
        <v>309</v>
      </c>
      <c r="B143" s="32" t="s">
        <v>310</v>
      </c>
    </row>
    <row r="144">
      <c r="A144" s="32" t="s">
        <v>311</v>
      </c>
      <c r="B144" s="32" t="s">
        <v>312</v>
      </c>
    </row>
    <row r="145">
      <c r="A145" s="32" t="s">
        <v>313</v>
      </c>
      <c r="B145" s="32" t="s">
        <v>314</v>
      </c>
    </row>
    <row r="146">
      <c r="A146" s="32" t="s">
        <v>316</v>
      </c>
      <c r="B146" s="32" t="s">
        <v>317</v>
      </c>
    </row>
    <row r="147">
      <c r="A147" s="32" t="s">
        <v>318</v>
      </c>
      <c r="B147" s="32" t="s">
        <v>319</v>
      </c>
    </row>
    <row r="148">
      <c r="A148" s="32" t="s">
        <v>320</v>
      </c>
      <c r="B148" s="32" t="s">
        <v>321</v>
      </c>
    </row>
    <row r="149">
      <c r="A149" s="32" t="s">
        <v>322</v>
      </c>
      <c r="B149" s="32" t="s">
        <v>323</v>
      </c>
    </row>
    <row r="150">
      <c r="A150" s="32" t="s">
        <v>324</v>
      </c>
      <c r="B150" s="32" t="s">
        <v>325</v>
      </c>
    </row>
    <row r="151">
      <c r="A151" s="32" t="s">
        <v>326</v>
      </c>
      <c r="B151" s="32" t="s">
        <v>327</v>
      </c>
    </row>
    <row r="152">
      <c r="A152" s="32" t="s">
        <v>328</v>
      </c>
      <c r="B152" s="32" t="s">
        <v>329</v>
      </c>
    </row>
    <row r="153">
      <c r="A153" s="26" t="s">
        <v>330</v>
      </c>
      <c r="B153" s="26" t="s">
        <v>331</v>
      </c>
    </row>
    <row r="154">
      <c r="A154" s="26" t="s">
        <v>332</v>
      </c>
      <c r="B154" s="26" t="s">
        <v>333</v>
      </c>
    </row>
    <row r="155">
      <c r="A155" s="26" t="s">
        <v>334</v>
      </c>
      <c r="B155" s="26" t="s">
        <v>335</v>
      </c>
    </row>
    <row r="156">
      <c r="A156" s="26" t="s">
        <v>336</v>
      </c>
      <c r="B156" s="24" t="s">
        <v>337</v>
      </c>
    </row>
    <row r="157">
      <c r="A157" s="26" t="s">
        <v>338</v>
      </c>
      <c r="B157" s="24" t="s">
        <v>339</v>
      </c>
    </row>
    <row r="158">
      <c r="A158" s="26" t="s">
        <v>340</v>
      </c>
      <c r="B158" s="26" t="s">
        <v>341</v>
      </c>
    </row>
    <row r="159">
      <c r="A159" s="26" t="s">
        <v>342</v>
      </c>
      <c r="B159" s="24" t="s">
        <v>343</v>
      </c>
    </row>
    <row r="160">
      <c r="A160" s="26" t="s">
        <v>344</v>
      </c>
      <c r="B160" s="26" t="s">
        <v>345</v>
      </c>
    </row>
    <row r="161">
      <c r="A161" s="26" t="s">
        <v>346</v>
      </c>
      <c r="B161" s="26" t="s">
        <v>347</v>
      </c>
    </row>
    <row r="162">
      <c r="A162" s="26" t="s">
        <v>348</v>
      </c>
      <c r="B162" s="26" t="s">
        <v>349</v>
      </c>
    </row>
    <row r="163">
      <c r="A163" s="26" t="s">
        <v>350</v>
      </c>
      <c r="B163" s="26" t="s">
        <v>351</v>
      </c>
    </row>
    <row r="164">
      <c r="A164" s="26" t="s">
        <v>352</v>
      </c>
      <c r="B164" s="26" t="s">
        <v>353</v>
      </c>
    </row>
    <row r="165">
      <c r="A165" s="26" t="s">
        <v>354</v>
      </c>
      <c r="B165" s="26" t="s">
        <v>355</v>
      </c>
    </row>
    <row r="166">
      <c r="A166" s="26" t="s">
        <v>356</v>
      </c>
      <c r="B166" s="24" t="s">
        <v>357</v>
      </c>
    </row>
    <row r="167">
      <c r="A167" s="26" t="s">
        <v>358</v>
      </c>
      <c r="B167" s="26" t="s">
        <v>359</v>
      </c>
    </row>
    <row r="168">
      <c r="A168" s="32"/>
      <c r="B168" s="32"/>
    </row>
    <row r="169">
      <c r="A169" s="32"/>
      <c r="B169" s="32"/>
    </row>
    <row r="170">
      <c r="A170" s="32"/>
      <c r="B170" s="32"/>
    </row>
    <row r="171">
      <c r="A171" s="32"/>
      <c r="B171" s="32"/>
    </row>
    <row r="172">
      <c r="A172" s="32"/>
      <c r="B172" s="32"/>
    </row>
    <row r="173">
      <c r="A173" s="32"/>
      <c r="B173" s="32"/>
    </row>
    <row r="174">
      <c r="A174" s="32"/>
      <c r="B174" s="32"/>
    </row>
    <row r="175">
      <c r="A175" s="32"/>
      <c r="B175" s="32"/>
    </row>
    <row r="176">
      <c r="A176" s="32"/>
      <c r="B176" s="32"/>
    </row>
    <row r="177">
      <c r="A177" s="32"/>
      <c r="B177" s="32"/>
    </row>
    <row r="178">
      <c r="A178" s="32"/>
      <c r="B178" s="32"/>
    </row>
    <row r="179">
      <c r="A179" s="32"/>
      <c r="B179" s="32"/>
    </row>
    <row r="180">
      <c r="A180" s="32"/>
      <c r="B180" s="32"/>
    </row>
    <row r="181">
      <c r="A181" s="32"/>
      <c r="B181" s="32"/>
    </row>
    <row r="182">
      <c r="A182" s="32"/>
      <c r="B182" s="32"/>
    </row>
    <row r="183">
      <c r="A183" s="32"/>
      <c r="B183" s="32"/>
    </row>
    <row r="184">
      <c r="A184" s="32"/>
      <c r="B184" s="32"/>
    </row>
    <row r="185">
      <c r="A185" s="32"/>
      <c r="B185" s="32"/>
    </row>
    <row r="186">
      <c r="A186" s="32"/>
      <c r="B186" s="32"/>
    </row>
    <row r="187">
      <c r="A187" s="32"/>
      <c r="B187" s="32"/>
    </row>
    <row r="188">
      <c r="A188" s="32"/>
      <c r="B188" s="32"/>
    </row>
    <row r="189">
      <c r="A189" s="32"/>
      <c r="B189" s="32"/>
    </row>
    <row r="190">
      <c r="A190" s="32"/>
      <c r="B190" s="32"/>
    </row>
    <row r="191">
      <c r="A191" s="32"/>
      <c r="B191" s="32"/>
    </row>
    <row r="192">
      <c r="A192" s="32"/>
      <c r="B192" s="32"/>
    </row>
    <row r="193">
      <c r="A193" s="32"/>
      <c r="B193" s="32"/>
    </row>
    <row r="194">
      <c r="A194" s="32"/>
      <c r="B194" s="32"/>
    </row>
    <row r="195">
      <c r="A195" s="32"/>
      <c r="B195" s="32"/>
    </row>
    <row r="196">
      <c r="A196" s="32"/>
      <c r="B196" s="32"/>
    </row>
    <row r="197">
      <c r="A197" s="32"/>
      <c r="B197" s="32"/>
    </row>
    <row r="198">
      <c r="A198" s="32"/>
      <c r="B198" s="32"/>
    </row>
    <row r="199">
      <c r="A199" s="32"/>
      <c r="B199" s="32"/>
    </row>
    <row r="200">
      <c r="A200" s="32"/>
      <c r="B200" s="32"/>
    </row>
    <row r="201">
      <c r="A201" s="32"/>
      <c r="B201" s="32"/>
    </row>
    <row r="202">
      <c r="A202" s="32"/>
      <c r="B202" s="32"/>
    </row>
    <row r="203">
      <c r="A203" s="32"/>
      <c r="B203" s="32"/>
    </row>
    <row r="204">
      <c r="A204" s="32"/>
      <c r="B204" s="32"/>
    </row>
    <row r="205">
      <c r="A205" s="32"/>
      <c r="B205" s="32"/>
    </row>
    <row r="206">
      <c r="A206" s="32"/>
      <c r="B206" s="32"/>
    </row>
    <row r="207">
      <c r="A207" s="32"/>
      <c r="B207" s="32"/>
    </row>
    <row r="208">
      <c r="A208" s="32"/>
      <c r="B208" s="32"/>
    </row>
    <row r="209">
      <c r="A209" s="32"/>
      <c r="B209" s="32"/>
    </row>
    <row r="210">
      <c r="A210" s="32"/>
      <c r="B210" s="32"/>
    </row>
    <row r="211">
      <c r="A211" s="32"/>
      <c r="B211" s="32"/>
    </row>
    <row r="212">
      <c r="A212" s="32"/>
      <c r="B212" s="32"/>
    </row>
    <row r="213">
      <c r="A213" s="32"/>
      <c r="B213" s="32"/>
    </row>
    <row r="214">
      <c r="A214" s="32"/>
      <c r="B214" s="32"/>
    </row>
    <row r="215">
      <c r="A215" s="32"/>
      <c r="B215" s="32"/>
    </row>
    <row r="216">
      <c r="A216" s="32"/>
      <c r="B216" s="32"/>
    </row>
    <row r="217">
      <c r="A217" s="32"/>
      <c r="B217" s="32"/>
    </row>
    <row r="218">
      <c r="A218" s="32"/>
      <c r="B218" s="32"/>
    </row>
    <row r="219">
      <c r="A219" s="32"/>
      <c r="B219" s="32"/>
    </row>
    <row r="220">
      <c r="A220" s="32"/>
      <c r="B220" s="32"/>
    </row>
    <row r="221">
      <c r="A221" s="32"/>
      <c r="B221" s="32"/>
    </row>
    <row r="222">
      <c r="A222" s="32"/>
      <c r="B222" s="32"/>
    </row>
    <row r="223">
      <c r="A223" s="32"/>
      <c r="B223" s="32"/>
    </row>
    <row r="224">
      <c r="A224" s="32"/>
      <c r="B224" s="32"/>
    </row>
    <row r="225">
      <c r="A225" s="32"/>
      <c r="B225" s="32"/>
    </row>
    <row r="226">
      <c r="A226" s="32"/>
      <c r="B226" s="32"/>
    </row>
    <row r="227">
      <c r="A227" s="32"/>
      <c r="B227" s="32"/>
    </row>
    <row r="228">
      <c r="A228" s="32"/>
      <c r="B228" s="32"/>
    </row>
    <row r="229">
      <c r="A229" s="32"/>
      <c r="B229" s="32"/>
    </row>
    <row r="230">
      <c r="A230" s="32"/>
      <c r="B230" s="32"/>
    </row>
    <row r="231">
      <c r="A231" s="32"/>
      <c r="B231" s="32"/>
    </row>
    <row r="232">
      <c r="A232" s="32"/>
      <c r="B232" s="32"/>
    </row>
    <row r="233">
      <c r="A233" s="32"/>
      <c r="B233" s="32"/>
    </row>
    <row r="234">
      <c r="A234" s="32"/>
      <c r="B234" s="32"/>
    </row>
    <row r="235">
      <c r="A235" s="32"/>
      <c r="B235" s="32"/>
    </row>
    <row r="236">
      <c r="A236" s="32"/>
      <c r="B236" s="32"/>
    </row>
    <row r="237">
      <c r="A237" s="32"/>
      <c r="B237" s="32"/>
    </row>
    <row r="238">
      <c r="A238" s="32"/>
      <c r="B238" s="32"/>
    </row>
    <row r="239">
      <c r="A239" s="32"/>
      <c r="B239" s="32"/>
    </row>
    <row r="240">
      <c r="A240" s="32"/>
      <c r="B240" s="32"/>
    </row>
    <row r="241">
      <c r="A241" s="32"/>
      <c r="B241" s="32"/>
    </row>
    <row r="242">
      <c r="A242" s="32"/>
      <c r="B242" s="32"/>
    </row>
    <row r="243">
      <c r="A243" s="32"/>
      <c r="B243" s="32"/>
    </row>
    <row r="244">
      <c r="A244" s="32"/>
      <c r="B244" s="32"/>
    </row>
    <row r="245">
      <c r="A245" s="32"/>
      <c r="B245" s="32"/>
    </row>
    <row r="246">
      <c r="A246" s="32"/>
      <c r="B246" s="32"/>
    </row>
    <row r="247">
      <c r="A247" s="32"/>
      <c r="B247" s="32"/>
    </row>
    <row r="248">
      <c r="A248" s="32"/>
      <c r="B248" s="32"/>
    </row>
    <row r="249">
      <c r="A249" s="32"/>
      <c r="B249" s="32"/>
    </row>
    <row r="250">
      <c r="A250" s="32"/>
      <c r="B250" s="32"/>
    </row>
    <row r="251">
      <c r="A251" s="32"/>
      <c r="B251" s="32"/>
    </row>
    <row r="252">
      <c r="A252" s="32"/>
      <c r="B252" s="32"/>
    </row>
    <row r="253">
      <c r="A253" s="32"/>
      <c r="B253" s="32"/>
    </row>
    <row r="254">
      <c r="A254" s="32"/>
      <c r="B254" s="32"/>
    </row>
    <row r="255">
      <c r="A255" s="32"/>
      <c r="B255" s="32"/>
    </row>
    <row r="256">
      <c r="A256" s="32"/>
      <c r="B256" s="32"/>
    </row>
    <row r="257">
      <c r="A257" s="32"/>
      <c r="B257" s="32"/>
    </row>
    <row r="258">
      <c r="A258" s="32"/>
      <c r="B258" s="32"/>
    </row>
    <row r="259">
      <c r="A259" s="32"/>
      <c r="B259" s="32"/>
    </row>
    <row r="260">
      <c r="A260" s="32"/>
      <c r="B260" s="32"/>
    </row>
    <row r="261">
      <c r="A261" s="32"/>
      <c r="B261" s="32"/>
    </row>
    <row r="262">
      <c r="A262" s="32"/>
      <c r="B262" s="32"/>
    </row>
    <row r="263">
      <c r="A263" s="32"/>
      <c r="B263" s="32"/>
    </row>
    <row r="264">
      <c r="A264" s="32"/>
      <c r="B264" s="32"/>
    </row>
    <row r="265">
      <c r="A265" s="32"/>
      <c r="B265" s="32"/>
    </row>
    <row r="266">
      <c r="A266" s="32"/>
      <c r="B266" s="32"/>
    </row>
    <row r="267">
      <c r="A267" s="32"/>
      <c r="B267" s="32"/>
    </row>
    <row r="268">
      <c r="A268" s="32"/>
      <c r="B268" s="32"/>
    </row>
    <row r="269">
      <c r="A269" s="32"/>
      <c r="B269" s="32"/>
    </row>
    <row r="270">
      <c r="A270" s="32"/>
      <c r="B270" s="32"/>
    </row>
    <row r="271">
      <c r="A271" s="32"/>
      <c r="B271" s="32"/>
    </row>
    <row r="272">
      <c r="A272" s="32"/>
      <c r="B272" s="32"/>
    </row>
    <row r="273">
      <c r="A273" s="32"/>
      <c r="B273" s="32"/>
    </row>
    <row r="274">
      <c r="A274" s="32"/>
      <c r="B274" s="32"/>
    </row>
    <row r="275">
      <c r="A275" s="32"/>
      <c r="B275" s="32"/>
    </row>
    <row r="276">
      <c r="A276" s="32"/>
      <c r="B276" s="32"/>
    </row>
    <row r="277">
      <c r="A277" s="32"/>
      <c r="B277" s="32"/>
    </row>
    <row r="278">
      <c r="A278" s="32"/>
      <c r="B278" s="32"/>
    </row>
    <row r="279">
      <c r="A279" s="32"/>
      <c r="B279" s="32"/>
    </row>
    <row r="280">
      <c r="A280" s="32"/>
      <c r="B280" s="32"/>
    </row>
    <row r="281">
      <c r="A281" s="32"/>
      <c r="B281" s="32"/>
    </row>
    <row r="282">
      <c r="A282" s="32"/>
      <c r="B282" s="32"/>
    </row>
    <row r="283">
      <c r="A283" s="32"/>
      <c r="B283" s="32"/>
    </row>
    <row r="284">
      <c r="A284" s="32"/>
      <c r="B284" s="32"/>
    </row>
    <row r="285">
      <c r="A285" s="32"/>
      <c r="B285" s="32"/>
    </row>
    <row r="286">
      <c r="A286" s="32"/>
      <c r="B286" s="32"/>
    </row>
    <row r="287">
      <c r="A287" s="32"/>
      <c r="B287" s="32"/>
    </row>
    <row r="288">
      <c r="A288" s="32"/>
      <c r="B288" s="32"/>
    </row>
    <row r="289">
      <c r="A289" s="32"/>
      <c r="B289" s="32"/>
    </row>
    <row r="290">
      <c r="A290" s="32"/>
      <c r="B290" s="32"/>
    </row>
    <row r="291">
      <c r="A291" s="32"/>
      <c r="B291" s="32"/>
    </row>
    <row r="292">
      <c r="A292" s="32"/>
      <c r="B292" s="32"/>
    </row>
    <row r="293">
      <c r="A293" s="32"/>
      <c r="B293" s="32"/>
    </row>
    <row r="294">
      <c r="A294" s="32"/>
      <c r="B294" s="32"/>
    </row>
    <row r="295">
      <c r="A295" s="32"/>
      <c r="B295" s="32"/>
    </row>
    <row r="296">
      <c r="A296" s="32"/>
      <c r="B296" s="32"/>
    </row>
    <row r="297">
      <c r="A297" s="32"/>
      <c r="B297" s="32"/>
    </row>
    <row r="298">
      <c r="A298" s="32"/>
      <c r="B298" s="32"/>
    </row>
    <row r="299">
      <c r="A299" s="32"/>
      <c r="B299" s="32"/>
    </row>
    <row r="300">
      <c r="A300" s="32"/>
      <c r="B300" s="32"/>
    </row>
    <row r="301">
      <c r="A301" s="32"/>
      <c r="B301" s="32"/>
    </row>
    <row r="302">
      <c r="A302" s="32"/>
      <c r="B302" s="32"/>
    </row>
    <row r="303">
      <c r="A303" s="32"/>
      <c r="B303" s="32"/>
    </row>
    <row r="304">
      <c r="A304" s="32"/>
      <c r="B304" s="32"/>
    </row>
    <row r="305">
      <c r="A305" s="32"/>
      <c r="B305" s="32"/>
    </row>
    <row r="306">
      <c r="A306" s="32"/>
      <c r="B306" s="32"/>
    </row>
    <row r="307">
      <c r="A307" s="32"/>
      <c r="B307" s="32"/>
    </row>
    <row r="308">
      <c r="A308" s="32"/>
      <c r="B308" s="32"/>
    </row>
    <row r="309">
      <c r="A309" s="32"/>
      <c r="B309" s="32"/>
    </row>
    <row r="310">
      <c r="A310" s="32"/>
      <c r="B310" s="32"/>
    </row>
    <row r="311">
      <c r="A311" s="32"/>
      <c r="B311" s="32"/>
    </row>
    <row r="312">
      <c r="A312" s="32"/>
      <c r="B312" s="32"/>
    </row>
    <row r="313">
      <c r="A313" s="32"/>
      <c r="B313" s="32"/>
    </row>
    <row r="314">
      <c r="A314" s="32"/>
      <c r="B314" s="32"/>
    </row>
    <row r="315">
      <c r="A315" s="32"/>
      <c r="B315" s="32"/>
    </row>
    <row r="316">
      <c r="A316" s="32"/>
      <c r="B316" s="32"/>
    </row>
    <row r="317">
      <c r="A317" s="32"/>
      <c r="B317" s="32"/>
    </row>
    <row r="318">
      <c r="A318" s="32"/>
      <c r="B318" s="32"/>
    </row>
    <row r="319">
      <c r="A319" s="32"/>
      <c r="B319" s="32"/>
    </row>
    <row r="320">
      <c r="A320" s="32"/>
      <c r="B320" s="32"/>
    </row>
    <row r="321">
      <c r="A321" s="32"/>
      <c r="B321" s="32"/>
    </row>
    <row r="322">
      <c r="A322" s="32"/>
      <c r="B322" s="32"/>
    </row>
    <row r="323">
      <c r="A323" s="32"/>
      <c r="B323" s="32"/>
    </row>
    <row r="324">
      <c r="A324" s="32"/>
      <c r="B324" s="32"/>
    </row>
    <row r="325">
      <c r="A325" s="32"/>
      <c r="B325" s="32"/>
    </row>
    <row r="326">
      <c r="A326" s="32"/>
      <c r="B326" s="32"/>
    </row>
    <row r="327">
      <c r="A327" s="32"/>
      <c r="B327" s="32"/>
    </row>
    <row r="328">
      <c r="A328" s="32"/>
      <c r="B328" s="32"/>
    </row>
    <row r="329">
      <c r="A329" s="32"/>
      <c r="B329" s="32"/>
    </row>
    <row r="330">
      <c r="A330" s="32"/>
      <c r="B330" s="32"/>
    </row>
    <row r="331">
      <c r="A331" s="32"/>
      <c r="B331" s="32"/>
    </row>
    <row r="332">
      <c r="A332" s="32"/>
      <c r="B332" s="32"/>
    </row>
    <row r="333">
      <c r="A333" s="32"/>
      <c r="B333" s="32"/>
    </row>
    <row r="334">
      <c r="A334" s="32"/>
      <c r="B334" s="32"/>
    </row>
    <row r="335">
      <c r="A335" s="32"/>
      <c r="B335" s="32"/>
    </row>
    <row r="336">
      <c r="A336" s="32"/>
      <c r="B336" s="32"/>
    </row>
    <row r="337">
      <c r="A337" s="32"/>
      <c r="B337" s="32"/>
    </row>
    <row r="338">
      <c r="A338" s="32"/>
      <c r="B338" s="32"/>
    </row>
    <row r="339">
      <c r="A339" s="32"/>
      <c r="B339" s="32"/>
    </row>
    <row r="340">
      <c r="A340" s="32"/>
      <c r="B340" s="32"/>
    </row>
    <row r="341">
      <c r="A341" s="32"/>
      <c r="B341" s="32"/>
    </row>
    <row r="342">
      <c r="A342" s="32"/>
      <c r="B342" s="32"/>
    </row>
    <row r="343">
      <c r="A343" s="32"/>
      <c r="B343" s="32"/>
    </row>
    <row r="344">
      <c r="A344" s="32"/>
      <c r="B344" s="32"/>
    </row>
    <row r="345">
      <c r="A345" s="32"/>
      <c r="B345" s="32"/>
    </row>
    <row r="346">
      <c r="A346" s="32"/>
      <c r="B346" s="32"/>
    </row>
    <row r="347">
      <c r="A347" s="32"/>
      <c r="B347" s="32"/>
    </row>
    <row r="348">
      <c r="A348" s="32"/>
      <c r="B348" s="32"/>
    </row>
    <row r="349">
      <c r="A349" s="32"/>
      <c r="B349" s="32"/>
    </row>
    <row r="350">
      <c r="A350" s="32"/>
      <c r="B350" s="32"/>
    </row>
    <row r="351">
      <c r="A351" s="32"/>
      <c r="B351" s="32"/>
    </row>
    <row r="352">
      <c r="A352" s="32"/>
      <c r="B352" s="32"/>
    </row>
    <row r="353">
      <c r="A353" s="32"/>
      <c r="B353" s="32"/>
    </row>
    <row r="354">
      <c r="A354" s="32"/>
      <c r="B354" s="32"/>
    </row>
    <row r="355">
      <c r="A355" s="32"/>
      <c r="B355" s="32"/>
    </row>
    <row r="356">
      <c r="A356" s="32"/>
      <c r="B356" s="32"/>
    </row>
    <row r="357">
      <c r="A357" s="32"/>
      <c r="B357" s="32"/>
    </row>
    <row r="358">
      <c r="A358" s="32"/>
      <c r="B358" s="32"/>
    </row>
    <row r="359">
      <c r="A359" s="32"/>
      <c r="B359" s="32"/>
    </row>
    <row r="360">
      <c r="A360" s="32"/>
      <c r="B360" s="32"/>
    </row>
    <row r="361">
      <c r="A361" s="32"/>
      <c r="B361" s="32"/>
    </row>
    <row r="362">
      <c r="A362" s="32"/>
      <c r="B362" s="32"/>
    </row>
    <row r="363">
      <c r="A363" s="32"/>
      <c r="B363" s="32"/>
    </row>
    <row r="364">
      <c r="A364" s="32"/>
      <c r="B364" s="32"/>
    </row>
    <row r="365">
      <c r="A365" s="32"/>
      <c r="B365" s="32"/>
    </row>
    <row r="366">
      <c r="A366" s="32"/>
      <c r="B366" s="32"/>
    </row>
    <row r="367">
      <c r="A367" s="32"/>
      <c r="B367" s="32"/>
    </row>
    <row r="368">
      <c r="A368" s="32"/>
      <c r="B368" s="32"/>
    </row>
    <row r="369">
      <c r="A369" s="32"/>
      <c r="B369" s="32"/>
    </row>
    <row r="370">
      <c r="A370" s="32"/>
      <c r="B370" s="32"/>
    </row>
    <row r="371">
      <c r="A371" s="32"/>
      <c r="B371" s="32"/>
    </row>
    <row r="372">
      <c r="A372" s="32"/>
      <c r="B372" s="32"/>
    </row>
    <row r="373">
      <c r="A373" s="32"/>
      <c r="B373" s="32"/>
    </row>
    <row r="374">
      <c r="A374" s="32"/>
      <c r="B374" s="32"/>
    </row>
    <row r="375">
      <c r="A375" s="32"/>
      <c r="B375" s="32"/>
    </row>
    <row r="376">
      <c r="A376" s="32"/>
      <c r="B376" s="32"/>
    </row>
    <row r="377">
      <c r="A377" s="32"/>
      <c r="B377" s="32"/>
    </row>
    <row r="378">
      <c r="A378" s="32"/>
      <c r="B378" s="32"/>
    </row>
    <row r="379">
      <c r="A379" s="32"/>
      <c r="B379" s="32"/>
    </row>
    <row r="380">
      <c r="A380" s="32"/>
      <c r="B380" s="32"/>
    </row>
    <row r="381">
      <c r="A381" s="32"/>
      <c r="B381" s="32"/>
    </row>
    <row r="382">
      <c r="A382" s="32"/>
      <c r="B382" s="32"/>
    </row>
    <row r="383">
      <c r="A383" s="32"/>
      <c r="B383" s="32"/>
    </row>
    <row r="384">
      <c r="A384" s="32"/>
      <c r="B384" s="32"/>
    </row>
    <row r="385">
      <c r="A385" s="32"/>
      <c r="B385" s="32"/>
    </row>
    <row r="386">
      <c r="A386" s="32"/>
      <c r="B386" s="32"/>
    </row>
    <row r="387">
      <c r="A387" s="32"/>
      <c r="B387" s="32"/>
    </row>
    <row r="388">
      <c r="A388" s="32"/>
      <c r="B388" s="32"/>
    </row>
    <row r="389">
      <c r="A389" s="32"/>
      <c r="B389" s="32"/>
    </row>
    <row r="390">
      <c r="A390" s="32"/>
      <c r="B390" s="32"/>
    </row>
    <row r="391">
      <c r="A391" s="32"/>
      <c r="B391" s="32"/>
    </row>
    <row r="392">
      <c r="A392" s="32"/>
      <c r="B392" s="32"/>
    </row>
    <row r="393">
      <c r="A393" s="32"/>
      <c r="B393" s="32"/>
    </row>
    <row r="394">
      <c r="A394" s="32"/>
      <c r="B394" s="32"/>
    </row>
    <row r="395">
      <c r="A395" s="32"/>
      <c r="B395" s="32"/>
    </row>
    <row r="396">
      <c r="A396" s="32"/>
      <c r="B396" s="32"/>
    </row>
    <row r="397">
      <c r="A397" s="32"/>
      <c r="B397" s="32"/>
    </row>
    <row r="398">
      <c r="A398" s="32"/>
      <c r="B398" s="32"/>
    </row>
    <row r="399">
      <c r="A399" s="32"/>
      <c r="B399" s="32"/>
    </row>
    <row r="400">
      <c r="A400" s="32"/>
      <c r="B400" s="32"/>
    </row>
    <row r="401">
      <c r="A401" s="32"/>
      <c r="B401" s="32"/>
    </row>
    <row r="402">
      <c r="A402" s="32"/>
      <c r="B402" s="32"/>
    </row>
    <row r="403">
      <c r="A403" s="32"/>
      <c r="B403" s="32"/>
    </row>
    <row r="404">
      <c r="A404" s="32"/>
      <c r="B404" s="32"/>
    </row>
    <row r="405">
      <c r="A405" s="32"/>
      <c r="B405" s="32"/>
    </row>
    <row r="406">
      <c r="A406" s="32"/>
      <c r="B406" s="32"/>
    </row>
    <row r="407">
      <c r="A407" s="32"/>
      <c r="B407" s="32"/>
    </row>
    <row r="408">
      <c r="A408" s="32"/>
      <c r="B408" s="32"/>
    </row>
    <row r="409">
      <c r="A409" s="32"/>
      <c r="B409" s="32"/>
    </row>
    <row r="410">
      <c r="A410" s="32"/>
      <c r="B410" s="32"/>
    </row>
    <row r="411">
      <c r="A411" s="32"/>
      <c r="B411" s="32"/>
    </row>
    <row r="412">
      <c r="A412" s="32"/>
      <c r="B412" s="32"/>
    </row>
    <row r="413">
      <c r="A413" s="32"/>
      <c r="B413" s="32"/>
    </row>
    <row r="414">
      <c r="A414" s="32"/>
      <c r="B414" s="32"/>
    </row>
    <row r="415">
      <c r="A415" s="32"/>
      <c r="B415" s="32"/>
    </row>
    <row r="416">
      <c r="A416" s="32"/>
      <c r="B416" s="32"/>
    </row>
    <row r="417">
      <c r="A417" s="32"/>
      <c r="B417" s="32"/>
    </row>
    <row r="418">
      <c r="A418" s="32"/>
      <c r="B418" s="32"/>
    </row>
    <row r="419">
      <c r="A419" s="32"/>
      <c r="B419" s="32"/>
    </row>
    <row r="420">
      <c r="A420" s="32"/>
      <c r="B420" s="32"/>
    </row>
    <row r="421">
      <c r="A421" s="32"/>
      <c r="B421" s="32"/>
    </row>
    <row r="422">
      <c r="A422" s="32"/>
      <c r="B422" s="32"/>
    </row>
    <row r="423">
      <c r="A423" s="32"/>
      <c r="B423" s="32"/>
    </row>
    <row r="424">
      <c r="A424" s="32"/>
      <c r="B424" s="32"/>
    </row>
    <row r="425">
      <c r="A425" s="32"/>
      <c r="B425" s="32"/>
    </row>
    <row r="426">
      <c r="A426" s="32"/>
      <c r="B426" s="32"/>
    </row>
    <row r="427">
      <c r="A427" s="32"/>
      <c r="B427" s="32"/>
    </row>
    <row r="428">
      <c r="A428" s="32"/>
      <c r="B428" s="32"/>
    </row>
    <row r="429">
      <c r="A429" s="32"/>
      <c r="B429" s="32"/>
    </row>
    <row r="430">
      <c r="A430" s="32"/>
      <c r="B430" s="32"/>
    </row>
    <row r="431">
      <c r="A431" s="32"/>
      <c r="B431" s="32"/>
    </row>
    <row r="432">
      <c r="A432" s="32"/>
      <c r="B432" s="32"/>
    </row>
    <row r="433">
      <c r="A433" s="32"/>
      <c r="B433" s="32"/>
    </row>
    <row r="434">
      <c r="A434" s="32"/>
      <c r="B434" s="32"/>
    </row>
    <row r="435">
      <c r="A435" s="32"/>
      <c r="B435" s="32"/>
    </row>
    <row r="436">
      <c r="A436" s="32"/>
      <c r="B436" s="32"/>
    </row>
    <row r="437">
      <c r="A437" s="32"/>
      <c r="B437" s="32"/>
    </row>
    <row r="438">
      <c r="A438" s="32"/>
      <c r="B438" s="32"/>
    </row>
    <row r="439">
      <c r="A439" s="32"/>
      <c r="B439" s="32"/>
    </row>
    <row r="440">
      <c r="A440" s="32"/>
      <c r="B440" s="32"/>
    </row>
    <row r="441">
      <c r="A441" s="32"/>
      <c r="B441" s="32"/>
    </row>
    <row r="442">
      <c r="A442" s="32"/>
      <c r="B442" s="32"/>
    </row>
    <row r="443">
      <c r="A443" s="32"/>
      <c r="B443" s="32"/>
    </row>
    <row r="444">
      <c r="A444" s="32"/>
      <c r="B444" s="32"/>
    </row>
    <row r="445">
      <c r="A445" s="32"/>
      <c r="B445" s="32"/>
    </row>
    <row r="446">
      <c r="A446" s="32"/>
      <c r="B446" s="32"/>
    </row>
    <row r="447">
      <c r="A447" s="32"/>
      <c r="B447" s="32"/>
    </row>
    <row r="448">
      <c r="A448" s="32"/>
      <c r="B448" s="32"/>
    </row>
    <row r="449">
      <c r="A449" s="32"/>
      <c r="B449" s="32"/>
    </row>
    <row r="450">
      <c r="A450" s="32"/>
      <c r="B450" s="32"/>
    </row>
    <row r="451">
      <c r="A451" s="32"/>
      <c r="B451" s="32"/>
    </row>
    <row r="452">
      <c r="A452" s="32"/>
      <c r="B452" s="32"/>
    </row>
    <row r="453">
      <c r="A453" s="32"/>
      <c r="B453" s="32"/>
    </row>
    <row r="454">
      <c r="A454" s="32"/>
      <c r="B454" s="32"/>
    </row>
    <row r="455">
      <c r="A455" s="32"/>
      <c r="B455" s="32"/>
    </row>
    <row r="456">
      <c r="A456" s="32"/>
      <c r="B456" s="32"/>
    </row>
    <row r="457">
      <c r="A457" s="32"/>
      <c r="B457" s="32"/>
    </row>
    <row r="458">
      <c r="A458" s="32"/>
      <c r="B458" s="32"/>
    </row>
    <row r="459">
      <c r="A459" s="32"/>
      <c r="B459" s="32"/>
    </row>
    <row r="460">
      <c r="A460" s="32"/>
      <c r="B460" s="32"/>
    </row>
    <row r="461">
      <c r="A461" s="32"/>
      <c r="B461" s="32"/>
    </row>
    <row r="462">
      <c r="A462" s="32"/>
      <c r="B462" s="32"/>
    </row>
    <row r="463">
      <c r="A463" s="32"/>
      <c r="B463" s="32"/>
    </row>
    <row r="464">
      <c r="A464" s="32"/>
      <c r="B464" s="32"/>
    </row>
    <row r="465">
      <c r="A465" s="32"/>
      <c r="B465" s="32"/>
    </row>
    <row r="466">
      <c r="A466" s="32"/>
      <c r="B466" s="32"/>
    </row>
    <row r="467">
      <c r="A467" s="32"/>
      <c r="B467" s="32"/>
    </row>
    <row r="468">
      <c r="A468" s="32"/>
      <c r="B468" s="32"/>
    </row>
    <row r="469">
      <c r="A469" s="32"/>
      <c r="B469" s="32"/>
    </row>
    <row r="470">
      <c r="A470" s="32"/>
      <c r="B470" s="32"/>
    </row>
    <row r="471">
      <c r="A471" s="32"/>
      <c r="B471" s="32"/>
    </row>
    <row r="472">
      <c r="A472" s="32"/>
      <c r="B472" s="32"/>
    </row>
    <row r="473">
      <c r="A473" s="32"/>
      <c r="B473" s="32"/>
    </row>
    <row r="474">
      <c r="A474" s="32"/>
      <c r="B474" s="32"/>
    </row>
    <row r="475">
      <c r="A475" s="32"/>
      <c r="B475" s="32"/>
    </row>
    <row r="476">
      <c r="A476" s="32"/>
      <c r="B476" s="32"/>
    </row>
    <row r="477">
      <c r="A477" s="32"/>
      <c r="B477" s="32"/>
    </row>
    <row r="478">
      <c r="A478" s="32"/>
      <c r="B478" s="32"/>
    </row>
    <row r="479">
      <c r="A479" s="32"/>
      <c r="B479" s="32"/>
    </row>
    <row r="480">
      <c r="A480" s="32"/>
      <c r="B480" s="32"/>
    </row>
    <row r="481">
      <c r="A481" s="32"/>
      <c r="B481" s="32"/>
    </row>
    <row r="482">
      <c r="A482" s="32"/>
      <c r="B482" s="32"/>
    </row>
    <row r="483">
      <c r="A483" s="32"/>
      <c r="B483" s="32"/>
    </row>
    <row r="484">
      <c r="A484" s="32"/>
      <c r="B484" s="32"/>
    </row>
    <row r="485">
      <c r="A485" s="32"/>
      <c r="B485" s="32"/>
    </row>
    <row r="486">
      <c r="A486" s="32"/>
      <c r="B486" s="32"/>
    </row>
    <row r="487">
      <c r="A487" s="32"/>
      <c r="B487" s="32"/>
    </row>
    <row r="488">
      <c r="A488" s="32"/>
      <c r="B488" s="32"/>
    </row>
    <row r="489">
      <c r="A489" s="32"/>
      <c r="B489" s="32"/>
    </row>
    <row r="490">
      <c r="A490" s="32"/>
      <c r="B490" s="32"/>
    </row>
    <row r="491">
      <c r="A491" s="32"/>
      <c r="B491" s="32"/>
    </row>
    <row r="492">
      <c r="A492" s="32"/>
      <c r="B492" s="32"/>
    </row>
    <row r="493">
      <c r="A493" s="32"/>
      <c r="B493" s="32"/>
    </row>
    <row r="494">
      <c r="A494" s="32"/>
      <c r="B494" s="32"/>
    </row>
    <row r="495">
      <c r="A495" s="32"/>
      <c r="B495" s="32"/>
    </row>
    <row r="496">
      <c r="A496" s="32"/>
      <c r="B496" s="32"/>
    </row>
    <row r="497">
      <c r="A497" s="32"/>
      <c r="B497" s="32"/>
    </row>
    <row r="498">
      <c r="A498" s="32"/>
      <c r="B498" s="32"/>
    </row>
    <row r="499">
      <c r="A499" s="32"/>
      <c r="B499" s="32"/>
    </row>
    <row r="500">
      <c r="A500" s="32"/>
      <c r="B500" s="32"/>
    </row>
    <row r="501">
      <c r="A501" s="32"/>
      <c r="B501" s="32"/>
    </row>
    <row r="502">
      <c r="A502" s="32"/>
      <c r="B502" s="32"/>
    </row>
    <row r="503">
      <c r="A503" s="32"/>
      <c r="B503" s="32"/>
    </row>
    <row r="504">
      <c r="A504" s="32"/>
      <c r="B504" s="32"/>
    </row>
    <row r="505">
      <c r="A505" s="32"/>
      <c r="B505" s="32"/>
    </row>
    <row r="506">
      <c r="A506" s="32"/>
      <c r="B506" s="32"/>
    </row>
    <row r="507">
      <c r="A507" s="32"/>
      <c r="B507" s="32"/>
    </row>
    <row r="508">
      <c r="A508" s="32"/>
      <c r="B508" s="32"/>
    </row>
    <row r="509">
      <c r="A509" s="32"/>
      <c r="B509" s="32"/>
    </row>
    <row r="510">
      <c r="A510" s="32"/>
      <c r="B510" s="32"/>
    </row>
    <row r="511">
      <c r="A511" s="32"/>
      <c r="B511" s="32"/>
    </row>
    <row r="512">
      <c r="A512" s="32"/>
      <c r="B512" s="32"/>
    </row>
    <row r="513">
      <c r="A513" s="32"/>
      <c r="B513" s="32"/>
    </row>
    <row r="514">
      <c r="A514" s="32"/>
      <c r="B514" s="32"/>
    </row>
    <row r="515">
      <c r="A515" s="32"/>
      <c r="B515" s="32"/>
    </row>
    <row r="516">
      <c r="A516" s="32"/>
      <c r="B516" s="32"/>
    </row>
    <row r="517">
      <c r="A517" s="32"/>
      <c r="B517" s="32"/>
    </row>
    <row r="518">
      <c r="A518" s="32"/>
      <c r="B518" s="32"/>
    </row>
    <row r="519">
      <c r="A519" s="32"/>
      <c r="B519" s="32"/>
    </row>
    <row r="520">
      <c r="A520" s="32"/>
      <c r="B520" s="32"/>
    </row>
    <row r="521">
      <c r="A521" s="32"/>
      <c r="B521" s="32"/>
    </row>
    <row r="522">
      <c r="A522" s="32"/>
      <c r="B522" s="32"/>
    </row>
    <row r="523">
      <c r="A523" s="32"/>
      <c r="B523" s="32"/>
    </row>
    <row r="524">
      <c r="A524" s="32"/>
      <c r="B524" s="32"/>
    </row>
    <row r="525">
      <c r="A525" s="32"/>
      <c r="B525" s="32"/>
    </row>
    <row r="526">
      <c r="A526" s="32"/>
      <c r="B526" s="32"/>
    </row>
    <row r="527">
      <c r="A527" s="32"/>
      <c r="B527" s="32"/>
    </row>
    <row r="528">
      <c r="A528" s="32"/>
      <c r="B528" s="32"/>
    </row>
    <row r="529">
      <c r="A529" s="32"/>
      <c r="B529" s="32"/>
    </row>
    <row r="530">
      <c r="A530" s="32"/>
      <c r="B530" s="32"/>
    </row>
    <row r="531">
      <c r="A531" s="32"/>
      <c r="B531" s="32"/>
    </row>
    <row r="532">
      <c r="A532" s="32"/>
      <c r="B532" s="32"/>
    </row>
    <row r="533">
      <c r="A533" s="32"/>
      <c r="B533" s="32"/>
    </row>
    <row r="534">
      <c r="A534" s="32"/>
      <c r="B534" s="32"/>
    </row>
    <row r="535">
      <c r="A535" s="32"/>
      <c r="B535" s="32"/>
    </row>
    <row r="536">
      <c r="A536" s="32"/>
      <c r="B536" s="32"/>
    </row>
    <row r="537">
      <c r="A537" s="32"/>
      <c r="B537" s="32"/>
    </row>
    <row r="538">
      <c r="A538" s="32"/>
      <c r="B538" s="32"/>
    </row>
    <row r="539">
      <c r="A539" s="32"/>
      <c r="B539" s="32"/>
    </row>
    <row r="540">
      <c r="A540" s="32"/>
      <c r="B540" s="32"/>
    </row>
    <row r="541">
      <c r="A541" s="32"/>
      <c r="B541" s="32"/>
    </row>
    <row r="542">
      <c r="A542" s="32"/>
      <c r="B542" s="32"/>
    </row>
    <row r="543">
      <c r="A543" s="32"/>
      <c r="B543" s="32"/>
    </row>
    <row r="544">
      <c r="A544" s="32"/>
      <c r="B544" s="32"/>
    </row>
    <row r="545">
      <c r="A545" s="32"/>
      <c r="B545" s="32"/>
    </row>
    <row r="546">
      <c r="A546" s="32"/>
      <c r="B546" s="32"/>
    </row>
    <row r="547">
      <c r="A547" s="32"/>
      <c r="B547" s="32"/>
    </row>
    <row r="548">
      <c r="A548" s="32"/>
      <c r="B548" s="32"/>
    </row>
    <row r="549">
      <c r="A549" s="32"/>
      <c r="B549" s="32"/>
    </row>
    <row r="550">
      <c r="A550" s="32"/>
      <c r="B550" s="32"/>
    </row>
    <row r="551">
      <c r="A551" s="32"/>
      <c r="B551" s="32"/>
    </row>
    <row r="552">
      <c r="A552" s="32"/>
      <c r="B552" s="32"/>
    </row>
    <row r="553">
      <c r="A553" s="32"/>
      <c r="B553" s="32"/>
    </row>
    <row r="554">
      <c r="A554" s="32"/>
      <c r="B554" s="32"/>
    </row>
    <row r="555">
      <c r="A555" s="32"/>
      <c r="B555" s="32"/>
    </row>
    <row r="556">
      <c r="A556" s="32"/>
      <c r="B556" s="32"/>
    </row>
    <row r="557">
      <c r="A557" s="32"/>
      <c r="B557" s="32"/>
    </row>
    <row r="558">
      <c r="A558" s="32"/>
      <c r="B558" s="32"/>
    </row>
    <row r="559">
      <c r="A559" s="32"/>
      <c r="B559" s="32"/>
    </row>
    <row r="560">
      <c r="A560" s="32"/>
      <c r="B560" s="32"/>
    </row>
    <row r="561">
      <c r="A561" s="32"/>
      <c r="B561" s="32"/>
    </row>
    <row r="562">
      <c r="A562" s="32"/>
      <c r="B562" s="32"/>
    </row>
    <row r="563">
      <c r="A563" s="32"/>
      <c r="B563" s="32"/>
    </row>
    <row r="564">
      <c r="A564" s="32"/>
      <c r="B564" s="32"/>
    </row>
    <row r="565">
      <c r="A565" s="32"/>
      <c r="B565" s="32"/>
    </row>
    <row r="566">
      <c r="A566" s="32"/>
      <c r="B566" s="32"/>
    </row>
    <row r="567">
      <c r="A567" s="32"/>
      <c r="B567" s="32"/>
    </row>
    <row r="568">
      <c r="A568" s="32"/>
      <c r="B568" s="32"/>
    </row>
    <row r="569">
      <c r="A569" s="32"/>
      <c r="B569" s="32"/>
    </row>
    <row r="570">
      <c r="A570" s="32"/>
      <c r="B570" s="32"/>
    </row>
    <row r="571">
      <c r="A571" s="32"/>
      <c r="B571" s="32"/>
    </row>
    <row r="572">
      <c r="A572" s="32"/>
      <c r="B572" s="32"/>
    </row>
    <row r="573">
      <c r="A573" s="32"/>
      <c r="B573" s="32"/>
    </row>
    <row r="574">
      <c r="A574" s="32"/>
      <c r="B574" s="32"/>
    </row>
    <row r="575">
      <c r="A575" s="32"/>
      <c r="B575" s="32"/>
    </row>
    <row r="576">
      <c r="A576" s="32"/>
      <c r="B576" s="32"/>
    </row>
    <row r="577">
      <c r="A577" s="32"/>
      <c r="B577" s="32"/>
    </row>
    <row r="578">
      <c r="A578" s="32"/>
      <c r="B578" s="32"/>
    </row>
    <row r="579">
      <c r="A579" s="32"/>
      <c r="B579" s="32"/>
    </row>
    <row r="580">
      <c r="A580" s="32"/>
      <c r="B580" s="32"/>
    </row>
    <row r="581">
      <c r="A581" s="32"/>
      <c r="B581" s="32"/>
    </row>
    <row r="582">
      <c r="A582" s="32"/>
      <c r="B582" s="32"/>
    </row>
    <row r="583">
      <c r="A583" s="32"/>
      <c r="B583" s="32"/>
    </row>
    <row r="584">
      <c r="A584" s="32"/>
      <c r="B584" s="32"/>
    </row>
    <row r="585">
      <c r="A585" s="32"/>
      <c r="B585" s="32"/>
    </row>
    <row r="586">
      <c r="A586" s="32"/>
      <c r="B586" s="32"/>
    </row>
    <row r="587">
      <c r="A587" s="32"/>
      <c r="B587" s="32"/>
    </row>
    <row r="588">
      <c r="A588" s="32"/>
      <c r="B588" s="32"/>
    </row>
    <row r="589">
      <c r="A589" s="32"/>
      <c r="B589" s="32"/>
    </row>
    <row r="590">
      <c r="A590" s="32"/>
      <c r="B590" s="32"/>
    </row>
    <row r="591">
      <c r="A591" s="32"/>
      <c r="B591" s="32"/>
    </row>
    <row r="592">
      <c r="A592" s="32"/>
      <c r="B592" s="32"/>
    </row>
    <row r="593">
      <c r="A593" s="32"/>
      <c r="B593" s="32"/>
    </row>
    <row r="594">
      <c r="A594" s="32"/>
      <c r="B594" s="32"/>
    </row>
    <row r="595">
      <c r="A595" s="32"/>
      <c r="B595" s="32"/>
    </row>
    <row r="596">
      <c r="A596" s="32"/>
      <c r="B596" s="32"/>
    </row>
    <row r="597">
      <c r="A597" s="32"/>
      <c r="B597" s="32"/>
    </row>
    <row r="598">
      <c r="A598" s="32"/>
      <c r="B598" s="32"/>
    </row>
    <row r="599">
      <c r="A599" s="32"/>
      <c r="B599" s="32"/>
    </row>
    <row r="600">
      <c r="A600" s="32"/>
      <c r="B600" s="32"/>
    </row>
    <row r="601">
      <c r="A601" s="32"/>
      <c r="B601" s="32"/>
    </row>
    <row r="602">
      <c r="A602" s="32"/>
      <c r="B602" s="32"/>
    </row>
    <row r="603">
      <c r="A603" s="32"/>
      <c r="B603" s="32"/>
    </row>
    <row r="604">
      <c r="A604" s="32"/>
      <c r="B604" s="32"/>
    </row>
    <row r="605">
      <c r="A605" s="32"/>
      <c r="B605" s="32"/>
    </row>
    <row r="606">
      <c r="A606" s="32"/>
      <c r="B606" s="32"/>
    </row>
    <row r="607">
      <c r="A607" s="32"/>
      <c r="B607" s="32"/>
    </row>
    <row r="608">
      <c r="A608" s="32"/>
      <c r="B608" s="32"/>
    </row>
    <row r="609">
      <c r="A609" s="32"/>
      <c r="B609" s="32"/>
    </row>
    <row r="610">
      <c r="A610" s="32"/>
      <c r="B610" s="32"/>
    </row>
    <row r="611">
      <c r="A611" s="32"/>
      <c r="B611" s="32"/>
    </row>
    <row r="612">
      <c r="A612" s="32"/>
      <c r="B612" s="32"/>
    </row>
    <row r="613">
      <c r="A613" s="32"/>
      <c r="B613" s="32"/>
    </row>
    <row r="614">
      <c r="A614" s="32"/>
      <c r="B614" s="32"/>
    </row>
    <row r="615">
      <c r="A615" s="32"/>
      <c r="B615" s="32"/>
    </row>
    <row r="616">
      <c r="A616" s="32"/>
      <c r="B616" s="32"/>
    </row>
    <row r="617">
      <c r="A617" s="32"/>
      <c r="B617" s="32"/>
    </row>
    <row r="618">
      <c r="A618" s="32"/>
      <c r="B618" s="32"/>
    </row>
    <row r="619">
      <c r="A619" s="32"/>
      <c r="B619" s="32"/>
    </row>
    <row r="620">
      <c r="A620" s="32"/>
      <c r="B620" s="32"/>
    </row>
    <row r="621">
      <c r="A621" s="32"/>
      <c r="B621" s="32"/>
    </row>
    <row r="622">
      <c r="A622" s="32"/>
      <c r="B622" s="32"/>
    </row>
    <row r="623">
      <c r="A623" s="32"/>
      <c r="B623" s="32"/>
    </row>
    <row r="624">
      <c r="A624" s="32"/>
      <c r="B624" s="32"/>
    </row>
    <row r="625">
      <c r="A625" s="32"/>
      <c r="B625" s="32"/>
    </row>
    <row r="626">
      <c r="A626" s="32"/>
      <c r="B626" s="32"/>
    </row>
    <row r="627">
      <c r="A627" s="32"/>
      <c r="B627" s="32"/>
    </row>
    <row r="628">
      <c r="A628" s="32"/>
      <c r="B628" s="32"/>
    </row>
    <row r="629">
      <c r="A629" s="32"/>
      <c r="B629" s="32"/>
    </row>
    <row r="630">
      <c r="A630" s="32"/>
      <c r="B630" s="32"/>
    </row>
    <row r="631">
      <c r="A631" s="32"/>
      <c r="B631" s="32"/>
    </row>
    <row r="632">
      <c r="A632" s="32"/>
      <c r="B632" s="32"/>
    </row>
    <row r="633">
      <c r="A633" s="32"/>
      <c r="B633" s="32"/>
    </row>
    <row r="634">
      <c r="A634" s="32"/>
      <c r="B634" s="32"/>
    </row>
    <row r="635">
      <c r="A635" s="32"/>
      <c r="B635" s="32"/>
    </row>
    <row r="636">
      <c r="A636" s="32"/>
      <c r="B636" s="32"/>
    </row>
    <row r="637">
      <c r="A637" s="32"/>
      <c r="B637" s="32"/>
    </row>
    <row r="638">
      <c r="A638" s="32"/>
      <c r="B638" s="32"/>
    </row>
    <row r="639">
      <c r="A639" s="32"/>
      <c r="B639" s="32"/>
    </row>
    <row r="640">
      <c r="A640" s="32"/>
      <c r="B640" s="32"/>
    </row>
    <row r="641">
      <c r="A641" s="32"/>
      <c r="B641" s="32"/>
    </row>
    <row r="642">
      <c r="A642" s="32"/>
      <c r="B642" s="32"/>
    </row>
    <row r="643">
      <c r="A643" s="32"/>
      <c r="B643" s="32"/>
    </row>
    <row r="644">
      <c r="A644" s="32"/>
      <c r="B644" s="32"/>
    </row>
    <row r="645">
      <c r="A645" s="32"/>
      <c r="B645" s="32"/>
    </row>
    <row r="646">
      <c r="A646" s="32"/>
      <c r="B646" s="32"/>
    </row>
    <row r="647">
      <c r="A647" s="32"/>
      <c r="B647" s="32"/>
    </row>
    <row r="648">
      <c r="A648" s="32"/>
      <c r="B648" s="32"/>
    </row>
    <row r="649">
      <c r="A649" s="32"/>
      <c r="B649" s="32"/>
    </row>
    <row r="650">
      <c r="A650" s="32"/>
      <c r="B650" s="32"/>
    </row>
    <row r="651">
      <c r="A651" s="32"/>
      <c r="B651" s="32"/>
    </row>
    <row r="652">
      <c r="A652" s="32"/>
      <c r="B652" s="32"/>
    </row>
    <row r="653">
      <c r="A653" s="32"/>
      <c r="B653" s="32"/>
    </row>
    <row r="654">
      <c r="A654" s="32"/>
      <c r="B654" s="32"/>
    </row>
    <row r="655">
      <c r="A655" s="32"/>
      <c r="B655" s="32"/>
    </row>
    <row r="656">
      <c r="A656" s="32"/>
      <c r="B656" s="32"/>
    </row>
    <row r="657">
      <c r="A657" s="32"/>
      <c r="B657" s="32"/>
    </row>
    <row r="658">
      <c r="A658" s="32"/>
      <c r="B658" s="32"/>
    </row>
    <row r="659">
      <c r="A659" s="32"/>
      <c r="B659" s="32"/>
    </row>
    <row r="660">
      <c r="A660" s="32"/>
      <c r="B660" s="32"/>
    </row>
    <row r="661">
      <c r="A661" s="32"/>
      <c r="B661" s="32"/>
    </row>
    <row r="662">
      <c r="A662" s="32"/>
      <c r="B662" s="32"/>
    </row>
    <row r="663">
      <c r="A663" s="32"/>
      <c r="B663" s="32"/>
    </row>
    <row r="664">
      <c r="A664" s="32"/>
      <c r="B664" s="32"/>
    </row>
    <row r="665">
      <c r="A665" s="32"/>
      <c r="B665" s="32"/>
    </row>
    <row r="666">
      <c r="A666" s="32"/>
      <c r="B666" s="32"/>
    </row>
    <row r="667">
      <c r="A667" s="32"/>
      <c r="B667" s="32"/>
    </row>
    <row r="668">
      <c r="A668" s="32"/>
      <c r="B668" s="32"/>
    </row>
    <row r="669">
      <c r="A669" s="32"/>
      <c r="B669" s="32"/>
    </row>
    <row r="670">
      <c r="A670" s="32"/>
      <c r="B670" s="32"/>
    </row>
    <row r="671">
      <c r="A671" s="32"/>
      <c r="B671" s="32"/>
    </row>
    <row r="672">
      <c r="A672" s="32"/>
      <c r="B672" s="32"/>
    </row>
    <row r="673">
      <c r="A673" s="32"/>
      <c r="B673" s="32"/>
    </row>
    <row r="674">
      <c r="A674" s="32"/>
      <c r="B674" s="32"/>
    </row>
    <row r="675">
      <c r="A675" s="32"/>
      <c r="B675" s="32"/>
    </row>
    <row r="676">
      <c r="A676" s="32"/>
      <c r="B676" s="32"/>
    </row>
    <row r="677">
      <c r="A677" s="32"/>
      <c r="B677" s="32"/>
    </row>
    <row r="678">
      <c r="A678" s="32"/>
      <c r="B678" s="32"/>
    </row>
    <row r="679">
      <c r="A679" s="32"/>
      <c r="B679" s="32"/>
    </row>
    <row r="680">
      <c r="A680" s="32"/>
      <c r="B680" s="32"/>
    </row>
    <row r="681">
      <c r="A681" s="32"/>
      <c r="B681" s="32"/>
    </row>
    <row r="682">
      <c r="A682" s="32"/>
      <c r="B682" s="32"/>
    </row>
    <row r="683">
      <c r="A683" s="32"/>
      <c r="B683" s="32"/>
    </row>
    <row r="684">
      <c r="A684" s="32"/>
      <c r="B684" s="32"/>
    </row>
    <row r="685">
      <c r="A685" s="32"/>
      <c r="B685" s="32"/>
    </row>
    <row r="686">
      <c r="A686" s="32"/>
      <c r="B686" s="32"/>
    </row>
    <row r="687">
      <c r="A687" s="32"/>
      <c r="B687" s="32"/>
    </row>
    <row r="688">
      <c r="A688" s="32"/>
      <c r="B688" s="32"/>
    </row>
    <row r="689">
      <c r="A689" s="32"/>
      <c r="B689" s="32"/>
    </row>
    <row r="690">
      <c r="A690" s="32"/>
      <c r="B690" s="32"/>
    </row>
    <row r="691">
      <c r="A691" s="32"/>
      <c r="B691" s="32"/>
    </row>
    <row r="692">
      <c r="A692" s="32"/>
      <c r="B692" s="32"/>
    </row>
    <row r="693">
      <c r="A693" s="32"/>
      <c r="B693" s="32"/>
    </row>
    <row r="694">
      <c r="A694" s="32"/>
      <c r="B694" s="32"/>
    </row>
    <row r="695">
      <c r="A695" s="32"/>
      <c r="B695" s="32"/>
    </row>
    <row r="696">
      <c r="A696" s="32"/>
      <c r="B696" s="32"/>
    </row>
    <row r="697">
      <c r="A697" s="32"/>
      <c r="B697" s="32"/>
    </row>
    <row r="698">
      <c r="A698" s="32"/>
      <c r="B698" s="32"/>
    </row>
    <row r="699">
      <c r="A699" s="32"/>
      <c r="B699" s="32"/>
    </row>
    <row r="700">
      <c r="A700" s="32"/>
      <c r="B700" s="32"/>
    </row>
    <row r="701">
      <c r="A701" s="32"/>
      <c r="B701" s="32"/>
    </row>
    <row r="702">
      <c r="A702" s="32"/>
      <c r="B702" s="32"/>
    </row>
    <row r="703">
      <c r="A703" s="32"/>
      <c r="B703" s="32"/>
    </row>
    <row r="704">
      <c r="A704" s="32"/>
      <c r="B704" s="32"/>
    </row>
    <row r="705">
      <c r="A705" s="32"/>
      <c r="B705" s="32"/>
    </row>
    <row r="706">
      <c r="A706" s="32"/>
      <c r="B706" s="32"/>
    </row>
    <row r="707">
      <c r="A707" s="32"/>
      <c r="B707" s="32"/>
    </row>
    <row r="708">
      <c r="A708" s="32"/>
      <c r="B708" s="32"/>
    </row>
    <row r="709">
      <c r="A709" s="32"/>
      <c r="B709" s="32"/>
    </row>
    <row r="710">
      <c r="A710" s="32"/>
      <c r="B710" s="32"/>
    </row>
    <row r="711">
      <c r="A711" s="32"/>
      <c r="B711" s="32"/>
    </row>
    <row r="712">
      <c r="A712" s="32"/>
      <c r="B712" s="32"/>
    </row>
    <row r="713">
      <c r="A713" s="32"/>
      <c r="B713" s="32"/>
    </row>
    <row r="714">
      <c r="A714" s="32"/>
      <c r="B714" s="32"/>
    </row>
    <row r="715">
      <c r="A715" s="32"/>
      <c r="B715" s="32"/>
    </row>
    <row r="716">
      <c r="A716" s="32"/>
      <c r="B716" s="32"/>
    </row>
    <row r="717">
      <c r="A717" s="32"/>
      <c r="B717" s="32"/>
    </row>
    <row r="718">
      <c r="A718" s="32"/>
      <c r="B718" s="32"/>
    </row>
    <row r="719">
      <c r="A719" s="32"/>
      <c r="B719" s="32"/>
    </row>
    <row r="720">
      <c r="A720" s="32"/>
      <c r="B720" s="32"/>
    </row>
    <row r="721">
      <c r="A721" s="32"/>
      <c r="B721" s="32"/>
    </row>
    <row r="722">
      <c r="A722" s="32"/>
      <c r="B722" s="32"/>
    </row>
    <row r="723">
      <c r="A723" s="32"/>
      <c r="B723" s="32"/>
    </row>
    <row r="724">
      <c r="A724" s="32"/>
      <c r="B724" s="32"/>
    </row>
    <row r="725">
      <c r="A725" s="32"/>
      <c r="B725" s="32"/>
    </row>
    <row r="726">
      <c r="A726" s="32"/>
      <c r="B726" s="32"/>
    </row>
    <row r="727">
      <c r="A727" s="32"/>
      <c r="B727" s="32"/>
    </row>
    <row r="728">
      <c r="A728" s="32"/>
      <c r="B728" s="32"/>
    </row>
    <row r="729">
      <c r="A729" s="32"/>
      <c r="B729" s="32"/>
    </row>
    <row r="730">
      <c r="A730" s="32"/>
      <c r="B730" s="32"/>
    </row>
    <row r="731">
      <c r="A731" s="32"/>
      <c r="B731" s="32"/>
    </row>
    <row r="732">
      <c r="A732" s="32"/>
      <c r="B732" s="32"/>
    </row>
    <row r="733">
      <c r="A733" s="32"/>
      <c r="B733" s="32"/>
    </row>
    <row r="734">
      <c r="A734" s="32"/>
      <c r="B734" s="32"/>
    </row>
    <row r="735">
      <c r="A735" s="32"/>
      <c r="B735" s="32"/>
    </row>
    <row r="736">
      <c r="A736" s="32"/>
      <c r="B736" s="32"/>
    </row>
    <row r="737">
      <c r="A737" s="32"/>
      <c r="B737" s="32"/>
    </row>
    <row r="738">
      <c r="A738" s="32"/>
      <c r="B738" s="32"/>
    </row>
    <row r="739">
      <c r="A739" s="32"/>
      <c r="B739" s="32"/>
    </row>
    <row r="740">
      <c r="A740" s="32"/>
      <c r="B740" s="32"/>
    </row>
    <row r="741">
      <c r="A741" s="32"/>
      <c r="B741" s="32"/>
    </row>
    <row r="742">
      <c r="A742" s="32"/>
      <c r="B742" s="32"/>
    </row>
    <row r="743">
      <c r="A743" s="32"/>
      <c r="B743" s="32"/>
    </row>
    <row r="744">
      <c r="A744" s="32"/>
      <c r="B744" s="32"/>
    </row>
    <row r="745">
      <c r="A745" s="32"/>
      <c r="B745" s="32"/>
    </row>
    <row r="746">
      <c r="A746" s="32"/>
      <c r="B746" s="32"/>
    </row>
    <row r="747">
      <c r="A747" s="32"/>
      <c r="B747" s="32"/>
    </row>
    <row r="748">
      <c r="A748" s="32"/>
      <c r="B748" s="32"/>
    </row>
    <row r="749">
      <c r="A749" s="32"/>
      <c r="B749" s="32"/>
    </row>
    <row r="750">
      <c r="A750" s="32"/>
      <c r="B750" s="32"/>
    </row>
    <row r="751">
      <c r="A751" s="32"/>
      <c r="B751" s="32"/>
    </row>
    <row r="752">
      <c r="A752" s="32"/>
      <c r="B752" s="32"/>
    </row>
    <row r="753">
      <c r="A753" s="32"/>
      <c r="B753" s="32"/>
    </row>
    <row r="754">
      <c r="A754" s="32"/>
      <c r="B754" s="32"/>
    </row>
    <row r="755">
      <c r="A755" s="32"/>
      <c r="B755" s="32"/>
    </row>
    <row r="756">
      <c r="A756" s="32"/>
      <c r="B756" s="32"/>
    </row>
    <row r="757">
      <c r="A757" s="32"/>
      <c r="B757" s="32"/>
    </row>
    <row r="758">
      <c r="A758" s="32"/>
      <c r="B758" s="32"/>
    </row>
    <row r="759">
      <c r="A759" s="32"/>
      <c r="B759" s="32"/>
    </row>
    <row r="760">
      <c r="A760" s="32"/>
      <c r="B760" s="32"/>
    </row>
    <row r="761">
      <c r="A761" s="32"/>
      <c r="B761" s="32"/>
    </row>
    <row r="762">
      <c r="A762" s="32"/>
      <c r="B762" s="32"/>
    </row>
    <row r="763">
      <c r="A763" s="32"/>
      <c r="B763" s="32"/>
    </row>
    <row r="764">
      <c r="A764" s="32"/>
      <c r="B764" s="32"/>
    </row>
    <row r="765">
      <c r="A765" s="32"/>
      <c r="B765" s="32"/>
    </row>
    <row r="766">
      <c r="A766" s="32"/>
      <c r="B766" s="32"/>
    </row>
    <row r="767">
      <c r="A767" s="32"/>
      <c r="B767" s="32"/>
    </row>
    <row r="768">
      <c r="A768" s="32"/>
      <c r="B768" s="32"/>
    </row>
    <row r="769">
      <c r="A769" s="32"/>
      <c r="B769" s="32"/>
    </row>
    <row r="770">
      <c r="A770" s="32"/>
      <c r="B770" s="32"/>
    </row>
    <row r="771">
      <c r="A771" s="32"/>
      <c r="B771" s="32"/>
    </row>
    <row r="772">
      <c r="A772" s="32"/>
      <c r="B772" s="32"/>
    </row>
    <row r="773">
      <c r="A773" s="32"/>
      <c r="B773" s="32"/>
    </row>
    <row r="774">
      <c r="A774" s="32"/>
      <c r="B774" s="32"/>
    </row>
    <row r="775">
      <c r="A775" s="32"/>
      <c r="B775" s="32"/>
    </row>
    <row r="776">
      <c r="A776" s="32"/>
      <c r="B776" s="32"/>
    </row>
    <row r="777">
      <c r="A777" s="32"/>
      <c r="B777" s="32"/>
    </row>
    <row r="778">
      <c r="A778" s="32"/>
      <c r="B778" s="32"/>
    </row>
    <row r="779">
      <c r="A779" s="32"/>
      <c r="B779" s="32"/>
    </row>
    <row r="780">
      <c r="A780" s="32"/>
      <c r="B780" s="32"/>
    </row>
    <row r="781">
      <c r="A781" s="32"/>
      <c r="B781" s="32"/>
    </row>
    <row r="782">
      <c r="A782" s="32"/>
      <c r="B782" s="32"/>
    </row>
    <row r="783">
      <c r="A783" s="32"/>
      <c r="B783" s="32"/>
    </row>
    <row r="784">
      <c r="A784" s="32"/>
      <c r="B784" s="32"/>
    </row>
    <row r="785">
      <c r="A785" s="32"/>
      <c r="B785" s="32"/>
    </row>
    <row r="786">
      <c r="A786" s="32"/>
      <c r="B786" s="32"/>
    </row>
    <row r="787">
      <c r="A787" s="32"/>
      <c r="B787" s="32"/>
    </row>
    <row r="788">
      <c r="A788" s="32"/>
      <c r="B788" s="32"/>
    </row>
    <row r="789">
      <c r="A789" s="32"/>
      <c r="B789" s="32"/>
    </row>
    <row r="790">
      <c r="A790" s="32"/>
      <c r="B790" s="32"/>
    </row>
    <row r="791">
      <c r="A791" s="32"/>
      <c r="B791" s="32"/>
    </row>
    <row r="792">
      <c r="A792" s="32"/>
      <c r="B792" s="32"/>
    </row>
    <row r="793">
      <c r="A793" s="32"/>
      <c r="B793" s="32"/>
    </row>
    <row r="794">
      <c r="A794" s="32"/>
      <c r="B794" s="32"/>
    </row>
    <row r="795">
      <c r="A795" s="32"/>
      <c r="B795" s="32"/>
    </row>
    <row r="796">
      <c r="A796" s="32"/>
      <c r="B796" s="32"/>
    </row>
    <row r="797">
      <c r="A797" s="32"/>
      <c r="B797" s="32"/>
    </row>
    <row r="798">
      <c r="A798" s="32"/>
      <c r="B798" s="32"/>
    </row>
    <row r="799">
      <c r="A799" s="32"/>
      <c r="B799" s="32"/>
    </row>
    <row r="800">
      <c r="A800" s="32"/>
      <c r="B800" s="32"/>
    </row>
    <row r="801">
      <c r="A801" s="32"/>
      <c r="B801" s="32"/>
    </row>
    <row r="802">
      <c r="A802" s="32"/>
      <c r="B802" s="32"/>
    </row>
    <row r="803">
      <c r="A803" s="32"/>
      <c r="B803" s="32"/>
    </row>
    <row r="804">
      <c r="A804" s="32"/>
      <c r="B804" s="32"/>
    </row>
    <row r="805">
      <c r="A805" s="32"/>
      <c r="B805" s="32"/>
    </row>
    <row r="806">
      <c r="A806" s="32"/>
      <c r="B806" s="32"/>
    </row>
    <row r="807">
      <c r="A807" s="32"/>
      <c r="B807" s="32"/>
    </row>
    <row r="808">
      <c r="A808" s="32"/>
      <c r="B808" s="32"/>
    </row>
    <row r="809">
      <c r="A809" s="32"/>
      <c r="B809" s="32"/>
    </row>
    <row r="810">
      <c r="A810" s="32"/>
      <c r="B810" s="32"/>
    </row>
    <row r="811">
      <c r="A811" s="32"/>
      <c r="B811" s="32"/>
    </row>
    <row r="812">
      <c r="A812" s="32"/>
      <c r="B812" s="32"/>
    </row>
    <row r="813">
      <c r="A813" s="32"/>
      <c r="B813" s="32"/>
    </row>
    <row r="814">
      <c r="A814" s="32"/>
      <c r="B814" s="32"/>
    </row>
    <row r="815">
      <c r="A815" s="32"/>
      <c r="B815" s="32"/>
    </row>
    <row r="816">
      <c r="A816" s="32"/>
      <c r="B816" s="32"/>
    </row>
    <row r="817">
      <c r="A817" s="32"/>
      <c r="B817" s="32"/>
    </row>
    <row r="818">
      <c r="A818" s="32"/>
      <c r="B818" s="32"/>
    </row>
    <row r="819">
      <c r="A819" s="32"/>
      <c r="B819" s="32"/>
    </row>
    <row r="820">
      <c r="A820" s="32"/>
      <c r="B820" s="32"/>
    </row>
    <row r="821">
      <c r="A821" s="32"/>
      <c r="B821" s="32"/>
    </row>
    <row r="822">
      <c r="A822" s="32"/>
      <c r="B822" s="32"/>
    </row>
    <row r="823">
      <c r="A823" s="32"/>
      <c r="B823" s="32"/>
    </row>
    <row r="824">
      <c r="A824" s="32"/>
      <c r="B824" s="32"/>
    </row>
    <row r="825">
      <c r="A825" s="32"/>
      <c r="B825" s="32"/>
    </row>
    <row r="826">
      <c r="A826" s="32"/>
      <c r="B826" s="32"/>
    </row>
    <row r="827">
      <c r="A827" s="32"/>
      <c r="B827" s="32"/>
    </row>
    <row r="828">
      <c r="A828" s="32"/>
      <c r="B828" s="32"/>
    </row>
    <row r="829">
      <c r="A829" s="32"/>
      <c r="B829" s="32"/>
    </row>
    <row r="830">
      <c r="A830" s="32"/>
      <c r="B830" s="32"/>
    </row>
    <row r="831">
      <c r="A831" s="32"/>
      <c r="B831" s="32"/>
    </row>
    <row r="832">
      <c r="A832" s="32"/>
      <c r="B832" s="32"/>
    </row>
    <row r="833">
      <c r="A833" s="32"/>
      <c r="B833" s="32"/>
    </row>
    <row r="834">
      <c r="A834" s="32"/>
      <c r="B834" s="32"/>
    </row>
    <row r="835">
      <c r="A835" s="32"/>
      <c r="B835" s="32"/>
    </row>
    <row r="836">
      <c r="A836" s="32"/>
      <c r="B836" s="32"/>
    </row>
    <row r="837">
      <c r="A837" s="32"/>
      <c r="B837" s="32"/>
    </row>
    <row r="838">
      <c r="A838" s="32"/>
      <c r="B838" s="32"/>
    </row>
    <row r="839">
      <c r="A839" s="32"/>
      <c r="B839" s="32"/>
    </row>
    <row r="840">
      <c r="A840" s="32"/>
      <c r="B840" s="32"/>
    </row>
    <row r="841">
      <c r="A841" s="32"/>
      <c r="B841" s="32"/>
    </row>
    <row r="842">
      <c r="A842" s="32"/>
      <c r="B842" s="32"/>
    </row>
    <row r="843">
      <c r="A843" s="32"/>
      <c r="B843" s="32"/>
    </row>
    <row r="844">
      <c r="A844" s="32"/>
      <c r="B844" s="32"/>
    </row>
    <row r="845">
      <c r="A845" s="32"/>
      <c r="B845" s="32"/>
    </row>
    <row r="846">
      <c r="A846" s="32"/>
      <c r="B846" s="32"/>
    </row>
    <row r="847">
      <c r="A847" s="32"/>
      <c r="B847" s="32"/>
    </row>
    <row r="848">
      <c r="A848" s="32"/>
      <c r="B848" s="32"/>
    </row>
    <row r="849">
      <c r="A849" s="32"/>
      <c r="B849" s="32"/>
    </row>
    <row r="850">
      <c r="A850" s="32"/>
      <c r="B850" s="32"/>
    </row>
    <row r="851">
      <c r="A851" s="32"/>
      <c r="B851" s="32"/>
    </row>
    <row r="852">
      <c r="A852" s="32"/>
      <c r="B852" s="32"/>
    </row>
    <row r="853">
      <c r="A853" s="32"/>
      <c r="B853" s="32"/>
    </row>
    <row r="854">
      <c r="A854" s="32"/>
      <c r="B854" s="32"/>
    </row>
    <row r="855">
      <c r="A855" s="32"/>
      <c r="B855" s="32"/>
    </row>
    <row r="856">
      <c r="A856" s="32"/>
      <c r="B856" s="32"/>
    </row>
    <row r="857">
      <c r="A857" s="32"/>
      <c r="B857" s="32"/>
    </row>
    <row r="858">
      <c r="A858" s="32"/>
      <c r="B858" s="32"/>
    </row>
    <row r="859">
      <c r="A859" s="32"/>
      <c r="B859" s="32"/>
    </row>
    <row r="860">
      <c r="A860" s="32"/>
      <c r="B860" s="32"/>
    </row>
    <row r="861">
      <c r="A861" s="32"/>
      <c r="B861" s="32"/>
    </row>
    <row r="862">
      <c r="A862" s="32"/>
      <c r="B862" s="32"/>
    </row>
    <row r="863">
      <c r="A863" s="32"/>
      <c r="B863" s="32"/>
    </row>
    <row r="864">
      <c r="A864" s="32"/>
      <c r="B864" s="32"/>
    </row>
    <row r="865">
      <c r="A865" s="32"/>
      <c r="B865" s="32"/>
    </row>
    <row r="866">
      <c r="A866" s="32"/>
      <c r="B866" s="32"/>
    </row>
    <row r="867">
      <c r="A867" s="32"/>
      <c r="B867" s="32"/>
    </row>
    <row r="868">
      <c r="A868" s="32"/>
      <c r="B868" s="32"/>
    </row>
    <row r="869">
      <c r="A869" s="32"/>
      <c r="B869" s="32"/>
    </row>
    <row r="870">
      <c r="A870" s="32"/>
      <c r="B870" s="32"/>
    </row>
    <row r="871">
      <c r="A871" s="32"/>
      <c r="B871" s="32"/>
    </row>
    <row r="872">
      <c r="A872" s="32"/>
      <c r="B872" s="32"/>
    </row>
    <row r="873">
      <c r="A873" s="32"/>
      <c r="B873" s="32"/>
    </row>
    <row r="874">
      <c r="A874" s="32"/>
      <c r="B874" s="32"/>
    </row>
    <row r="875">
      <c r="A875" s="32"/>
      <c r="B875" s="32"/>
    </row>
    <row r="876">
      <c r="A876" s="32"/>
      <c r="B876" s="32"/>
    </row>
    <row r="877">
      <c r="A877" s="32"/>
      <c r="B877" s="32"/>
    </row>
    <row r="878">
      <c r="A878" s="32"/>
      <c r="B878" s="32"/>
    </row>
    <row r="879">
      <c r="A879" s="32"/>
      <c r="B879" s="32"/>
    </row>
    <row r="880">
      <c r="A880" s="32"/>
      <c r="B880" s="32"/>
    </row>
    <row r="881">
      <c r="A881" s="32"/>
      <c r="B881" s="32"/>
    </row>
    <row r="882">
      <c r="A882" s="32"/>
      <c r="B882" s="32"/>
    </row>
    <row r="883">
      <c r="A883" s="32"/>
      <c r="B883" s="32"/>
    </row>
    <row r="884">
      <c r="A884" s="32"/>
      <c r="B884" s="32"/>
    </row>
    <row r="885">
      <c r="A885" s="32"/>
      <c r="B885" s="32"/>
    </row>
    <row r="886">
      <c r="A886" s="32"/>
      <c r="B886" s="32"/>
    </row>
    <row r="887">
      <c r="A887" s="32"/>
      <c r="B887" s="32"/>
    </row>
    <row r="888">
      <c r="A888" s="32"/>
      <c r="B888" s="32"/>
    </row>
    <row r="889">
      <c r="A889" s="32"/>
      <c r="B889" s="32"/>
    </row>
    <row r="890">
      <c r="A890" s="32"/>
      <c r="B890" s="32"/>
    </row>
    <row r="891">
      <c r="A891" s="32"/>
      <c r="B891" s="32"/>
    </row>
    <row r="892">
      <c r="A892" s="32"/>
      <c r="B892" s="32"/>
    </row>
    <row r="893">
      <c r="A893" s="32"/>
      <c r="B893" s="32"/>
    </row>
    <row r="894">
      <c r="A894" s="32"/>
      <c r="B894" s="32"/>
    </row>
    <row r="895">
      <c r="A895" s="32"/>
      <c r="B895" s="32"/>
    </row>
    <row r="896">
      <c r="A896" s="32"/>
      <c r="B896" s="32"/>
    </row>
    <row r="897">
      <c r="A897" s="32"/>
      <c r="B897" s="32"/>
    </row>
    <row r="898">
      <c r="A898" s="32"/>
      <c r="B898" s="32"/>
    </row>
    <row r="899">
      <c r="A899" s="32"/>
      <c r="B899" s="32"/>
    </row>
    <row r="900">
      <c r="A900" s="32"/>
      <c r="B900" s="32"/>
    </row>
    <row r="901">
      <c r="A901" s="32"/>
      <c r="B901" s="32"/>
    </row>
    <row r="902">
      <c r="A902" s="32"/>
      <c r="B902" s="32"/>
    </row>
    <row r="903">
      <c r="A903" s="32"/>
      <c r="B903" s="32"/>
    </row>
    <row r="904">
      <c r="A904" s="32"/>
      <c r="B904" s="32"/>
    </row>
    <row r="905">
      <c r="A905" s="32"/>
      <c r="B905" s="32"/>
    </row>
    <row r="906">
      <c r="A906" s="32"/>
      <c r="B906" s="32"/>
    </row>
    <row r="907">
      <c r="A907" s="32"/>
      <c r="B907" s="32"/>
    </row>
    <row r="908">
      <c r="A908" s="32"/>
      <c r="B908" s="32"/>
    </row>
    <row r="909">
      <c r="A909" s="32"/>
      <c r="B909" s="32"/>
    </row>
    <row r="910">
      <c r="A910" s="32"/>
      <c r="B910" s="32"/>
    </row>
    <row r="911">
      <c r="A911" s="32"/>
      <c r="B911" s="32"/>
    </row>
    <row r="912">
      <c r="A912" s="32"/>
      <c r="B912" s="32"/>
    </row>
    <row r="913">
      <c r="A913" s="32"/>
      <c r="B913" s="32"/>
    </row>
    <row r="914">
      <c r="A914" s="32"/>
      <c r="B914" s="32"/>
    </row>
    <row r="915">
      <c r="A915" s="32"/>
      <c r="B915" s="32"/>
    </row>
    <row r="916">
      <c r="A916" s="32"/>
      <c r="B916" s="32"/>
    </row>
    <row r="917">
      <c r="A917" s="32"/>
      <c r="B917" s="32"/>
    </row>
    <row r="918">
      <c r="A918" s="32"/>
      <c r="B918" s="32"/>
    </row>
    <row r="919">
      <c r="A919" s="32"/>
      <c r="B919" s="32"/>
    </row>
    <row r="920">
      <c r="A920" s="32"/>
      <c r="B920" s="32"/>
    </row>
    <row r="921">
      <c r="A921" s="32"/>
      <c r="B921" s="32"/>
    </row>
    <row r="922">
      <c r="A922" s="32"/>
      <c r="B922" s="32"/>
    </row>
    <row r="923">
      <c r="A923" s="32"/>
      <c r="B923" s="32"/>
    </row>
    <row r="924">
      <c r="A924" s="32"/>
      <c r="B924" s="32"/>
    </row>
    <row r="925">
      <c r="A925" s="32"/>
      <c r="B925" s="32"/>
    </row>
    <row r="926">
      <c r="A926" s="32"/>
      <c r="B926" s="32"/>
    </row>
    <row r="927">
      <c r="A927" s="32"/>
      <c r="B927" s="32"/>
    </row>
    <row r="928">
      <c r="A928" s="32"/>
      <c r="B928" s="32"/>
    </row>
    <row r="929">
      <c r="A929" s="32"/>
      <c r="B929" s="32"/>
    </row>
    <row r="930">
      <c r="A930" s="32"/>
      <c r="B930" s="32"/>
    </row>
    <row r="931">
      <c r="A931" s="32"/>
      <c r="B931" s="32"/>
    </row>
    <row r="932">
      <c r="A932" s="32"/>
      <c r="B932" s="32"/>
    </row>
    <row r="933">
      <c r="A933" s="32"/>
      <c r="B933" s="32"/>
    </row>
    <row r="934">
      <c r="A934" s="32"/>
      <c r="B934" s="32"/>
    </row>
    <row r="935">
      <c r="A935" s="32"/>
      <c r="B935" s="32"/>
    </row>
    <row r="936">
      <c r="A936" s="32"/>
      <c r="B936" s="32"/>
    </row>
    <row r="937">
      <c r="A937" s="32"/>
      <c r="B937" s="32"/>
    </row>
    <row r="938">
      <c r="A938" s="32"/>
      <c r="B938" s="32"/>
    </row>
    <row r="939">
      <c r="A939" s="32"/>
      <c r="B939" s="32"/>
    </row>
    <row r="940">
      <c r="A940" s="32"/>
      <c r="B940" s="32"/>
    </row>
    <row r="941">
      <c r="A941" s="32"/>
      <c r="B941" s="32"/>
    </row>
    <row r="942">
      <c r="A942" s="32"/>
      <c r="B942" s="32"/>
    </row>
    <row r="943">
      <c r="A943" s="32"/>
      <c r="B943" s="32"/>
    </row>
    <row r="944">
      <c r="A944" s="32"/>
      <c r="B944" s="32"/>
    </row>
    <row r="945">
      <c r="A945" s="32"/>
      <c r="B945" s="32"/>
    </row>
    <row r="946">
      <c r="A946" s="32"/>
      <c r="B946" s="32"/>
    </row>
    <row r="947">
      <c r="A947" s="32"/>
      <c r="B947" s="32"/>
    </row>
    <row r="948">
      <c r="A948" s="32"/>
      <c r="B948" s="32"/>
    </row>
    <row r="949">
      <c r="A949" s="32"/>
      <c r="B949" s="32"/>
    </row>
    <row r="950">
      <c r="A950" s="32"/>
      <c r="B950" s="32"/>
    </row>
    <row r="951">
      <c r="A951" s="32"/>
      <c r="B951" s="32"/>
    </row>
    <row r="952">
      <c r="A952" s="32"/>
      <c r="B952" s="32"/>
    </row>
    <row r="953">
      <c r="A953" s="32"/>
      <c r="B953" s="32"/>
    </row>
    <row r="954">
      <c r="A954" s="32"/>
      <c r="B954" s="32"/>
    </row>
    <row r="955">
      <c r="A955" s="32"/>
      <c r="B955" s="32"/>
    </row>
    <row r="956">
      <c r="A956" s="32"/>
      <c r="B956" s="32"/>
    </row>
    <row r="957">
      <c r="A957" s="32"/>
      <c r="B957" s="32"/>
    </row>
    <row r="958">
      <c r="A958" s="32"/>
      <c r="B958" s="32"/>
    </row>
    <row r="959">
      <c r="A959" s="32"/>
      <c r="B959" s="32"/>
    </row>
    <row r="960">
      <c r="A960" s="32"/>
      <c r="B960" s="32"/>
    </row>
    <row r="961">
      <c r="A961" s="32"/>
      <c r="B961" s="32"/>
    </row>
    <row r="962">
      <c r="A962" s="32"/>
      <c r="B962" s="32"/>
    </row>
    <row r="963">
      <c r="A963" s="32"/>
      <c r="B963" s="32"/>
    </row>
    <row r="964">
      <c r="A964" s="32"/>
      <c r="B964" s="32"/>
    </row>
    <row r="965">
      <c r="A965" s="32"/>
      <c r="B965" s="32"/>
    </row>
    <row r="966">
      <c r="A966" s="32"/>
      <c r="B966" s="32"/>
    </row>
    <row r="967">
      <c r="A967" s="32"/>
      <c r="B967" s="32"/>
    </row>
    <row r="968">
      <c r="A968" s="32"/>
      <c r="B968" s="32"/>
    </row>
    <row r="969">
      <c r="A969" s="32"/>
      <c r="B969" s="32"/>
    </row>
    <row r="970">
      <c r="A970" s="32"/>
      <c r="B970" s="32"/>
    </row>
    <row r="971">
      <c r="A971" s="32"/>
      <c r="B971" s="32"/>
    </row>
    <row r="972">
      <c r="A972" s="32"/>
      <c r="B972" s="32"/>
    </row>
    <row r="973">
      <c r="A973" s="32"/>
      <c r="B973" s="32"/>
    </row>
    <row r="974">
      <c r="A974" s="32"/>
      <c r="B974" s="32"/>
    </row>
    <row r="975">
      <c r="A975" s="32"/>
      <c r="B975" s="32"/>
    </row>
    <row r="976">
      <c r="A976" s="32"/>
      <c r="B976" s="32"/>
    </row>
    <row r="977">
      <c r="A977" s="32"/>
      <c r="B977" s="32"/>
    </row>
    <row r="978">
      <c r="A978" s="32"/>
      <c r="B978" s="32"/>
    </row>
    <row r="979">
      <c r="A979" s="32"/>
      <c r="B979" s="32"/>
    </row>
    <row r="980">
      <c r="A980" s="32"/>
      <c r="B980" s="32"/>
    </row>
    <row r="981">
      <c r="A981" s="32"/>
      <c r="B981" s="32"/>
    </row>
    <row r="982">
      <c r="A982" s="32"/>
      <c r="B982" s="32"/>
    </row>
    <row r="983">
      <c r="A983" s="32"/>
      <c r="B983" s="32"/>
    </row>
    <row r="984">
      <c r="A984" s="32"/>
      <c r="B984" s="32"/>
    </row>
    <row r="985">
      <c r="A985" s="32"/>
      <c r="B985" s="32"/>
    </row>
    <row r="986">
      <c r="A986" s="32"/>
      <c r="B986" s="32"/>
    </row>
    <row r="987">
      <c r="A987" s="32"/>
      <c r="B987" s="32"/>
    </row>
    <row r="988">
      <c r="A988" s="32"/>
      <c r="B988" s="32"/>
    </row>
    <row r="989">
      <c r="A989" s="32"/>
      <c r="B989" s="32"/>
    </row>
    <row r="990">
      <c r="A990" s="32"/>
      <c r="B990" s="32"/>
    </row>
  </sheetData>
  <hyperlinks>
    <hyperlink r:id="rId1" ref="B2"/>
    <hyperlink r:id="rId2" ref="B8"/>
    <hyperlink r:id="rId3" location="fusao-de-helds" ref="B10"/>
    <hyperlink r:id="rId4" ref="B22"/>
    <hyperlink r:id="rId5" ref="B31"/>
    <hyperlink r:id="rId6" ref="B33"/>
    <hyperlink r:id="rId7" ref="B42"/>
    <hyperlink r:id="rId8" ref="B43"/>
    <hyperlink r:id="rId9" ref="B54"/>
    <hyperlink r:id="rId10" ref="B56"/>
    <hyperlink r:id="rId11" ref="B62"/>
    <hyperlink r:id="rId12" ref="B63"/>
    <hyperlink r:id="rId13" ref="B68"/>
    <hyperlink r:id="rId14" ref="B69"/>
    <hyperlink r:id="rId15" ref="B79"/>
    <hyperlink r:id="rId16" ref="B87"/>
    <hyperlink r:id="rId17" ref="B95"/>
    <hyperlink r:id="rId18" ref="B98"/>
    <hyperlink r:id="rId19" ref="B100"/>
    <hyperlink r:id="rId20" ref="B102"/>
    <hyperlink r:id="rId21" ref="B103"/>
    <hyperlink r:id="rId22" ref="B105"/>
    <hyperlink r:id="rId23" ref="B108"/>
    <hyperlink r:id="rId24" ref="B109"/>
    <hyperlink r:id="rId25" ref="B114"/>
    <hyperlink r:id="rId26" ref="B119"/>
    <hyperlink r:id="rId27" ref="B125"/>
    <hyperlink r:id="rId28" ref="B126"/>
    <hyperlink r:id="rId29" location="abandonar-ou-vender-uma-house" ref="B140"/>
    <hyperlink r:id="rId30" ref="B156"/>
    <hyperlink r:id="rId31" ref="B157"/>
    <hyperlink r:id="rId32" ref="B159"/>
    <hyperlink r:id="rId33" ref="B166"/>
  </hyperlinks>
  <drawing r:id="rId3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5.38"/>
    <col customWidth="1" min="3" max="3" width="11.25"/>
    <col customWidth="1" min="4" max="4" width="26.13"/>
    <col customWidth="1" min="5" max="5" width="6.75"/>
    <col customWidth="1" min="6" max="6" width="70.38"/>
  </cols>
  <sheetData>
    <row r="1">
      <c r="A1" s="2" t="s">
        <v>1</v>
      </c>
      <c r="B1" s="2" t="s">
        <v>2</v>
      </c>
      <c r="C1" s="2" t="s">
        <v>3</v>
      </c>
      <c r="D1" s="5" t="s">
        <v>4</v>
      </c>
      <c r="E1" s="5" t="s">
        <v>5</v>
      </c>
    </row>
    <row r="2">
      <c r="A2" s="5">
        <v>30.0</v>
      </c>
      <c r="B2" s="5" t="s">
        <v>6</v>
      </c>
      <c r="C2" s="5" t="s">
        <v>7</v>
      </c>
      <c r="D2" s="15" t="str">
        <f>IF(B2&lt;&gt;"", SWITCH(C2, "Wild", VLOOKUP(B2, 'Localizações'!$A$2:$D992, 2, FALSE), "Normal", VLOOKUP(B2, 'Localizações'!$A$2:$D992, 3, FALSE), "Hoenn", VLOOKUP(B2, 'Localizações'!$A$2:$D992, 4, FALSE), ""), "")</f>
        <v>https://imgur.com/a/ZyszZOZ</v>
      </c>
      <c r="E2" s="11"/>
      <c r="F2" s="17" t="s">
        <v>8</v>
      </c>
    </row>
    <row r="3">
      <c r="A3" s="5">
        <v>30.0</v>
      </c>
      <c r="B3" s="5" t="s">
        <v>9</v>
      </c>
      <c r="C3" s="5" t="s">
        <v>7</v>
      </c>
      <c r="D3" s="15" t="str">
        <f>IF(B3&lt;&gt;"", SWITCH(C3, "Wild", VLOOKUP(B3, 'Localizações'!$A$2:$D992, 2, FALSE), "Normal", VLOOKUP(B3, 'Localizações'!$A$2:$D992, 3, FALSE), "Hoenn", VLOOKUP(B3, 'Localizações'!$A$2:$D992, 4, FALSE), ""), "")</f>
        <v>https://imgur.com/a/2SuUURl</v>
      </c>
      <c r="E3" s="11"/>
    </row>
    <row r="4">
      <c r="A4" s="5">
        <v>30.0</v>
      </c>
      <c r="B4" s="5" t="s">
        <v>10</v>
      </c>
      <c r="C4" s="5" t="s">
        <v>7</v>
      </c>
      <c r="D4" s="15" t="str">
        <f>IF(B4&lt;&gt;"", SWITCH(C4, "Wild", VLOOKUP(B4, 'Localizações'!$A$2:$D992, 2, FALSE), "Normal", VLOOKUP(B4, 'Localizações'!$A$2:$D992, 3, FALSE), "Hoenn", VLOOKUP(B4, 'Localizações'!$A$2:$D992, 4, FALSE), ""), "")</f>
        <v>https://imgur.com/a/IhJ17iJ</v>
      </c>
      <c r="E4" s="11"/>
    </row>
    <row r="5">
      <c r="A5" s="5">
        <v>60.0</v>
      </c>
      <c r="B5" s="5" t="s">
        <v>11</v>
      </c>
      <c r="C5" s="5" t="s">
        <v>7</v>
      </c>
      <c r="D5" s="15" t="str">
        <f>IF(B5&lt;&gt;"", SWITCH(C5, "Wild", VLOOKUP(B5, 'Localizações'!$A$2:$D992, 2, FALSE), "Normal", VLOOKUP(B5, 'Localizações'!$A$2:$D992, 3, FALSE), "Hoenn", VLOOKUP(B5, 'Localizações'!$A$2:$D992, 4, FALSE), ""), "")</f>
        <v>https://imgur.com/a/4E7gOtq</v>
      </c>
      <c r="E5" s="11"/>
    </row>
    <row r="6">
      <c r="A6" s="5">
        <v>60.0</v>
      </c>
      <c r="B6" s="5" t="s">
        <v>12</v>
      </c>
      <c r="C6" s="5" t="s">
        <v>7</v>
      </c>
      <c r="D6" s="15" t="str">
        <f>IF(B6&lt;&gt;"", SWITCH(C6, "Wild", VLOOKUP(B6, 'Localizações'!$A$2:$D992, 2, FALSE), "Normal", VLOOKUP(B6, 'Localizações'!$A$2:$D992, 3, FALSE), "Hoenn", VLOOKUP(B6, 'Localizações'!$A$2:$D992, 4, FALSE), ""), "")</f>
        <v>https://imgur.com/a/cPbYaoO</v>
      </c>
      <c r="E6" s="11"/>
    </row>
    <row r="7">
      <c r="A7" s="5">
        <v>60.0</v>
      </c>
      <c r="B7" s="5" t="s">
        <v>13</v>
      </c>
      <c r="C7" s="5" t="s">
        <v>7</v>
      </c>
      <c r="D7" s="15" t="str">
        <f>IF(B7&lt;&gt;"", SWITCH(C7, "Wild", VLOOKUP(B7, 'Localizações'!$A$2:$D992, 2, FALSE), "Normal", VLOOKUP(B7, 'Localizações'!$A$2:$D992, 3, FALSE), "Hoenn", VLOOKUP(B7, 'Localizações'!$A$2:$D992, 4, FALSE), ""), "")</f>
        <v>https://imgur.com/a/TaH2l6m</v>
      </c>
      <c r="E7" s="11"/>
    </row>
    <row r="8">
      <c r="A8" s="5">
        <v>100.0</v>
      </c>
      <c r="B8" s="5" t="s">
        <v>18</v>
      </c>
      <c r="C8" s="5" t="s">
        <v>7</v>
      </c>
      <c r="D8" s="15" t="str">
        <f>IF(B8&lt;&gt;"", SWITCH(C8, "Wild", VLOOKUP(B8, 'Localizações'!$A$2:$D992, 2, FALSE), "Normal", VLOOKUP(B8, 'Localizações'!$A$2:$D992, 3, FALSE), "Hoenn", VLOOKUP(B8, 'Localizações'!$A$2:$D992, 4, FALSE), ""), "")</f>
        <v>https://imgur.com/a/SHzJxH4</v>
      </c>
      <c r="E8" s="11"/>
    </row>
    <row r="9">
      <c r="A9" s="5">
        <v>100.0</v>
      </c>
      <c r="B9" s="5" t="s">
        <v>32</v>
      </c>
      <c r="C9" s="5" t="s">
        <v>7</v>
      </c>
      <c r="D9" s="15" t="str">
        <f>IF(B9&lt;&gt;"", SWITCH(C9, "Wild", VLOOKUP(B9, 'Localizações'!$A$2:$D992, 2, FALSE), "Normal", VLOOKUP(B9, 'Localizações'!$A$2:$D992, 3, FALSE), "Hoenn", VLOOKUP(B9, 'Localizações'!$A$2:$D992, 4, FALSE), ""), "")</f>
        <v>https://imgur.com/a/uvfPxaO</v>
      </c>
      <c r="E9" s="11"/>
    </row>
    <row r="10">
      <c r="A10" s="5">
        <v>250.0</v>
      </c>
      <c r="B10" s="5" t="s">
        <v>41</v>
      </c>
      <c r="C10" s="5" t="s">
        <v>7</v>
      </c>
      <c r="D10" s="15" t="str">
        <f>IF(B10&lt;&gt;"", SWITCH(C10, "Wild", VLOOKUP(B10, 'Localizações'!$A$2:$D992, 2, FALSE), "Normal", VLOOKUP(B10, 'Localizações'!$A$2:$D992, 3, FALSE), "Hoenn", VLOOKUP(B10, 'Localizações'!$A$2:$D992, 4, FALSE), ""), "")</f>
        <v>https://imgur.com/a/IZyOqys</v>
      </c>
      <c r="E10" s="11"/>
    </row>
    <row r="11">
      <c r="A11" s="5">
        <v>250.0</v>
      </c>
      <c r="B11" s="5" t="s">
        <v>62</v>
      </c>
      <c r="C11" s="5" t="s">
        <v>7</v>
      </c>
      <c r="D11" s="15" t="str">
        <f>IF(B11&lt;&gt;"", SWITCH(C11, "Wild", VLOOKUP(B11, 'Localizações'!$A$2:$D992, 2, FALSE), "Normal", VLOOKUP(B11, 'Localizações'!$A$2:$D992, 3, FALSE), "Hoenn", VLOOKUP(B11, 'Localizações'!$A$2:$D992, 4, FALSE), ""), "")</f>
        <v>https://imgur.com/a/VrqZwDG</v>
      </c>
      <c r="E11" s="5">
        <v>2150.0</v>
      </c>
    </row>
    <row r="12">
      <c r="A12" s="5">
        <v>250.0</v>
      </c>
      <c r="B12" s="5" t="s">
        <v>81</v>
      </c>
      <c r="C12" s="5" t="s">
        <v>7</v>
      </c>
      <c r="D12" s="15" t="str">
        <f>IF(B12&lt;&gt;"", SWITCH(C12, "Wild", VLOOKUP(B12, 'Localizações'!$A$2:$D992, 2, FALSE), "Normal", VLOOKUP(B12, 'Localizações'!$A$2:$D992, 3, FALSE), "Hoenn", VLOOKUP(B12, 'Localizações'!$A$2:$D992, 4, FALSE), ""), "")</f>
        <v>https://imgur.com/a/ZNQjOvj</v>
      </c>
      <c r="E12" s="11"/>
    </row>
    <row r="13">
      <c r="A13" s="5">
        <v>400.0</v>
      </c>
      <c r="B13" s="5" t="s">
        <v>89</v>
      </c>
      <c r="C13" s="5" t="s">
        <v>7</v>
      </c>
      <c r="D13" s="15" t="str">
        <f>IF(B13&lt;&gt;"", SWITCH(C13, "Wild", VLOOKUP(B13, 'Localizações'!$A$2:$D992, 2, FALSE), "Normal", VLOOKUP(B13, 'Localizações'!$A$2:$D992, 3, FALSE), "Hoenn", VLOOKUP(B13, 'Localizações'!$A$2:$D992, 4, FALSE), ""), "")</f>
        <v>https://imgur.com/a/ZNQjOvj</v>
      </c>
      <c r="E13" s="11"/>
    </row>
    <row r="14">
      <c r="A14" s="5">
        <v>500.0</v>
      </c>
      <c r="B14" s="5" t="s">
        <v>105</v>
      </c>
      <c r="C14" s="5" t="s">
        <v>7</v>
      </c>
      <c r="D14" s="15" t="str">
        <f>IF(B14&lt;&gt;"", SWITCH(C14, "Wild", VLOOKUP(B14, 'Localizações'!$A$2:$D992, 2, FALSE), "Normal", VLOOKUP(B14, 'Localizações'!$A$2:$D992, 3, FALSE), "Hoenn", VLOOKUP(B14, 'Localizações'!$A$2:$D992, 4, FALSE), ""), "")</f>
        <v>https://imgur.com/a/NVXqWOp</v>
      </c>
      <c r="E14" s="11"/>
    </row>
    <row r="15">
      <c r="A15" s="5">
        <v>800.0</v>
      </c>
      <c r="B15" s="5" t="s">
        <v>108</v>
      </c>
      <c r="C15" s="5" t="s">
        <v>7</v>
      </c>
      <c r="D15" s="15" t="str">
        <f>IF(B15&lt;&gt;"", SWITCH(C15, "Wild", VLOOKUP(B15, 'Localizações'!$A$2:$D992, 2, FALSE), "Normal", VLOOKUP(B15, 'Localizações'!$A$2:$D992, 3, FALSE), "Hoenn", VLOOKUP(B15, 'Localizações'!$A$2:$D992, 4, FALSE), ""), "")</f>
        <v>https://imgur.com/a/zRcrSLP</v>
      </c>
      <c r="E15" s="11"/>
    </row>
    <row r="16">
      <c r="A16" s="5">
        <v>800.0</v>
      </c>
      <c r="B16" s="5" t="s">
        <v>131</v>
      </c>
      <c r="C16" s="5" t="s">
        <v>7</v>
      </c>
      <c r="D16" s="15" t="str">
        <f>IF(B16&lt;&gt;"", SWITCH(C16, "Wild", VLOOKUP(B16, 'Localizações'!$A$2:$D992, 2, FALSE), "Normal", VLOOKUP(B16, 'Localizações'!$A$2:$D992, 3, FALSE), "Hoenn", VLOOKUP(B16, 'Localizações'!$A$2:$D992, 4, FALSE), ""), "")</f>
        <v>https://imgur.com/a/o6O5mnt</v>
      </c>
      <c r="E16" s="5">
        <v>2900.0</v>
      </c>
    </row>
    <row r="17">
      <c r="A17" s="5">
        <v>800.0</v>
      </c>
      <c r="B17" s="5" t="s">
        <v>148</v>
      </c>
      <c r="C17" s="5" t="s">
        <v>7</v>
      </c>
      <c r="D17" s="15" t="str">
        <f>IF(B17&lt;&gt;"", SWITCH(C17, "Wild", VLOOKUP(B17, 'Localizações'!$A$2:$D992, 2, FALSE), "Normal", VLOOKUP(B17, 'Localizações'!$A$2:$D992, 3, FALSE), "Hoenn", VLOOKUP(B17, 'Localizações'!$A$2:$D992, 4, FALSE), ""), "")</f>
        <v>https://imgur.com/a/ksXMwHN</v>
      </c>
      <c r="E17" s="11"/>
    </row>
    <row r="18">
      <c r="A18" s="5">
        <v>10000.0</v>
      </c>
      <c r="B18" s="5" t="s">
        <v>161</v>
      </c>
      <c r="C18" s="5" t="s">
        <v>164</v>
      </c>
      <c r="D18" s="15" t="str">
        <f>IF(B18&lt;&gt;"", SWITCH(C18, "Wild", VLOOKUP(B18, 'Localizações'!$A$2:$D992, 2, FALSE), "Normal", VLOOKUP(B18, 'Localizações'!$A$2:$D992, 3, FALSE), "Hoenn", VLOOKUP(B18, 'Localizações'!$A$2:$D992, 4, FALSE), ""), "")</f>
        <v>https://imgur.com/a/O7GKc00</v>
      </c>
      <c r="E18" s="5">
        <v>3000.0</v>
      </c>
    </row>
    <row r="19">
      <c r="A19" s="5">
        <v>10000.0</v>
      </c>
      <c r="B19" s="5" t="s">
        <v>131</v>
      </c>
      <c r="C19" s="5" t="s">
        <v>164</v>
      </c>
      <c r="D19" s="15" t="str">
        <f>IF(B19&lt;&gt;"", SWITCH(C19, "Wild", VLOOKUP(B19, 'Localizações'!$A$2:$D992, 2, FALSE), "Normal", VLOOKUP(B19, 'Localizações'!$A$2:$D992, 3, FALSE), "Hoenn", VLOOKUP(B19, 'Localizações'!$A$2:$D992, 4, FALSE), ""), "")</f>
        <v>https://imgur.com/a/H98mIzg</v>
      </c>
      <c r="E19" s="5">
        <v>2000.0</v>
      </c>
    </row>
    <row r="20">
      <c r="A20" s="5">
        <v>10000.0</v>
      </c>
      <c r="B20" s="5" t="s">
        <v>148</v>
      </c>
      <c r="C20" s="5" t="s">
        <v>164</v>
      </c>
      <c r="D20" s="15" t="str">
        <f>IF(B20&lt;&gt;"", SWITCH(C20, "Wild", VLOOKUP(B20, 'Localizações'!$A$2:$D992, 2, FALSE), "Normal", VLOOKUP(B20, 'Localizações'!$A$2:$D992, 3, FALSE), "Hoenn", VLOOKUP(B20, 'Localizações'!$A$2:$D992, 4, FALSE), ""), "")</f>
        <v>https://imgur.com/a/thSWZiw</v>
      </c>
      <c r="E20" s="5">
        <v>2500.0</v>
      </c>
    </row>
    <row r="21">
      <c r="A21" s="5">
        <v>10000.0</v>
      </c>
      <c r="B21" s="5" t="s">
        <v>315</v>
      </c>
      <c r="C21" s="5" t="s">
        <v>164</v>
      </c>
      <c r="D21" s="15" t="str">
        <f>IF(B21&lt;&gt;"", SWITCH(C21, "Wild", VLOOKUP(B21, 'Localizações'!$A$2:$D992, 2, FALSE), "Normal", VLOOKUP(B21, 'Localizações'!$A$2:$D992, 3, FALSE), "Hoenn", VLOOKUP(B21, 'Localizações'!$A$2:$D992, 4, FALSE), ""), "")</f>
        <v>https://imgur.com/a/mZdWvFw</v>
      </c>
      <c r="E21" s="5">
        <v>2350.0</v>
      </c>
    </row>
    <row r="22">
      <c r="A22" s="5">
        <v>10000.0</v>
      </c>
      <c r="B22" s="5" t="s">
        <v>360</v>
      </c>
      <c r="C22" s="5" t="s">
        <v>164</v>
      </c>
      <c r="D22" s="15" t="str">
        <f>IF(B22&lt;&gt;"", SWITCH(C22, "Wild", VLOOKUP(B22, 'Localizações'!$A$2:$D992, 2, FALSE), "Normal", VLOOKUP(B22, 'Localizações'!$A$2:$D992, 3, FALSE), "Hoenn", VLOOKUP(B22, 'Localizações'!$A$2:$D992, 4, FALSE), ""), "")</f>
        <v>https://imgur.com/a/CkBSqXN</v>
      </c>
      <c r="E22" s="11"/>
    </row>
    <row r="23">
      <c r="A23" s="5">
        <v>10000.0</v>
      </c>
      <c r="B23" s="5" t="s">
        <v>361</v>
      </c>
      <c r="C23" s="5" t="s">
        <v>164</v>
      </c>
      <c r="D23" s="15" t="str">
        <f>IF(B23&lt;&gt;"", SWITCH(C23, "Wild", VLOOKUP(B23, 'Localizações'!$A$2:$D992, 2, FALSE), "Normal", VLOOKUP(B23, 'Localizações'!$A$2:$D992, 3, FALSE), "Hoenn", VLOOKUP(B23, 'Localizações'!$A$2:$D992, 4, FALSE), ""), "")</f>
        <v>https://imgur.com/a/mZdWvFw</v>
      </c>
      <c r="E23" s="5">
        <v>2150.0</v>
      </c>
    </row>
    <row r="24">
      <c r="A24" s="5">
        <v>10000.0</v>
      </c>
      <c r="B24" s="5" t="s">
        <v>362</v>
      </c>
      <c r="C24" s="5" t="s">
        <v>164</v>
      </c>
      <c r="D24" s="15" t="str">
        <f>IF(B24&lt;&gt;"", SWITCH(C24, "Wild", VLOOKUP(B24, 'Localizações'!$A$2:$D992, 2, FALSE), "Normal", VLOOKUP(B24, 'Localizações'!$A$2:$D992, 3, FALSE), "Hoenn", VLOOKUP(B24, 'Localizações'!$A$2:$D992, 4, FALSE), ""), "")</f>
        <v>https://imgur.com/a/H98mIzg</v>
      </c>
      <c r="E24" s="5">
        <v>2700.0</v>
      </c>
    </row>
    <row r="25">
      <c r="A25" s="5">
        <v>10000.0</v>
      </c>
      <c r="B25" s="5" t="s">
        <v>363</v>
      </c>
      <c r="C25" s="5" t="s">
        <v>164</v>
      </c>
      <c r="D25" s="15" t="str">
        <f>IF(B25&lt;&gt;"", SWITCH(C25, "Wild", VLOOKUP(B25, 'Localizações'!$A$2:$D992, 2, FALSE), "Normal", VLOOKUP(B25, 'Localizações'!$A$2:$D992, 3, FALSE), "Hoenn", VLOOKUP(B25, 'Localizações'!$A$2:$D992, 4, FALSE), ""), "")</f>
        <v>https://imgur.com/a/0QTUhoj</v>
      </c>
      <c r="E25" s="5">
        <v>2500.0</v>
      </c>
    </row>
    <row r="26">
      <c r="A26" s="36">
        <v>10000.0</v>
      </c>
      <c r="B26" s="35" t="s">
        <v>364</v>
      </c>
      <c r="C26" s="5" t="s">
        <v>164</v>
      </c>
      <c r="D26" s="15" t="str">
        <f>IF(B26&lt;&gt;"", SWITCH(C26, "Wild", VLOOKUP(B26, 'Localizações'!$A$2:$D992, 2, FALSE), "Normal", VLOOKUP(B26, 'Localizações'!$A$2:$D992, 3, FALSE), "Hoenn", VLOOKUP(B26, 'Localizações'!$A$2:$D992, 4, FALSE), ""), "")</f>
        <v>https://imgur.com/a/rg5qYI4</v>
      </c>
      <c r="E26" s="36">
        <v>3150.0</v>
      </c>
    </row>
    <row r="27">
      <c r="A27" s="36">
        <v>10000.0</v>
      </c>
      <c r="B27" s="35" t="s">
        <v>365</v>
      </c>
      <c r="C27" s="5" t="s">
        <v>164</v>
      </c>
      <c r="D27" s="15" t="str">
        <f>IF(B27&lt;&gt;"", SWITCH(C27, "Wild", VLOOKUP(B27, 'Localizações'!$A$2:$D992, 2, FALSE), "Normal", VLOOKUP(B27, 'Localizações'!$A$2:$D992, 3, FALSE), "Hoenn", VLOOKUP(B27, 'Localizações'!$A$2:$D992, 4, FALSE), ""), "")</f>
        <v>https://imgur.com/a/pjIUv00</v>
      </c>
      <c r="E27" s="35"/>
    </row>
    <row r="28">
      <c r="A28" s="36">
        <v>10000.0</v>
      </c>
      <c r="B28" s="35" t="s">
        <v>366</v>
      </c>
      <c r="C28" s="5" t="s">
        <v>164</v>
      </c>
      <c r="D28" s="15" t="str">
        <f>IF(B28&lt;&gt;"", SWITCH(C28, "Wild", VLOOKUP(B28, 'Localizações'!$A$2:$D992, 2, FALSE), "Normal", VLOOKUP(B28, 'Localizações'!$A$2:$D992, 3, FALSE), "Hoenn", VLOOKUP(B28, 'Localizações'!$A$2:$D992, 4, FALSE), ""), "")</f>
        <v>https://imgur.com/a/pjIUv00</v>
      </c>
      <c r="E28" s="36">
        <v>3300.0</v>
      </c>
    </row>
    <row r="29">
      <c r="A29" s="36">
        <v>10000.0</v>
      </c>
      <c r="B29" s="35" t="s">
        <v>367</v>
      </c>
      <c r="C29" s="5" t="s">
        <v>164</v>
      </c>
      <c r="D29" s="15" t="str">
        <f>IF(B29&lt;&gt;"", SWITCH(C29, "Wild", VLOOKUP(B29, 'Localizações'!$A$2:$D992, 2, FALSE), "Normal", VLOOKUP(B29, 'Localizações'!$A$2:$D992, 3, FALSE), "Hoenn", VLOOKUP(B29, 'Localizações'!$A$2:$D992, 4, FALSE), ""), "")</f>
        <v>https://imgur.com/a/30cn4iq</v>
      </c>
      <c r="E29" s="35"/>
    </row>
    <row r="30">
      <c r="A30" s="36">
        <v>10000.0</v>
      </c>
      <c r="B30" s="35" t="s">
        <v>368</v>
      </c>
      <c r="C30" s="5" t="s">
        <v>164</v>
      </c>
      <c r="D30" s="15" t="str">
        <f>IF(B30&lt;&gt;"", SWITCH(C30, "Wild", VLOOKUP(B30, 'Localizações'!$A$2:$D992, 2, FALSE), "Normal", VLOOKUP(B30, 'Localizações'!$A$2:$D992, 3, FALSE), "Hoenn", VLOOKUP(B30, 'Localizações'!$A$2:$D992, 4, FALSE), ""), "")</f>
        <v>https://imgur.com/a/clP3jSD</v>
      </c>
      <c r="E30" s="35"/>
    </row>
    <row r="31">
      <c r="A31" s="36">
        <v>10000.0</v>
      </c>
      <c r="B31" s="35" t="s">
        <v>369</v>
      </c>
      <c r="C31" s="5" t="s">
        <v>164</v>
      </c>
      <c r="D31" s="15" t="str">
        <f>IF(B31&lt;&gt;"", SWITCH(C31, "Wild", VLOOKUP(B31, 'Localizações'!$A$2:$D992, 2, FALSE), "Normal", VLOOKUP(B31, 'Localizações'!$A$2:$D992, 3, FALSE), "Hoenn", VLOOKUP(B31, 'Localizações'!$A$2:$D992, 4, FALSE), ""), "")</f>
        <v>https://imgur.com/a/3LppiO7</v>
      </c>
      <c r="E31" s="36">
        <v>3750.0</v>
      </c>
    </row>
    <row r="32">
      <c r="A32" s="36">
        <v>100.0</v>
      </c>
      <c r="B32" s="36" t="s">
        <v>370</v>
      </c>
      <c r="C32" s="5" t="s">
        <v>7</v>
      </c>
      <c r="D32" s="15" t="str">
        <f>IF(B32&lt;&gt;"", SWITCH(C32, "Wild", VLOOKUP(B32, 'Localizações'!$A$2:$D992, 2, FALSE), "Normal", VLOOKUP(B32, 'Localizações'!$A$2:$D992, 3, FALSE), "Hoenn", VLOOKUP(B32, 'Localizações'!$A$2:$D992, 4, FALSE), ""), "")</f>
        <v>https://imgur.com/a/hGRDfmM</v>
      </c>
      <c r="E32" s="35"/>
    </row>
    <row r="33">
      <c r="A33" s="36">
        <v>10000.0</v>
      </c>
      <c r="B33" s="35" t="s">
        <v>371</v>
      </c>
      <c r="C33" s="5" t="s">
        <v>164</v>
      </c>
      <c r="D33" s="15" t="str">
        <f>IF(B33&lt;&gt;"", SWITCH(C33, "Wild", VLOOKUP(B33, 'Localizações'!$A$2:$D992, 2, FALSE), "Normal", VLOOKUP(B33, 'Localizações'!$A$2:$D992, 3, FALSE), "Hoenn", VLOOKUP(B33, 'Localizações'!$A$2:$D992, 4, FALSE), ""), "")</f>
        <v>https://imgur.com/a/ca4NlMA</v>
      </c>
      <c r="E33" s="35"/>
    </row>
    <row r="34">
      <c r="A34" s="36">
        <v>10000.0</v>
      </c>
      <c r="B34" s="35" t="s">
        <v>372</v>
      </c>
      <c r="C34" s="5" t="s">
        <v>164</v>
      </c>
      <c r="D34" s="15" t="str">
        <f>IF(B34&lt;&gt;"", SWITCH(C34, "Wild", VLOOKUP(B34, 'Localizações'!$A$2:$D992, 2, FALSE), "Normal", VLOOKUP(B34, 'Localizações'!$A$2:$D992, 3, FALSE), "Hoenn", VLOOKUP(B34, 'Localizações'!$A$2:$D992, 4, FALSE), ""), "")</f>
        <v>https://imgur.com/a/PjJgh5m</v>
      </c>
      <c r="E34" s="35"/>
    </row>
    <row r="35">
      <c r="A35" s="36">
        <v>10000.0</v>
      </c>
      <c r="B35" s="35" t="s">
        <v>373</v>
      </c>
      <c r="C35" s="5" t="s">
        <v>164</v>
      </c>
      <c r="D35" s="15" t="str">
        <f>IF(B35&lt;&gt;"", SWITCH(C35, "Wild", VLOOKUP(B35, 'Localizações'!$A$2:$D992, 2, FALSE), "Normal", VLOOKUP(B35, 'Localizações'!$A$2:$D992, 3, FALSE), "Hoenn", VLOOKUP(B35, 'Localizações'!$A$2:$D992, 4, FALSE), ""), "")</f>
        <v>https://imgur.com/a/H98mIzg</v>
      </c>
      <c r="E35" s="36">
        <v>2750.0</v>
      </c>
    </row>
    <row r="36">
      <c r="A36" s="36">
        <v>10000.0</v>
      </c>
      <c r="B36" s="35" t="s">
        <v>62</v>
      </c>
      <c r="C36" s="5" t="s">
        <v>164</v>
      </c>
      <c r="D36" s="15" t="str">
        <f>IF(B36&lt;&gt;"", SWITCH(C36, "Wild", VLOOKUP(B36, 'Localizações'!$A$2:$D992, 2, FALSE), "Normal", VLOOKUP(B36, 'Localizações'!$A$2:$D992, 3, FALSE), "Hoenn", VLOOKUP(B36, 'Localizações'!$A$2:$D992, 4, FALSE), ""), "")</f>
        <v>https://imgur.com/a/AYaHOY2</v>
      </c>
      <c r="E36" s="35"/>
    </row>
    <row r="37">
      <c r="A37" s="36">
        <v>10000.0</v>
      </c>
      <c r="B37" s="35" t="s">
        <v>374</v>
      </c>
      <c r="C37" s="5" t="s">
        <v>164</v>
      </c>
      <c r="D37" s="15" t="str">
        <f>IF(B37&lt;&gt;"", SWITCH(C37, "Wild", VLOOKUP(B37, 'Localizações'!$A$2:$D992, 2, FALSE), "Normal", VLOOKUP(B37, 'Localizações'!$A$2:$D992, 3, FALSE), "Hoenn", VLOOKUP(B37, 'Localizações'!$A$2:$D992, 4, FALSE), ""), "")</f>
        <v>https://imgur.com/uw0XICj</v>
      </c>
      <c r="E37" s="36">
        <v>2100.0</v>
      </c>
    </row>
    <row r="38">
      <c r="A38" s="36">
        <v>10000.0</v>
      </c>
      <c r="B38" s="35" t="s">
        <v>375</v>
      </c>
      <c r="C38" s="5" t="s">
        <v>164</v>
      </c>
      <c r="D38" s="15" t="str">
        <f>IF(B38&lt;&gt;"", SWITCH(C38, "Wild", VLOOKUP(B38, 'Localizações'!$A$2:$D992, 2, FALSE), "Normal", VLOOKUP(B38, 'Localizações'!$A$2:$D992, 3, FALSE), "Hoenn", VLOOKUP(B38, 'Localizações'!$A$2:$D992, 4, FALSE), ""), "")</f>
        <v>https://imgur.com/a/doQnA6i</v>
      </c>
      <c r="E38" s="35"/>
    </row>
    <row r="39">
      <c r="A39" s="36">
        <v>10000.0</v>
      </c>
      <c r="B39" s="35" t="s">
        <v>376</v>
      </c>
      <c r="C39" s="5" t="s">
        <v>164</v>
      </c>
      <c r="D39" s="15" t="str">
        <f>IF(B39&lt;&gt;"", SWITCH(C39, "Wild", VLOOKUP(B39, 'Localizações'!$A$2:$D992, 2, FALSE), "Normal", VLOOKUP(B39, 'Localizações'!$A$2:$D992, 3, FALSE), "Hoenn", VLOOKUP(B39, 'Localizações'!$A$2:$D992, 4, FALSE), ""), "")</f>
        <v>https://imgur.com/a/vgGrrfT</v>
      </c>
      <c r="E39" s="36">
        <v>2400.0</v>
      </c>
    </row>
    <row r="40">
      <c r="A40" s="36">
        <v>10000.0</v>
      </c>
      <c r="B40" s="35" t="s">
        <v>377</v>
      </c>
      <c r="C40" s="5" t="s">
        <v>164</v>
      </c>
      <c r="D40" s="15" t="str">
        <f>IF(B40&lt;&gt;"", SWITCH(C40, "Wild", VLOOKUP(B40, 'Localizações'!$A$2:$D992, 2, FALSE), "Normal", VLOOKUP(B40, 'Localizações'!$A$2:$D992, 3, FALSE), "Hoenn", VLOOKUP(B40, 'Localizações'!$A$2:$D992, 4, FALSE), ""), "")</f>
        <v>https://imgur.com/a/HWxtEs3</v>
      </c>
      <c r="E40" s="36">
        <v>2300.0</v>
      </c>
    </row>
    <row r="41">
      <c r="A41" s="36">
        <v>10000.0</v>
      </c>
      <c r="B41" s="35" t="s">
        <v>378</v>
      </c>
      <c r="C41" s="5" t="s">
        <v>164</v>
      </c>
      <c r="D41" s="15" t="str">
        <f>IF(B41&lt;&gt;"", SWITCH(C41, "Wild", VLOOKUP(B41, 'Localizações'!$A$2:$D992, 2, FALSE), "Normal", VLOOKUP(B41, 'Localizações'!$A$2:$D992, 3, FALSE), "Hoenn", VLOOKUP(B41, 'Localizações'!$A$2:$D992, 4, FALSE), ""), "")</f>
        <v>https://imgur.com/a/lnONjUq</v>
      </c>
      <c r="E41" s="35"/>
    </row>
    <row r="42">
      <c r="A42" s="36">
        <v>10000.0</v>
      </c>
      <c r="B42" s="35" t="s">
        <v>379</v>
      </c>
      <c r="C42" s="5" t="s">
        <v>164</v>
      </c>
      <c r="D42" s="15" t="str">
        <f>IF(B42&lt;&gt;"", SWITCH(C42, "Wild", VLOOKUP(B42, 'Localizações'!$A$2:$D992, 2, FALSE), "Normal", VLOOKUP(B42, 'Localizações'!$A$2:$D992, 3, FALSE), "Hoenn", VLOOKUP(B42, 'Localizações'!$A$2:$D992, 4, FALSE), ""), "")</f>
        <v>https://imgur.com/a/2uMZqFZ</v>
      </c>
      <c r="E42" s="36">
        <v>3000.0</v>
      </c>
    </row>
    <row r="43">
      <c r="A43" s="36">
        <v>100.0</v>
      </c>
      <c r="B43" s="36" t="s">
        <v>380</v>
      </c>
      <c r="C43" s="5" t="s">
        <v>7</v>
      </c>
      <c r="D43" s="15" t="str">
        <f>IF(B43&lt;&gt;"", SWITCH(C43, "Wild", VLOOKUP(B43, 'Localizações'!$A$2:$D992, 2, FALSE), "Normal", VLOOKUP(B43, 'Localizações'!$A$2:$D992, 3, FALSE), "Hoenn", VLOOKUP(B43, 'Localizações'!$A$2:$D992, 4, FALSE), ""), "")</f>
        <v>https://imgur.com/a/lrEa6jJ</v>
      </c>
      <c r="E43" s="35"/>
    </row>
    <row r="44">
      <c r="A44" s="36">
        <v>10000.0</v>
      </c>
      <c r="B44" s="35" t="s">
        <v>382</v>
      </c>
      <c r="C44" s="5" t="s">
        <v>164</v>
      </c>
      <c r="D44" s="15" t="str">
        <f>IF(B44&lt;&gt;"", SWITCH(C44, "Wild", VLOOKUP(B44, 'Localizações'!$A$2:$D992, 2, FALSE), "Normal", VLOOKUP(B44, 'Localizações'!$A$2:$D992, 3, FALSE), "Hoenn", VLOOKUP(B44, 'Localizações'!$A$2:$D992, 4, FALSE), ""), "")</f>
        <v>https://imgur.com/a/mZdWvFw</v>
      </c>
      <c r="E44" s="35"/>
    </row>
    <row r="45">
      <c r="A45" s="36">
        <v>10000.0</v>
      </c>
      <c r="B45" s="35" t="s">
        <v>383</v>
      </c>
      <c r="C45" s="5" t="s">
        <v>164</v>
      </c>
      <c r="D45" s="15" t="str">
        <f>IF(B45&lt;&gt;"", SWITCH(C45, "Wild", VLOOKUP(B45, 'Localizações'!$A$2:$D992, 2, FALSE), "Normal", VLOOKUP(B45, 'Localizações'!$A$2:$D992, 3, FALSE), "Hoenn", VLOOKUP(B45, 'Localizações'!$A$2:$D992, 4, FALSE), ""), "")</f>
        <v>https://imgur.com/a/zMl0ekj</v>
      </c>
      <c r="E45" s="36">
        <v>3220.0</v>
      </c>
    </row>
    <row r="46">
      <c r="A46" s="36">
        <v>10000.0</v>
      </c>
      <c r="B46" s="35" t="s">
        <v>384</v>
      </c>
      <c r="C46" s="5" t="s">
        <v>164</v>
      </c>
      <c r="D46" s="15" t="str">
        <f>IF(B46&lt;&gt;"", SWITCH(C46, "Wild", VLOOKUP(B46, 'Localizações'!$A$2:$D992, 2, FALSE), "Normal", VLOOKUP(B46, 'Localizações'!$A$2:$D992, 3, FALSE), "Hoenn", VLOOKUP(B46, 'Localizações'!$A$2:$D992, 4, FALSE), ""), "")</f>
        <v>https://imgur.com/a/c9ewG6a</v>
      </c>
      <c r="E46" s="35"/>
    </row>
    <row r="47">
      <c r="A47" s="36">
        <v>10000.0</v>
      </c>
      <c r="B47" s="35" t="s">
        <v>385</v>
      </c>
      <c r="C47" s="5" t="s">
        <v>164</v>
      </c>
      <c r="D47" s="15" t="str">
        <f>IF(B47&lt;&gt;"", SWITCH(C47, "Wild", VLOOKUP(B47, 'Localizações'!$A$2:$D992, 2, FALSE), "Normal", VLOOKUP(B47, 'Localizações'!$A$2:$D992, 3, FALSE), "Hoenn", VLOOKUP(B47, 'Localizações'!$A$2:$D992, 4, FALSE), ""), "")</f>
        <v>https://imgur.com/a/clP3jSD</v>
      </c>
      <c r="E47" s="35"/>
    </row>
    <row r="48">
      <c r="A48" s="36">
        <v>10000.0</v>
      </c>
      <c r="B48" s="35" t="s">
        <v>386</v>
      </c>
      <c r="C48" s="5" t="s">
        <v>164</v>
      </c>
      <c r="D48" s="15" t="str">
        <f>IF(B48&lt;&gt;"", SWITCH(C48, "Wild", VLOOKUP(B48, 'Localizações'!$A$2:$D992, 2, FALSE), "Normal", VLOOKUP(B48, 'Localizações'!$A$2:$D992, 3, FALSE), "Hoenn", VLOOKUP(B48, 'Localizações'!$A$2:$D992, 4, FALSE), ""), "")</f>
        <v>https://imgur.com/a/lwqRvJB</v>
      </c>
      <c r="E48" s="35"/>
    </row>
    <row r="49">
      <c r="A49" s="36">
        <v>10000.0</v>
      </c>
      <c r="B49" s="35" t="s">
        <v>388</v>
      </c>
      <c r="C49" s="5" t="s">
        <v>164</v>
      </c>
      <c r="D49" s="15" t="str">
        <f>IF(B49&lt;&gt;"", SWITCH(C49, "Wild", VLOOKUP(B49, 'Localizações'!$A$2:$D992, 2, FALSE), "Normal", VLOOKUP(B49, 'Localizações'!$A$2:$D992, 3, FALSE), "Hoenn", VLOOKUP(B49, 'Localizações'!$A$2:$D992, 4, FALSE), ""), "")</f>
        <v>https://imgur.com/a/XUZFbv9</v>
      </c>
      <c r="E49" s="36">
        <v>3500.0</v>
      </c>
    </row>
    <row r="50">
      <c r="A50" s="36">
        <v>10000.0</v>
      </c>
      <c r="B50" s="35" t="s">
        <v>390</v>
      </c>
      <c r="C50" s="5" t="s">
        <v>164</v>
      </c>
      <c r="D50" s="15" t="str">
        <f>IF(B50&lt;&gt;"", SWITCH(C50, "Wild", VLOOKUP(B50, 'Localizações'!$A$2:$D992, 2, FALSE), "Normal", VLOOKUP(B50, 'Localizações'!$A$2:$D992, 3, FALSE), "Hoenn", VLOOKUP(B50, 'Localizações'!$A$2:$D992, 4, FALSE), ""), "")</f>
        <v>https://imgur.com/a/GWp5vC7</v>
      </c>
      <c r="E50" s="36">
        <v>2300.0</v>
      </c>
    </row>
    <row r="51">
      <c r="A51" s="36">
        <v>10000.0</v>
      </c>
      <c r="B51" s="35" t="s">
        <v>391</v>
      </c>
      <c r="C51" s="5" t="s">
        <v>164</v>
      </c>
      <c r="D51" s="15" t="str">
        <f>IF(B51&lt;&gt;"", SWITCH(C51, "Wild", VLOOKUP(B51, 'Localizações'!$A$2:$D992, 2, FALSE), "Normal", VLOOKUP(B51, 'Localizações'!$A$2:$D992, 3, FALSE), "Hoenn", VLOOKUP(B51, 'Localizações'!$A$2:$D992, 4, FALSE), ""), "")</f>
        <v>https://imgur.com/a/1MIh0TT</v>
      </c>
      <c r="E51" s="36">
        <v>1800.0</v>
      </c>
    </row>
    <row r="52">
      <c r="A52" s="36">
        <v>10000.0</v>
      </c>
      <c r="B52" s="35" t="s">
        <v>392</v>
      </c>
      <c r="C52" s="5" t="s">
        <v>164</v>
      </c>
      <c r="D52" s="15" t="str">
        <f>IF(B52&lt;&gt;"", SWITCH(C52, "Wild", VLOOKUP(B52, 'Localizações'!$A$2:$D992, 2, FALSE), "Normal", VLOOKUP(B52, 'Localizações'!$A$2:$D992, 3, FALSE), "Hoenn", VLOOKUP(B52, 'Localizações'!$A$2:$D992, 4, FALSE), ""), "")</f>
        <v>https://imgur.com/a/nmnNuO5</v>
      </c>
      <c r="E52" s="35"/>
    </row>
    <row r="53">
      <c r="A53" s="36">
        <v>10000.0</v>
      </c>
      <c r="B53" s="35" t="s">
        <v>393</v>
      </c>
      <c r="C53" s="5" t="s">
        <v>164</v>
      </c>
      <c r="D53" s="15" t="str">
        <f>IF(B53&lt;&gt;"", SWITCH(C53, "Wild", VLOOKUP(B53, 'Localizações'!$A$2:$D992, 2, FALSE), "Normal", VLOOKUP(B53, 'Localizações'!$A$2:$D992, 3, FALSE), "Hoenn", VLOOKUP(B53, 'Localizações'!$A$2:$D992, 4, FALSE), ""), "")</f>
        <v>https://imgur.com/a/CkBSqXN</v>
      </c>
      <c r="E53" s="35"/>
    </row>
    <row r="54">
      <c r="A54" s="36">
        <v>10000.0</v>
      </c>
      <c r="B54" s="35" t="s">
        <v>394</v>
      </c>
      <c r="C54" s="5" t="s">
        <v>164</v>
      </c>
      <c r="D54" s="15" t="str">
        <f>IF(B54&lt;&gt;"", SWITCH(C54, "Wild", VLOOKUP(B54, 'Localizações'!$A$2:$D992, 2, FALSE), "Normal", VLOOKUP(B54, 'Localizações'!$A$2:$D992, 3, FALSE), "Hoenn", VLOOKUP(B54, 'Localizações'!$A$2:$D992, 4, FALSE), ""), "")</f>
        <v>https://imgur.com/a/nBXkwSw</v>
      </c>
      <c r="E54" s="36">
        <v>2300.0</v>
      </c>
    </row>
    <row r="55">
      <c r="A55" s="36">
        <v>10000.0</v>
      </c>
      <c r="B55" s="35" t="s">
        <v>395</v>
      </c>
      <c r="C55" s="5" t="s">
        <v>164</v>
      </c>
      <c r="D55" s="15" t="str">
        <f>IF(B55&lt;&gt;"", SWITCH(C55, "Wild", VLOOKUP(B55, 'Localizações'!$A$2:$D992, 2, FALSE), "Normal", VLOOKUP(B55, 'Localizações'!$A$2:$D992, 3, FALSE), "Hoenn", VLOOKUP(B55, 'Localizações'!$A$2:$D992, 4, FALSE), ""), "")</f>
        <v>https://imgur.com/a/RI7U1mv</v>
      </c>
      <c r="E55" s="35"/>
    </row>
    <row r="56">
      <c r="A56" s="36">
        <v>10000.0</v>
      </c>
      <c r="B56" s="35" t="s">
        <v>108</v>
      </c>
      <c r="C56" s="5" t="s">
        <v>164</v>
      </c>
      <c r="D56" s="15" t="str">
        <f>IF(B56&lt;&gt;"", SWITCH(C56, "Wild", VLOOKUP(B56, 'Localizações'!$A$2:$D992, 2, FALSE), "Normal", VLOOKUP(B56, 'Localizações'!$A$2:$D992, 3, FALSE), "Hoenn", VLOOKUP(B56, 'Localizações'!$A$2:$D992, 4, FALSE), ""), "")</f>
        <v>https://imgur.com/a/QZY9tMI</v>
      </c>
      <c r="E56" s="36">
        <v>2600.0</v>
      </c>
    </row>
    <row r="57">
      <c r="A57" s="5">
        <v>10000.0</v>
      </c>
      <c r="B57" s="5" t="s">
        <v>396</v>
      </c>
      <c r="C57" s="5" t="s">
        <v>164</v>
      </c>
      <c r="D57" s="15" t="str">
        <f>IF(B57&lt;&gt;"", SWITCH(C57, "Wild", VLOOKUP(B57, 'Localizações'!$A$2:$D992, 2, FALSE), "Normal", VLOOKUP(B57, 'Localizações'!$A$2:$D992, 3, FALSE), "Hoenn", VLOOKUP(B57, 'Localizações'!$A$2:$D992, 4, FALSE), ""), "")</f>
        <v>https://imgur.com/a/xfYPzTw</v>
      </c>
      <c r="E57" s="11"/>
    </row>
    <row r="58">
      <c r="A58" s="5">
        <v>10000.0</v>
      </c>
      <c r="B58" s="5" t="s">
        <v>397</v>
      </c>
      <c r="C58" s="5" t="s">
        <v>164</v>
      </c>
      <c r="D58" s="15" t="str">
        <f>IF(B58&lt;&gt;"", SWITCH(C58, "Wild", VLOOKUP(B58, 'Localizações'!$A$2:$D992, 2, FALSE), "Normal", VLOOKUP(B58, 'Localizações'!$A$2:$D992, 3, FALSE), "Hoenn", VLOOKUP(B58, 'Localizações'!$A$2:$D992, 4, FALSE), ""), "")</f>
        <v>https://imgur.com/a/bIuz6Tm</v>
      </c>
      <c r="E58" s="11"/>
    </row>
    <row r="59">
      <c r="A59" s="5">
        <v>10000.0</v>
      </c>
      <c r="B59" s="5" t="s">
        <v>398</v>
      </c>
      <c r="C59" s="5" t="s">
        <v>164</v>
      </c>
      <c r="D59" s="15" t="str">
        <f>IF(B59&lt;&gt;"", SWITCH(C59, "Wild", VLOOKUP(B59, 'Localizações'!$A$2:$D992, 2, FALSE), "Normal", VLOOKUP(B59, 'Localizações'!$A$2:$D992, 3, FALSE), "Hoenn", VLOOKUP(B59, 'Localizações'!$A$2:$D992, 4, FALSE), ""), "")</f>
        <v>https://imgur.com/a/T3rOBjE</v>
      </c>
      <c r="E59" s="11"/>
    </row>
    <row r="60">
      <c r="A60" s="5">
        <v>10000.0</v>
      </c>
      <c r="B60" s="5" t="s">
        <v>399</v>
      </c>
      <c r="C60" s="5" t="s">
        <v>164</v>
      </c>
      <c r="D60" s="15" t="str">
        <f>IF(B60&lt;&gt;"", SWITCH(C60, "Wild", VLOOKUP(B60, 'Localizações'!$A$2:$D992, 2, FALSE), "Normal", VLOOKUP(B60, 'Localizações'!$A$2:$D992, 3, FALSE), "Hoenn", VLOOKUP(B60, 'Localizações'!$A$2:$D992, 4, FALSE), ""), "")</f>
        <v>https://imgur.com/a/SJntAUa</v>
      </c>
      <c r="E60" s="11"/>
    </row>
    <row r="61">
      <c r="A61" s="5">
        <v>10000.0</v>
      </c>
      <c r="B61" s="5" t="s">
        <v>400</v>
      </c>
      <c r="C61" s="5" t="s">
        <v>164</v>
      </c>
      <c r="D61" s="15" t="str">
        <f>IF(B61&lt;&gt;"", SWITCH(C61, "Wild", VLOOKUP(B61, 'Localizações'!$A$2:$D992, 2, FALSE), "Normal", VLOOKUP(B61, 'Localizações'!$A$2:$D992, 3, FALSE), "Hoenn", VLOOKUP(B61, 'Localizações'!$A$2:$D992, 4, FALSE), ""), "")</f>
        <v>https://imgur.com/a/df36NrE</v>
      </c>
      <c r="E61" s="11"/>
    </row>
    <row r="62">
      <c r="A62" s="5">
        <v>10000.0</v>
      </c>
      <c r="B62" s="5" t="s">
        <v>401</v>
      </c>
      <c r="C62" s="5" t="s">
        <v>164</v>
      </c>
      <c r="D62" s="15" t="str">
        <f>IF(B62&lt;&gt;"", SWITCH(C62, "Wild", VLOOKUP(B62, 'Localizações'!$A$2:$D992, 2, FALSE), "Normal", VLOOKUP(B62, 'Localizações'!$A$2:$D992, 3, FALSE), "Hoenn", VLOOKUP(B62, 'Localizações'!$A$2:$D992, 4, FALSE), ""), "")</f>
        <v>https://imgur.com/a/otQbKEE</v>
      </c>
      <c r="E62" s="11"/>
    </row>
    <row r="63">
      <c r="A63" s="5">
        <v>10000.0</v>
      </c>
      <c r="B63" s="5" t="s">
        <v>402</v>
      </c>
      <c r="C63" s="5" t="s">
        <v>164</v>
      </c>
      <c r="D63" s="15" t="str">
        <f>IF(B63&lt;&gt;"", SWITCH(C63, "Wild", VLOOKUP(B63, 'Localizações'!$A$2:$D992, 2, FALSE), "Normal", VLOOKUP(B63, 'Localizações'!$A$2:$D992, 3, FALSE), "Hoenn", VLOOKUP(B63, 'Localizações'!$A$2:$D992, 4, FALSE), ""), "")</f>
        <v>https://imgur.com/a/j21SPSA</v>
      </c>
      <c r="E63" s="11"/>
    </row>
    <row r="64">
      <c r="A64" s="5">
        <v>10000.0</v>
      </c>
      <c r="B64" s="5" t="s">
        <v>403</v>
      </c>
      <c r="C64" s="5" t="s">
        <v>164</v>
      </c>
      <c r="D64" s="15" t="str">
        <f>IF(B64&lt;&gt;"", SWITCH(C64, "Wild", VLOOKUP(B64, 'Localizações'!$A$2:$D992, 2, FALSE), "Normal", VLOOKUP(B64, 'Localizações'!$A$2:$D992, 3, FALSE), "Hoenn", VLOOKUP(B64, 'Localizações'!$A$2:$D992, 4, FALSE), ""), "")</f>
        <v>https://imgur.com/a/kUQvKbL</v>
      </c>
      <c r="E64" s="11"/>
    </row>
    <row r="65">
      <c r="A65" s="5">
        <v>10000.0</v>
      </c>
      <c r="B65" s="5" t="s">
        <v>404</v>
      </c>
      <c r="C65" s="5" t="s">
        <v>164</v>
      </c>
      <c r="D65" s="15" t="str">
        <f>IF(B65&lt;&gt;"", SWITCH(C65, "Wild", VLOOKUP(B65, 'Localizações'!$A$2:$D992, 2, FALSE), "Normal", VLOOKUP(B65, 'Localizações'!$A$2:$D992, 3, FALSE), "Hoenn", VLOOKUP(B65, 'Localizações'!$A$2:$D992, 4, FALSE), ""), "")</f>
        <v>https://imgur.com/a/j21SPSA</v>
      </c>
      <c r="E65" s="11"/>
    </row>
    <row r="66">
      <c r="A66" s="5">
        <v>10000.0</v>
      </c>
      <c r="B66" s="5" t="s">
        <v>405</v>
      </c>
      <c r="C66" s="5" t="s">
        <v>164</v>
      </c>
      <c r="D66" s="15" t="str">
        <f>IF(B66&lt;&gt;"", SWITCH(C66, "Wild", VLOOKUP(B66, 'Localizações'!$A$2:$D992, 2, FALSE), "Normal", VLOOKUP(B66, 'Localizações'!$A$2:$D992, 3, FALSE), "Hoenn", VLOOKUP(B66, 'Localizações'!$A$2:$D992, 4, FALSE), ""), "")</f>
        <v>https://imgur.com/a/W6HZl3X</v>
      </c>
      <c r="E66" s="11"/>
    </row>
    <row r="67">
      <c r="A67" s="5">
        <v>10000.0</v>
      </c>
      <c r="B67" s="5" t="s">
        <v>406</v>
      </c>
      <c r="C67" s="5" t="s">
        <v>164</v>
      </c>
      <c r="D67" s="15" t="str">
        <f>IF(B67&lt;&gt;"", SWITCH(C67, "Wild", VLOOKUP(B67, 'Localizações'!$A$2:$D992, 2, FALSE), "Normal", VLOOKUP(B67, 'Localizações'!$A$2:$D992, 3, FALSE), "Hoenn", VLOOKUP(B67, 'Localizações'!$A$2:$D992, 4, FALSE), ""), "")</f>
        <v>https://imgur.com/a/yB63tms</v>
      </c>
      <c r="E67" s="11"/>
    </row>
    <row r="68">
      <c r="A68" s="5">
        <v>10000.0</v>
      </c>
      <c r="B68" s="5" t="s">
        <v>407</v>
      </c>
      <c r="C68" s="5" t="s">
        <v>164</v>
      </c>
      <c r="D68" s="15" t="str">
        <f>IF(B68&lt;&gt;"", SWITCH(C68, "Wild", VLOOKUP(B68, 'Localizações'!$A$2:$D992, 2, FALSE), "Normal", VLOOKUP(B68, 'Localizações'!$A$2:$D992, 3, FALSE), "Hoenn", VLOOKUP(B68, 'Localizações'!$A$2:$D992, 4, FALSE), ""), "")</f>
        <v>https://imgur.com/a/ZlGOsvk</v>
      </c>
      <c r="E68" s="5">
        <v>3700.0</v>
      </c>
    </row>
    <row r="69">
      <c r="A69" s="5">
        <v>10000.0</v>
      </c>
      <c r="B69" s="5" t="s">
        <v>408</v>
      </c>
      <c r="C69" s="5" t="s">
        <v>164</v>
      </c>
      <c r="D69" s="15" t="str">
        <f>IF(B69&lt;&gt;"", SWITCH(C69, "Wild", VLOOKUP(B69, 'Localizações'!$A$2:$D992, 2, FALSE), "Normal", VLOOKUP(B69, 'Localizações'!$A$2:$D992, 3, FALSE), "Hoenn", VLOOKUP(B69, 'Localizações'!$A$2:$D992, 4, FALSE), ""), "")</f>
        <v>https://imgur.com/a/DMCBxm0</v>
      </c>
      <c r="E69" s="5">
        <v>2300.0</v>
      </c>
    </row>
    <row r="70">
      <c r="A70" s="5">
        <v>10000.0</v>
      </c>
      <c r="B70" s="5" t="s">
        <v>409</v>
      </c>
      <c r="C70" s="5" t="s">
        <v>164</v>
      </c>
      <c r="D70" s="15" t="str">
        <f>IF(B70&lt;&gt;"", SWITCH(C70, "Wild", VLOOKUP(B70, 'Localizações'!$A$2:$D992, 2, FALSE), "Normal", VLOOKUP(B70, 'Localizações'!$A$2:$D992, 3, FALSE), "Hoenn", VLOOKUP(B70, 'Localizações'!$A$2:$D992, 4, FALSE), ""), "")</f>
        <v>https://imgur.com/a/L0bj8Vd</v>
      </c>
      <c r="E70" s="5">
        <v>2100.0</v>
      </c>
    </row>
    <row r="71">
      <c r="A71" s="5">
        <v>10000.0</v>
      </c>
      <c r="B71" s="5" t="s">
        <v>410</v>
      </c>
      <c r="C71" s="5" t="s">
        <v>164</v>
      </c>
      <c r="D71" s="15" t="str">
        <f>IF(B71&lt;&gt;"", SWITCH(C71, "Wild", VLOOKUP(B71, 'Localizações'!$A$2:$D992, 2, FALSE), "Normal", VLOOKUP(B71, 'Localizações'!$A$2:$D992, 3, FALSE), "Hoenn", VLOOKUP(B71, 'Localizações'!$A$2:$D992, 4, FALSE), ""), "")</f>
        <v>https://imgur.com/a/tBNDQGq</v>
      </c>
      <c r="E71" s="5">
        <v>2400.0</v>
      </c>
    </row>
    <row r="72">
      <c r="A72" s="5">
        <v>10000.0</v>
      </c>
      <c r="B72" s="5" t="s">
        <v>411</v>
      </c>
      <c r="C72" s="5" t="s">
        <v>164</v>
      </c>
      <c r="D72" s="15" t="str">
        <f>IF(B72&lt;&gt;"", SWITCH(C72, "Wild", VLOOKUP(B72, 'Localizações'!$A$2:$D992, 2, FALSE), "Normal", VLOOKUP(B72, 'Localizações'!$A$2:$D992, 3, FALSE), "Hoenn", VLOOKUP(B72, 'Localizações'!$A$2:$D992, 4, FALSE), ""), "")</f>
        <v>https://imgur.com/a/voSoRee</v>
      </c>
      <c r="E72" s="5">
        <v>2900.0</v>
      </c>
    </row>
    <row r="73">
      <c r="A73" s="5">
        <v>10000.0</v>
      </c>
      <c r="B73" s="5" t="s">
        <v>412</v>
      </c>
      <c r="C73" s="5" t="s">
        <v>164</v>
      </c>
      <c r="D73" s="15" t="str">
        <f>IF(B73&lt;&gt;"", SWITCH(C73, "Wild", VLOOKUP(B73, 'Localizações'!$A$2:$D992, 2, FALSE), "Normal", VLOOKUP(B73, 'Localizações'!$A$2:$D992, 3, FALSE), "Hoenn", VLOOKUP(B73, 'Localizações'!$A$2:$D992, 4, FALSE), ""), "")</f>
        <v>https://imgur.com/a/OSpmhX3</v>
      </c>
      <c r="E73" s="5">
        <v>2600.0</v>
      </c>
    </row>
    <row r="74">
      <c r="A74" s="5">
        <v>10000.0</v>
      </c>
      <c r="B74" s="5" t="s">
        <v>413</v>
      </c>
      <c r="C74" s="5" t="s">
        <v>164</v>
      </c>
      <c r="D74" s="15" t="str">
        <f>IF(B74&lt;&gt;"", SWITCH(C74, "Wild", VLOOKUP(B74, 'Localizações'!$A$2:$D992, 2, FALSE), "Normal", VLOOKUP(B74, 'Localizações'!$A$2:$D992, 3, FALSE), "Hoenn", VLOOKUP(B74, 'Localizações'!$A$2:$D992, 4, FALSE), ""), "")</f>
        <v>https://imgur.com/a/6PD5gEv</v>
      </c>
      <c r="E74" s="5">
        <v>2800.0</v>
      </c>
    </row>
    <row r="75">
      <c r="A75" s="5">
        <v>10000.0</v>
      </c>
      <c r="B75" s="5" t="s">
        <v>414</v>
      </c>
      <c r="C75" s="5" t="s">
        <v>164</v>
      </c>
      <c r="D75" s="15" t="str">
        <f>IF(B75&lt;&gt;"", SWITCH(C75, "Wild", VLOOKUP(B75, 'Localizações'!$A$2:$D992, 2, FALSE), "Normal", VLOOKUP(B75, 'Localizações'!$A$2:$D992, 3, FALSE), "Hoenn", VLOOKUP(B75, 'Localizações'!$A$2:$D992, 4, FALSE), ""), "")</f>
        <v>https://imgur.com/a/NnkwV5t</v>
      </c>
      <c r="E75" s="5">
        <v>2800.0</v>
      </c>
    </row>
    <row r="76">
      <c r="A76" s="5">
        <v>10000.0</v>
      </c>
      <c r="B76" s="5" t="s">
        <v>415</v>
      </c>
      <c r="C76" s="5" t="s">
        <v>164</v>
      </c>
      <c r="D76" s="15" t="str">
        <f>IF(B76&lt;&gt;"", SWITCH(C76, "Wild", VLOOKUP(B76, 'Localizações'!$A$2:$D992, 2, FALSE), "Normal", VLOOKUP(B76, 'Localizações'!$A$2:$D992, 3, FALSE), "Hoenn", VLOOKUP(B76, 'Localizações'!$A$2:$D992, 4, FALSE), ""), "")</f>
        <v>https://imgur.com/a/dHnsWqn</v>
      </c>
      <c r="E76" s="5">
        <v>3400.0</v>
      </c>
    </row>
    <row r="77">
      <c r="A77" s="5">
        <v>10000.0</v>
      </c>
      <c r="B77" s="5" t="s">
        <v>416</v>
      </c>
      <c r="C77" s="5" t="s">
        <v>164</v>
      </c>
      <c r="D77" s="15" t="str">
        <f>IF(B77&lt;&gt;"", SWITCH(C77, "Wild", VLOOKUP(B77, 'Localizações'!$A$2:$D992, 2, FALSE), "Normal", VLOOKUP(B77, 'Localizações'!$A$2:$D992, 3, FALSE), "Hoenn", VLOOKUP(B77, 'Localizações'!$A$2:$D992, 4, FALSE), ""), "")</f>
        <v>https://imgur.com/a/tkRwGdL</v>
      </c>
      <c r="E77" s="5">
        <v>2600.0</v>
      </c>
    </row>
    <row r="78">
      <c r="A78" s="5">
        <v>4000.0</v>
      </c>
      <c r="B78" s="5" t="s">
        <v>417</v>
      </c>
      <c r="C78" s="5" t="s">
        <v>418</v>
      </c>
      <c r="D78" s="15" t="str">
        <f>IF(B78&lt;&gt;"", SWITCH(C78, "Wild", VLOOKUP(B78, 'Localizações'!$A$2:$D992, 2, FALSE), "Normal", VLOOKUP(B78, 'Localizações'!$A$2:$D992, 3, FALSE), "Hoenn", VLOOKUP(B78, 'Localizações'!$A$2:$D992, 4, FALSE), ""), "")</f>
        <v>https://imgur.com/a/MtwwL6b</v>
      </c>
      <c r="E78" s="5">
        <v>1120.0</v>
      </c>
    </row>
    <row r="79">
      <c r="A79" s="5">
        <v>4000.0</v>
      </c>
      <c r="B79" s="5" t="s">
        <v>419</v>
      </c>
      <c r="C79" s="5" t="s">
        <v>418</v>
      </c>
      <c r="D79" s="15" t="str">
        <f>IF(B79&lt;&gt;"", SWITCH(C79, "Wild", VLOOKUP(B79, 'Localizações'!$A$2:$D992, 2, FALSE), "Normal", VLOOKUP(B79, 'Localizações'!$A$2:$D992, 3, FALSE), "Hoenn", VLOOKUP(B79, 'Localizações'!$A$2:$D992, 4, FALSE), ""), "")</f>
        <v>https://imgur.com/a/l3lliRe</v>
      </c>
      <c r="E79" s="5">
        <v>1120.0</v>
      </c>
    </row>
    <row r="80">
      <c r="A80" s="5">
        <v>4000.0</v>
      </c>
      <c r="B80" s="5" t="s">
        <v>420</v>
      </c>
      <c r="C80" s="5" t="s">
        <v>418</v>
      </c>
      <c r="D80" s="15" t="str">
        <f>IF(B80&lt;&gt;"", SWITCH(C80, "Wild", VLOOKUP(B80, 'Localizações'!$A$2:$D992, 2, FALSE), "Normal", VLOOKUP(B80, 'Localizações'!$A$2:$D992, 3, FALSE), "Hoenn", VLOOKUP(B80, 'Localizações'!$A$2:$D992, 4, FALSE), ""), "")</f>
        <v>https://imgur.com/a/cJndpSb</v>
      </c>
      <c r="E80" s="5">
        <v>1120.0</v>
      </c>
    </row>
    <row r="81">
      <c r="A81" s="5">
        <v>4000.0</v>
      </c>
      <c r="B81" s="5" t="s">
        <v>421</v>
      </c>
      <c r="C81" s="5" t="s">
        <v>418</v>
      </c>
      <c r="D81" s="15" t="str">
        <f>IF(B81&lt;&gt;"", SWITCH(C81, "Wild", VLOOKUP(B81, 'Localizações'!$A$2:$D992, 2, FALSE), "Normal", VLOOKUP(B81, 'Localizações'!$A$2:$D992, 3, FALSE), "Hoenn", VLOOKUP(B81, 'Localizações'!$A$2:$D992, 4, FALSE), ""), "")</f>
        <v>https://imgur.com/a/xEQLyNo</v>
      </c>
      <c r="E81" s="5">
        <v>1400.0</v>
      </c>
    </row>
    <row r="82">
      <c r="A82" s="5">
        <v>4000.0</v>
      </c>
      <c r="B82" s="5" t="s">
        <v>422</v>
      </c>
      <c r="C82" s="5" t="s">
        <v>418</v>
      </c>
      <c r="D82" s="15" t="str">
        <f>IF(B82&lt;&gt;"", SWITCH(C82, "Wild", VLOOKUP(B82, 'Localizações'!$A$2:$D992, 2, FALSE), "Normal", VLOOKUP(B82, 'Localizações'!$A$2:$D992, 3, FALSE), "Hoenn", VLOOKUP(B82, 'Localizações'!$A$2:$D992, 4, FALSE), ""), "")</f>
        <v>https://imgur.com/a/xG6MiHI</v>
      </c>
      <c r="E82" s="5">
        <v>1400.0</v>
      </c>
    </row>
    <row r="83">
      <c r="A83" s="5">
        <v>4000.0</v>
      </c>
      <c r="B83" s="5" t="s">
        <v>423</v>
      </c>
      <c r="C83" s="5" t="s">
        <v>418</v>
      </c>
      <c r="D83" s="15" t="str">
        <f>IF(B83&lt;&gt;"", SWITCH(C83, "Wild", VLOOKUP(B83, 'Localizações'!$A$2:$D992, 2, FALSE), "Normal", VLOOKUP(B83, 'Localizações'!$A$2:$D992, 3, FALSE), "Hoenn", VLOOKUP(B83, 'Localizações'!$A$2:$D992, 4, FALSE), ""), "")</f>
        <v>https://imgur.com/a/4BU3DIw</v>
      </c>
      <c r="E83" s="5">
        <v>1200.0</v>
      </c>
    </row>
    <row r="84">
      <c r="A84" s="5">
        <v>4000.0</v>
      </c>
      <c r="B84" s="5" t="s">
        <v>424</v>
      </c>
      <c r="C84" s="5" t="s">
        <v>418</v>
      </c>
      <c r="D84" s="15" t="str">
        <f>IF(B84&lt;&gt;"", SWITCH(C84, "Wild", VLOOKUP(B84, 'Localizações'!$A$2:$D992, 2, FALSE), "Normal", VLOOKUP(B84, 'Localizações'!$A$2:$D992, 3, FALSE), "Hoenn", VLOOKUP(B84, 'Localizações'!$A$2:$D992, 4, FALSE), ""), "")</f>
        <v>https://imgur.com/a/zWjp1is</v>
      </c>
      <c r="E84" s="5">
        <v>1300.0</v>
      </c>
    </row>
    <row r="85">
      <c r="A85" s="5">
        <v>4000.0</v>
      </c>
      <c r="B85" s="5" t="s">
        <v>425</v>
      </c>
      <c r="C85" s="5" t="s">
        <v>418</v>
      </c>
      <c r="D85" s="15" t="str">
        <f>IF(B85&lt;&gt;"", SWITCH(C85, "Wild", VLOOKUP(B85, 'Localizações'!$A$2:$D992, 2, FALSE), "Normal", VLOOKUP(B85, 'Localizações'!$A$2:$D992, 3, FALSE), "Hoenn", VLOOKUP(B85, 'Localizações'!$A$2:$D992, 4, FALSE), ""), "")</f>
        <v>https://imgur.com/a/xi7IxsL</v>
      </c>
      <c r="E85" s="5">
        <v>1400.0</v>
      </c>
    </row>
    <row r="86">
      <c r="A86" s="5">
        <v>4000.0</v>
      </c>
      <c r="B86" s="5" t="s">
        <v>426</v>
      </c>
      <c r="C86" s="5" t="s">
        <v>418</v>
      </c>
      <c r="D86" s="15" t="str">
        <f>IF(B86&lt;&gt;"", SWITCH(C86, "Wild", VLOOKUP(B86, 'Localizações'!$A$2:$D992, 2, FALSE), "Normal", VLOOKUP(B86, 'Localizações'!$A$2:$D992, 3, FALSE), "Hoenn", VLOOKUP(B86, 'Localizações'!$A$2:$D992, 4, FALSE), ""), "")</f>
        <v>https://imgur.com/a/xkbItkt</v>
      </c>
      <c r="E86" s="5">
        <v>1140.0</v>
      </c>
    </row>
    <row r="87">
      <c r="A87" s="5">
        <v>4000.0</v>
      </c>
      <c r="B87" s="5" t="s">
        <v>427</v>
      </c>
      <c r="C87" s="5" t="s">
        <v>418</v>
      </c>
      <c r="D87" s="15" t="str">
        <f>IF(B87&lt;&gt;"", SWITCH(C87, "Wild", VLOOKUP(B87, 'Localizações'!$A$2:$D992, 2, FALSE), "Normal", VLOOKUP(B87, 'Localizações'!$A$2:$D992, 3, FALSE), "Hoenn", VLOOKUP(B87, 'Localizações'!$A$2:$D992, 4, FALSE), ""), "")</f>
        <v>https://imgur.com/a/FaZB45d</v>
      </c>
      <c r="E87" s="5">
        <v>1400.0</v>
      </c>
    </row>
    <row r="88">
      <c r="A88" s="5">
        <v>4000.0</v>
      </c>
      <c r="B88" s="11" t="s">
        <v>428</v>
      </c>
      <c r="C88" s="5" t="s">
        <v>418</v>
      </c>
      <c r="D88" s="15" t="str">
        <f>IF(B88&lt;&gt;"", SWITCH(C88, "Wild", VLOOKUP(B88, 'Localizações'!$A$2:$D992, 2, FALSE), "Normal", VLOOKUP(B88, 'Localizações'!$A$2:$D992, 3, FALSE), "Hoenn", VLOOKUP(B88, 'Localizações'!$A$2:$D992, 4, FALSE), ""), "")</f>
        <v>https://imgur.com/a/ywTJuVx</v>
      </c>
      <c r="E88" s="5">
        <v>1100.0</v>
      </c>
    </row>
    <row r="89">
      <c r="A89" s="5">
        <v>4000.0</v>
      </c>
      <c r="B89" s="5" t="s">
        <v>429</v>
      </c>
      <c r="C89" s="5" t="s">
        <v>418</v>
      </c>
      <c r="D89" s="15" t="str">
        <f>IF(B89&lt;&gt;"", SWITCH(C89, "Wild", VLOOKUP(B89, 'Localizações'!$A$2:$D992, 2, FALSE), "Normal", VLOOKUP(B89, 'Localizações'!$A$2:$D992, 3, FALSE), "Hoenn", VLOOKUP(B89, 'Localizações'!$A$2:$D992, 4, FALSE), ""), "")</f>
        <v>https://imgur.com/a/zziX3N4</v>
      </c>
      <c r="E89" s="5">
        <v>1050.0</v>
      </c>
    </row>
    <row r="90">
      <c r="A90" s="5">
        <v>4000.0</v>
      </c>
      <c r="B90" s="5" t="s">
        <v>430</v>
      </c>
      <c r="C90" s="5" t="s">
        <v>418</v>
      </c>
      <c r="D90" s="15" t="str">
        <f>IF(B90&lt;&gt;"", SWITCH(C90, "Wild", VLOOKUP(B90, 'Localizações'!$A$2:$D992, 2, FALSE), "Normal", VLOOKUP(B90, 'Localizações'!$A$2:$D992, 3, FALSE), "Hoenn", VLOOKUP(B90, 'Localizações'!$A$2:$D992, 4, FALSE), ""), "")</f>
        <v>https://imgur.com/a/Dv4T5af</v>
      </c>
      <c r="E90" s="5">
        <v>1600.0</v>
      </c>
    </row>
    <row r="91">
      <c r="A91" s="5">
        <v>4000.0</v>
      </c>
      <c r="B91" s="5" t="s">
        <v>431</v>
      </c>
      <c r="C91" s="5" t="s">
        <v>418</v>
      </c>
      <c r="D91" s="15" t="str">
        <f>IF(B91&lt;&gt;"", SWITCH(C91, "Wild", VLOOKUP(B91, 'Localizações'!$A$2:$D992, 2, FALSE), "Normal", VLOOKUP(B91, 'Localizações'!$A$2:$D992, 3, FALSE), "Hoenn", VLOOKUP(B91, 'Localizações'!$A$2:$D992, 4, FALSE), ""), "")</f>
        <v>https://imgur.com/a/9ny4RTg</v>
      </c>
      <c r="E91" s="5">
        <v>1170.0</v>
      </c>
    </row>
    <row r="92">
      <c r="A92" s="5">
        <v>4000.0</v>
      </c>
      <c r="B92" s="5" t="s">
        <v>432</v>
      </c>
      <c r="C92" s="5" t="s">
        <v>418</v>
      </c>
      <c r="D92" s="15" t="str">
        <f>IF(B92&lt;&gt;"", SWITCH(C92, "Wild", VLOOKUP(B92, 'Localizações'!$A$2:$D992, 2, FALSE), "Normal", VLOOKUP(B92, 'Localizações'!$A$2:$D992, 3, FALSE), "Hoenn", VLOOKUP(B92, 'Localizações'!$A$2:$D992, 4, FALSE), ""), "")</f>
        <v>https://imgur.com/a/aa8JVeg</v>
      </c>
      <c r="E92" s="5">
        <v>1250.0</v>
      </c>
    </row>
    <row r="93">
      <c r="A93" s="5">
        <v>4000.0</v>
      </c>
      <c r="B93" s="5" t="s">
        <v>433</v>
      </c>
      <c r="C93" s="5" t="s">
        <v>418</v>
      </c>
      <c r="D93" s="15" t="str">
        <f>IF(B93&lt;&gt;"", SWITCH(C93, "Wild", VLOOKUP(B93, 'Localizações'!$A$2:$D992, 2, FALSE), "Normal", VLOOKUP(B93, 'Localizações'!$A$2:$D992, 3, FALSE), "Hoenn", VLOOKUP(B93, 'Localizações'!$A$2:$D992, 4, FALSE), ""), "")</f>
        <v>https://imgur.com/a/eWSLlta</v>
      </c>
      <c r="E93" s="5">
        <v>1500.0</v>
      </c>
    </row>
    <row r="94">
      <c r="A94" s="5">
        <f t="shared" ref="A94:A96" si="1">IF(B94&lt;&gt;"", SWITCH(C94, "Wild", 10000, "Normal", "?", "Hoenn", 4000, ""), "")</f>
        <v>4000</v>
      </c>
      <c r="B94" s="5" t="s">
        <v>434</v>
      </c>
      <c r="C94" s="5" t="s">
        <v>418</v>
      </c>
      <c r="D94" s="15" t="str">
        <f>IF(B94&lt;&gt;"", SWITCH(C94, "Wild", VLOOKUP(B94, 'Localizações'!$A$2:$D992, 2, FALSE), "Normal", VLOOKUP(B94, 'Localizações'!$A$2:$D992, 3, FALSE), "Hoenn", VLOOKUP(B94, 'Localizações'!$A$2:$D992, 4, FALSE), ""), "")</f>
        <v>https://imgur.com/a/3by4nDT</v>
      </c>
      <c r="E94" s="5">
        <v>1350.0</v>
      </c>
    </row>
    <row r="95">
      <c r="A95" s="5">
        <f t="shared" si="1"/>
        <v>4000</v>
      </c>
      <c r="B95" s="5" t="s">
        <v>435</v>
      </c>
      <c r="C95" s="5" t="s">
        <v>418</v>
      </c>
      <c r="D95" s="15" t="str">
        <f>IF(B95&lt;&gt;"", SWITCH(C95, "Wild", VLOOKUP(B95, 'Localizações'!$A$2:$D992, 2, FALSE), "Normal", VLOOKUP(B95, 'Localizações'!$A$2:$D992, 3, FALSE), "Hoenn", VLOOKUP(B95, 'Localizações'!$A$2:$D992, 4, FALSE), ""), "")</f>
        <v>https://imgur.com/a/JL6EoDR</v>
      </c>
      <c r="E95" s="5">
        <v>900.0</v>
      </c>
    </row>
    <row r="96">
      <c r="A96" s="5">
        <f t="shared" si="1"/>
        <v>4000</v>
      </c>
      <c r="B96" s="5" t="s">
        <v>436</v>
      </c>
      <c r="C96" s="5" t="s">
        <v>418</v>
      </c>
      <c r="D96" s="15" t="str">
        <f>IF(B96&lt;&gt;"", SWITCH(C96, "Wild", VLOOKUP(B96, 'Localizações'!$A$2:$D992, 2, FALSE), "Normal", VLOOKUP(B96, 'Localizações'!$A$2:$D992, 3, FALSE), "Hoenn", VLOOKUP(B96, 'Localizações'!$A$2:$D992, 4, FALSE), ""), "")</f>
        <v>https://imgur.com/a/a8pfzjH</v>
      </c>
      <c r="E96" s="5">
        <v>1250.0</v>
      </c>
    </row>
    <row r="97">
      <c r="A97" s="5">
        <v>4000.0</v>
      </c>
      <c r="B97" s="5" t="s">
        <v>437</v>
      </c>
      <c r="C97" s="5" t="s">
        <v>418</v>
      </c>
      <c r="D97" s="50" t="s">
        <v>438</v>
      </c>
      <c r="E97" s="5">
        <v>1150.0</v>
      </c>
    </row>
    <row r="98">
      <c r="A98" s="5">
        <f t="shared" ref="A98:A154" si="2">IF(B98&lt;&gt;"", SWITCH(C98, "Wild", 10000, "Normal", "?", "Hoenn", 4000, ""), "")</f>
        <v>4000</v>
      </c>
      <c r="B98" s="5" t="s">
        <v>440</v>
      </c>
      <c r="C98" s="5" t="s">
        <v>418</v>
      </c>
      <c r="D98" s="50" t="s">
        <v>438</v>
      </c>
      <c r="E98" s="5">
        <v>1300.0</v>
      </c>
    </row>
    <row r="99">
      <c r="A99" s="5">
        <f t="shared" si="2"/>
        <v>4000</v>
      </c>
      <c r="B99" s="5" t="s">
        <v>443</v>
      </c>
      <c r="C99" s="5" t="s">
        <v>418</v>
      </c>
      <c r="D99" s="50" t="s">
        <v>438</v>
      </c>
      <c r="E99" s="5">
        <v>1090.0</v>
      </c>
    </row>
    <row r="100">
      <c r="A100" s="5">
        <f t="shared" si="2"/>
        <v>4000</v>
      </c>
      <c r="B100" s="5" t="s">
        <v>446</v>
      </c>
      <c r="C100" s="5" t="s">
        <v>418</v>
      </c>
      <c r="D100" s="15" t="str">
        <f>IF(B100&lt;&gt;"", SWITCH(C100, "Wild", VLOOKUP(B100, 'Localizações'!$A$2:$D992, 2, FALSE), "Normal", VLOOKUP(B100, 'Localizações'!$A$2:$D992, 3, FALSE), "Hoenn", VLOOKUP(B100, 'Localizações'!$A$2:$D992, 4, FALSE), ""), "")</f>
        <v>https://imgur.com/a/8sxx7sN</v>
      </c>
      <c r="E100" s="5">
        <v>1070.0</v>
      </c>
    </row>
    <row r="101">
      <c r="A101" s="5">
        <f t="shared" si="2"/>
        <v>4000</v>
      </c>
      <c r="B101" s="5" t="s">
        <v>450</v>
      </c>
      <c r="C101" s="5" t="s">
        <v>418</v>
      </c>
      <c r="D101" s="15" t="str">
        <f>IF(B101&lt;&gt;"", SWITCH(C101, "Wild", VLOOKUP(B101, 'Localizações'!$A$2:$D992, 2, FALSE), "Normal", VLOOKUP(B101, 'Localizações'!$A$2:$D992, 3, FALSE), "Hoenn", VLOOKUP(B101, 'Localizações'!$A$2:$D992, 4, FALSE), ""), "")</f>
        <v>https://imgur.com/a/625I8kI</v>
      </c>
      <c r="E101" s="5">
        <v>1370.0</v>
      </c>
    </row>
    <row r="102">
      <c r="A102" s="5">
        <f t="shared" si="2"/>
        <v>4000</v>
      </c>
      <c r="B102" s="5" t="s">
        <v>457</v>
      </c>
      <c r="C102" s="5" t="s">
        <v>418</v>
      </c>
      <c r="D102" s="15" t="str">
        <f>IF(B102&lt;&gt;"", SWITCH(C102, "Wild", VLOOKUP(B102, 'Localizações'!$A$2:$D992, 2, FALSE), "Normal", VLOOKUP(B102, 'Localizações'!$A$2:$D992, 3, FALSE), "Hoenn", VLOOKUP(B102, 'Localizações'!$A$2:$D992, 4, FALSE), ""), "")</f>
        <v>https://imgur.com/a/NfMKEg7</v>
      </c>
      <c r="E102" s="5">
        <v>850.0</v>
      </c>
    </row>
    <row r="103">
      <c r="A103" s="5">
        <f t="shared" si="2"/>
        <v>4000</v>
      </c>
      <c r="B103" s="5" t="s">
        <v>466</v>
      </c>
      <c r="C103" s="5" t="s">
        <v>418</v>
      </c>
      <c r="D103" s="15" t="str">
        <f>IF(B103&lt;&gt;"", SWITCH(C103, "Wild", VLOOKUP(B103, 'Localizações'!$A$2:$D992, 2, FALSE), "Normal", VLOOKUP(B103, 'Localizações'!$A$2:$D992, 3, FALSE), "Hoenn", VLOOKUP(B103, 'Localizações'!$A$2:$D992, 4, FALSE), ""), "")</f>
        <v>https://imgur.com/a/rQJH8mB</v>
      </c>
      <c r="E103" s="5">
        <v>1470.0</v>
      </c>
    </row>
    <row r="104">
      <c r="A104" s="5">
        <f t="shared" si="2"/>
        <v>4000</v>
      </c>
      <c r="B104" s="5" t="s">
        <v>472</v>
      </c>
      <c r="C104" s="5" t="s">
        <v>418</v>
      </c>
      <c r="D104" s="15" t="str">
        <f>IF(B104&lt;&gt;"", SWITCH(C104, "Wild", VLOOKUP(B104, 'Localizações'!$A$2:$D992, 2, FALSE), "Normal", VLOOKUP(B104, 'Localizações'!$A$2:$D992, 3, FALSE), "Hoenn", VLOOKUP(B104, 'Localizações'!$A$2:$D992, 4, FALSE), ""), "")</f>
        <v>https://imgur.com/a/vePSZZs</v>
      </c>
      <c r="E104" s="5">
        <v>1220.0</v>
      </c>
    </row>
    <row r="105">
      <c r="A105" s="5">
        <f t="shared" si="2"/>
        <v>4000</v>
      </c>
      <c r="B105" s="5" t="s">
        <v>478</v>
      </c>
      <c r="C105" s="5" t="s">
        <v>418</v>
      </c>
      <c r="D105" s="15" t="str">
        <f>IF(B105&lt;&gt;"", SWITCH(C105, "Wild", VLOOKUP(B105, 'Localizações'!$A$2:$D992, 2, FALSE), "Normal", VLOOKUP(B105, 'Localizações'!$A$2:$D992, 3, FALSE), "Hoenn", VLOOKUP(B105, 'Localizações'!$A$2:$D992, 4, FALSE), ""), "")</f>
        <v>https://imgur.com/a/uSuyBkT</v>
      </c>
      <c r="E105" s="5">
        <v>1450.0</v>
      </c>
    </row>
    <row r="106">
      <c r="A106" s="5">
        <f t="shared" si="2"/>
        <v>4000</v>
      </c>
      <c r="B106" s="5" t="s">
        <v>482</v>
      </c>
      <c r="C106" s="5" t="s">
        <v>418</v>
      </c>
      <c r="D106" s="15" t="str">
        <f>IF(B106&lt;&gt;"", SWITCH(C106, "Wild", VLOOKUP(B106, 'Localizações'!$A$2:$D992, 2, FALSE), "Normal", VLOOKUP(B106, 'Localizações'!$A$2:$D992, 3, FALSE), "Hoenn", VLOOKUP(B106, 'Localizações'!$A$2:$D992, 4, FALSE), ""), "")</f>
        <v>https://imgur.com/a/DRfmDZB</v>
      </c>
      <c r="E106" s="5">
        <v>1140.0</v>
      </c>
    </row>
    <row r="107">
      <c r="A107" s="5">
        <f t="shared" si="2"/>
        <v>4000</v>
      </c>
      <c r="B107" s="5" t="s">
        <v>487</v>
      </c>
      <c r="C107" s="5" t="s">
        <v>418</v>
      </c>
      <c r="D107" s="15" t="str">
        <f>IF(B107&lt;&gt;"", SWITCH(C107, "Wild", VLOOKUP(B107, 'Localizações'!$A$2:$D992, 2, FALSE), "Normal", VLOOKUP(B107, 'Localizações'!$A$2:$D992, 3, FALSE), "Hoenn", VLOOKUP(B107, 'Localizações'!$A$2:$D992, 4, FALSE), ""), "")</f>
        <v>https://imgur.com/a/SGKMzoy</v>
      </c>
      <c r="E107" s="5">
        <v>1460.0</v>
      </c>
    </row>
    <row r="108">
      <c r="A108" s="5">
        <f t="shared" si="2"/>
        <v>4000</v>
      </c>
      <c r="B108" s="5" t="s">
        <v>492</v>
      </c>
      <c r="C108" s="5" t="s">
        <v>418</v>
      </c>
      <c r="D108" s="15" t="str">
        <f>IF(B108&lt;&gt;"", SWITCH(C108, "Wild", VLOOKUP(B108, 'Localizações'!$A$2:$D992, 2, FALSE), "Normal", VLOOKUP(B108, 'Localizações'!$A$2:$D992, 3, FALSE), "Hoenn", VLOOKUP(B108, 'Localizações'!$A$2:$D992, 4, FALSE), ""), "")</f>
        <v>https://imgur.com/a/dtnPZxU</v>
      </c>
      <c r="E108" s="5">
        <v>1460.0</v>
      </c>
    </row>
    <row r="109">
      <c r="A109" s="5">
        <f t="shared" si="2"/>
        <v>4000</v>
      </c>
      <c r="B109" s="5" t="s">
        <v>494</v>
      </c>
      <c r="C109" s="5" t="s">
        <v>418</v>
      </c>
      <c r="D109" s="15" t="str">
        <f>IF(B109&lt;&gt;"", SWITCH(C109, "Wild", VLOOKUP(B109, 'Localizações'!$A$2:$D992, 2, FALSE), "Normal", VLOOKUP(B109, 'Localizações'!$A$2:$D992, 3, FALSE), "Hoenn", VLOOKUP(B109, 'Localizações'!$A$2:$D992, 4, FALSE), ""), "")</f>
        <v>https://imgur.com/a/d9DZYAm</v>
      </c>
      <c r="E109" s="5">
        <v>990.0</v>
      </c>
    </row>
    <row r="110">
      <c r="A110" s="5">
        <f t="shared" si="2"/>
        <v>4000</v>
      </c>
      <c r="B110" s="11" t="s">
        <v>495</v>
      </c>
      <c r="C110" s="5" t="s">
        <v>418</v>
      </c>
      <c r="D110" s="15" t="str">
        <f>IF(B110&lt;&gt;"", SWITCH(C110, "Wild", VLOOKUP(B110, 'Localizações'!$A$2:$D992, 2, FALSE), "Normal", VLOOKUP(B110, 'Localizações'!$A$2:$D992, 3, FALSE), "Hoenn", VLOOKUP(B110, 'Localizações'!$A$2:$D992, 4, FALSE), ""), "")</f>
        <v>https://imgur.com/a/5Ljg7sC</v>
      </c>
      <c r="E110" s="5">
        <v>1460.0</v>
      </c>
    </row>
    <row r="111">
      <c r="A111" s="5">
        <f t="shared" si="2"/>
        <v>4000</v>
      </c>
      <c r="B111" s="5" t="s">
        <v>496</v>
      </c>
      <c r="C111" s="5" t="s">
        <v>418</v>
      </c>
      <c r="D111" s="15" t="str">
        <f>IF(B111&lt;&gt;"", SWITCH(C111, "Wild", VLOOKUP(B111, 'Localizações'!$A$2:$D992, 2, FALSE), "Normal", VLOOKUP(B111, 'Localizações'!$A$2:$D992, 3, FALSE), "Hoenn", VLOOKUP(B111, 'Localizações'!$A$2:$D992, 4, FALSE), ""), "")</f>
        <v>https://imgur.com/a/J42Cek5</v>
      </c>
      <c r="E111" s="5">
        <v>900.0</v>
      </c>
    </row>
    <row r="112">
      <c r="A112" s="5">
        <f t="shared" si="2"/>
        <v>4000</v>
      </c>
      <c r="B112" s="5" t="s">
        <v>497</v>
      </c>
      <c r="C112" s="5" t="s">
        <v>418</v>
      </c>
      <c r="D112" s="15" t="str">
        <f>IF(B112&lt;&gt;"", SWITCH(C112, "Wild", VLOOKUP(B112, 'Localizações'!$A$2:$D992, 2, FALSE), "Normal", VLOOKUP(B112, 'Localizações'!$A$2:$D992, 3, FALSE), "Hoenn", VLOOKUP(B112, 'Localizações'!$A$2:$D992, 4, FALSE), ""), "")</f>
        <v>https://imgur.com/a/RVcmBFH</v>
      </c>
      <c r="E112" s="5">
        <v>1270.0</v>
      </c>
    </row>
    <row r="113">
      <c r="A113" s="5">
        <f t="shared" si="2"/>
        <v>4000</v>
      </c>
      <c r="B113" s="5" t="s">
        <v>501</v>
      </c>
      <c r="C113" s="5" t="s">
        <v>418</v>
      </c>
      <c r="D113" s="15" t="str">
        <f>IF(B113&lt;&gt;"", SWITCH(C113, "Wild", VLOOKUP(B113, 'Localizações'!$A$2:$D992, 2, FALSE), "Normal", VLOOKUP(B113, 'Localizações'!$A$2:$D992, 3, FALSE), "Hoenn", VLOOKUP(B113, 'Localizações'!$A$2:$D992, 4, FALSE), ""), "")</f>
        <v>https://imgur.com/a/A6mD163</v>
      </c>
      <c r="E113" s="5">
        <v>1270.0</v>
      </c>
    </row>
    <row r="114">
      <c r="A114" s="5">
        <f t="shared" si="2"/>
        <v>4000</v>
      </c>
      <c r="B114" s="5" t="s">
        <v>507</v>
      </c>
      <c r="C114" s="5" t="s">
        <v>418</v>
      </c>
      <c r="D114" s="15" t="str">
        <f>IF(B114&lt;&gt;"", SWITCH(C114, "Wild", VLOOKUP(B114, 'Localizações'!$A$2:$D992, 2, FALSE), "Normal", VLOOKUP(B114, 'Localizações'!$A$2:$D992, 3, FALSE), "Hoenn", VLOOKUP(B114, 'Localizações'!$A$2:$D992, 4, FALSE), ""), "")</f>
        <v>https://imgur.com/a/2m6nCb5</v>
      </c>
      <c r="E114" s="5">
        <v>1340.0</v>
      </c>
    </row>
    <row r="115">
      <c r="A115" s="5">
        <f t="shared" si="2"/>
        <v>4000</v>
      </c>
      <c r="B115" s="5" t="s">
        <v>510</v>
      </c>
      <c r="C115" s="5" t="s">
        <v>418</v>
      </c>
      <c r="D115" s="15" t="str">
        <f>IF(B115&lt;&gt;"", SWITCH(C115, "Wild", VLOOKUP(B115, 'Localizações'!$A$2:$D992, 2, FALSE), "Normal", VLOOKUP(B115, 'Localizações'!$A$2:$D992, 3, FALSE), "Hoenn", VLOOKUP(B115, 'Localizações'!$A$2:$D992, 4, FALSE), ""), "")</f>
        <v>https://imgur.com/a/odInvRR</v>
      </c>
      <c r="E115" s="5">
        <v>1230.0</v>
      </c>
    </row>
    <row r="116">
      <c r="A116" s="5">
        <f t="shared" si="2"/>
        <v>4000</v>
      </c>
      <c r="B116" s="5" t="s">
        <v>512</v>
      </c>
      <c r="C116" s="5" t="s">
        <v>418</v>
      </c>
      <c r="D116" s="15" t="str">
        <f>IF(B116&lt;&gt;"", SWITCH(C116, "Wild", VLOOKUP(B116, 'Localizações'!$A$2:$D992, 2, FALSE), "Normal", VLOOKUP(B116, 'Localizações'!$A$2:$D992, 3, FALSE), "Hoenn", VLOOKUP(B116, 'Localizações'!$A$2:$D992, 4, FALSE), ""), "")</f>
        <v>https://imgur.com/a/NUmiPTH</v>
      </c>
      <c r="E116" s="5">
        <v>1600.0</v>
      </c>
    </row>
    <row r="117">
      <c r="A117" s="5">
        <f t="shared" si="2"/>
        <v>4000</v>
      </c>
      <c r="B117" s="5" t="s">
        <v>517</v>
      </c>
      <c r="C117" s="5" t="s">
        <v>418</v>
      </c>
      <c r="D117" s="15" t="str">
        <f>IF(B117&lt;&gt;"", SWITCH(C117, "Wild", VLOOKUP(B117, 'Localizações'!$A$2:$D992, 2, FALSE), "Normal", VLOOKUP(B117, 'Localizações'!$A$2:$D992, 3, FALSE), "Hoenn", VLOOKUP(B117, 'Localizações'!$A$2:$D992, 4, FALSE), ""), "")</f>
        <v>https://imgur.com/a/0irrv1r</v>
      </c>
      <c r="E117" s="5">
        <v>1160.0</v>
      </c>
    </row>
    <row r="118">
      <c r="A118" s="5">
        <f t="shared" si="2"/>
        <v>4000</v>
      </c>
      <c r="B118" s="5" t="s">
        <v>521</v>
      </c>
      <c r="C118" s="5" t="s">
        <v>418</v>
      </c>
      <c r="D118" s="15" t="str">
        <f>IF(B118&lt;&gt;"", SWITCH(C118, "Wild", VLOOKUP(B118, 'Localizações'!$A$2:$D992, 2, FALSE), "Normal", VLOOKUP(B118, 'Localizações'!$A$2:$D992, 3, FALSE), "Hoenn", VLOOKUP(B118, 'Localizações'!$A$2:$D992, 4, FALSE), ""), "")</f>
        <v>https://imgur.com/a/AfWRHhd</v>
      </c>
      <c r="E118" s="5">
        <v>970.0</v>
      </c>
    </row>
    <row r="119">
      <c r="A119" s="5">
        <f t="shared" si="2"/>
        <v>4000</v>
      </c>
      <c r="B119" s="5" t="s">
        <v>523</v>
      </c>
      <c r="C119" s="5" t="s">
        <v>418</v>
      </c>
      <c r="D119" s="15" t="str">
        <f>IF(B119&lt;&gt;"", SWITCH(C119, "Wild", VLOOKUP(B119, 'Localizações'!$A$2:$D992, 2, FALSE), "Normal", VLOOKUP(B119, 'Localizações'!$A$2:$D992, 3, FALSE), "Hoenn", VLOOKUP(B119, 'Localizações'!$A$2:$D992, 4, FALSE), ""), "")</f>
        <v>https://imgur.com/a/LUgy00h</v>
      </c>
      <c r="E119" s="5">
        <v>1350.0</v>
      </c>
    </row>
    <row r="120">
      <c r="A120" s="5">
        <f t="shared" si="2"/>
        <v>4000</v>
      </c>
      <c r="B120" s="5" t="s">
        <v>525</v>
      </c>
      <c r="C120" s="5" t="s">
        <v>418</v>
      </c>
      <c r="D120" s="15" t="str">
        <f>IF(B120&lt;&gt;"", SWITCH(C120, "Wild", VLOOKUP(B120, 'Localizações'!$A$2:$D992, 2, FALSE), "Normal", VLOOKUP(B120, 'Localizações'!$A$2:$D992, 3, FALSE), "Hoenn", VLOOKUP(B120, 'Localizações'!$A$2:$D992, 4, FALSE), ""), "")</f>
        <v>https://imgur.com/a/PC3fNSZ</v>
      </c>
      <c r="E120" s="5">
        <v>1250.0</v>
      </c>
    </row>
    <row r="121">
      <c r="A121" s="5">
        <f t="shared" si="2"/>
        <v>4000</v>
      </c>
      <c r="B121" s="5" t="s">
        <v>530</v>
      </c>
      <c r="C121" s="5" t="s">
        <v>418</v>
      </c>
      <c r="D121" s="15" t="str">
        <f>IF(B121&lt;&gt;"", SWITCH(C121, "Wild", VLOOKUP(B121, 'Localizações'!$A$2:$D992, 2, FALSE), "Normal", VLOOKUP(B121, 'Localizações'!$A$2:$D992, 3, FALSE), "Hoenn", VLOOKUP(B121, 'Localizações'!$A$2:$D992, 4, FALSE), ""), "")</f>
        <v>https://imgur.com/a/sL7iPRj</v>
      </c>
      <c r="E121" s="5">
        <v>1250.0</v>
      </c>
    </row>
    <row r="122">
      <c r="A122" s="5">
        <f t="shared" si="2"/>
        <v>4000</v>
      </c>
      <c r="B122" s="5" t="s">
        <v>535</v>
      </c>
      <c r="C122" s="5" t="s">
        <v>418</v>
      </c>
      <c r="D122" s="15" t="str">
        <f>IF(B122&lt;&gt;"", SWITCH(C122, "Wild", VLOOKUP(B122, 'Localizações'!$A$2:$D992, 2, FALSE), "Normal", VLOOKUP(B122, 'Localizações'!$A$2:$D992, 3, FALSE), "Hoenn", VLOOKUP(B122, 'Localizações'!$A$2:$D992, 4, FALSE), ""), "")</f>
        <v>https://imgur.com/a/Z1blUfu</v>
      </c>
      <c r="E122" s="5">
        <v>1010.0</v>
      </c>
    </row>
    <row r="123">
      <c r="A123" s="5">
        <f t="shared" si="2"/>
        <v>4000</v>
      </c>
      <c r="B123" s="5" t="s">
        <v>538</v>
      </c>
      <c r="C123" s="5" t="s">
        <v>418</v>
      </c>
      <c r="D123" s="15" t="str">
        <f>IF(B123&lt;&gt;"", SWITCH(C123, "Wild", VLOOKUP(B123, 'Localizações'!$A$2:$D992, 2, FALSE), "Normal", VLOOKUP(B123, 'Localizações'!$A$2:$D992, 3, FALSE), "Hoenn", VLOOKUP(B123, 'Localizações'!$A$2:$D992, 4, FALSE), ""), "")</f>
        <v>https://imgur.com/a/rQJH8mB</v>
      </c>
      <c r="E123" s="5">
        <v>1480.0</v>
      </c>
    </row>
    <row r="124">
      <c r="A124" s="5">
        <f t="shared" si="2"/>
        <v>4000</v>
      </c>
      <c r="B124" s="5" t="s">
        <v>542</v>
      </c>
      <c r="C124" s="5" t="s">
        <v>418</v>
      </c>
      <c r="D124" s="15" t="str">
        <f>IF(B124&lt;&gt;"", SWITCH(C124, "Wild", VLOOKUP(B124, 'Localizações'!$A$2:$D992, 2, FALSE), "Normal", VLOOKUP(B124, 'Localizações'!$A$2:$D992, 3, FALSE), "Hoenn", VLOOKUP(B124, 'Localizações'!$A$2:$D992, 4, FALSE), ""), "")</f>
        <v>https://imgur.com/a/CVYjLFv</v>
      </c>
      <c r="E124" s="5">
        <v>1260.0</v>
      </c>
    </row>
    <row r="125">
      <c r="A125" s="5">
        <f t="shared" si="2"/>
        <v>4000</v>
      </c>
      <c r="B125" s="5" t="s">
        <v>548</v>
      </c>
      <c r="C125" s="5" t="s">
        <v>418</v>
      </c>
      <c r="D125" s="15" t="str">
        <f>IF(B125&lt;&gt;"", SWITCH(C125, "Wild", VLOOKUP(B125, 'Localizações'!$A$2:$D992, 2, FALSE), "Normal", VLOOKUP(B125, 'Localizações'!$A$2:$D992, 3, FALSE), "Hoenn", VLOOKUP(B125, 'Localizações'!$A$2:$D992, 4, FALSE), ""), "")</f>
        <v>https://imgur.com/a/WTFRBwz</v>
      </c>
      <c r="E125" s="5">
        <v>1160.0</v>
      </c>
    </row>
    <row r="126">
      <c r="A126" s="5">
        <f t="shared" si="2"/>
        <v>4000</v>
      </c>
      <c r="B126" s="5" t="s">
        <v>553</v>
      </c>
      <c r="C126" s="5" t="s">
        <v>418</v>
      </c>
      <c r="D126" s="15" t="str">
        <f>IF(B126&lt;&gt;"", SWITCH(C126, "Wild", VLOOKUP(B126, 'Localizações'!$A$2:$D992, 2, FALSE), "Normal", VLOOKUP(B126, 'Localizações'!$A$2:$D992, 3, FALSE), "Hoenn", VLOOKUP(B126, 'Localizações'!$A$2:$D992, 4, FALSE), ""), "")</f>
        <v>https://imgur.com/a/9vbSqES</v>
      </c>
      <c r="E126" s="5">
        <v>1260.0</v>
      </c>
    </row>
    <row r="127">
      <c r="A127" s="5">
        <f t="shared" si="2"/>
        <v>4000</v>
      </c>
      <c r="B127" s="5" t="s">
        <v>561</v>
      </c>
      <c r="C127" s="5" t="s">
        <v>418</v>
      </c>
      <c r="D127" s="15" t="str">
        <f>IF(B127&lt;&gt;"", SWITCH(C127, "Wild", VLOOKUP(B127, 'Localizações'!$A$2:$D992, 2, FALSE), "Normal", VLOOKUP(B127, 'Localizações'!$A$2:$D992, 3, FALSE), "Hoenn", VLOOKUP(B127, 'Localizações'!$A$2:$D992, 4, FALSE), ""), "")</f>
        <v>https://imgur.com/a/OoNfzDJ</v>
      </c>
      <c r="E127" s="5">
        <v>1160.0</v>
      </c>
    </row>
    <row r="128">
      <c r="A128" s="5">
        <f t="shared" si="2"/>
        <v>4000</v>
      </c>
      <c r="B128" s="5" t="s">
        <v>566</v>
      </c>
      <c r="C128" s="5" t="s">
        <v>418</v>
      </c>
      <c r="D128" s="15" t="str">
        <f>IF(B128&lt;&gt;"", SWITCH(C128, "Wild", VLOOKUP(B128, 'Localizações'!$A$2:$D992, 2, FALSE), "Normal", VLOOKUP(B128, 'Localizações'!$A$2:$D992, 3, FALSE), "Hoenn", VLOOKUP(B128, 'Localizações'!$A$2:$D992, 4, FALSE), ""), "")</f>
        <v>https://imgur.com/a/KBxrXSg</v>
      </c>
      <c r="E128" s="5">
        <v>1400.0</v>
      </c>
    </row>
    <row r="129">
      <c r="A129" s="5">
        <f t="shared" si="2"/>
        <v>4000</v>
      </c>
      <c r="B129" s="5" t="s">
        <v>574</v>
      </c>
      <c r="C129" s="5" t="s">
        <v>418</v>
      </c>
      <c r="D129" s="15" t="str">
        <f>IF(B129&lt;&gt;"", SWITCH(C129, "Wild", VLOOKUP(B129, 'Localizações'!$A$2:$D992, 2, FALSE), "Normal", VLOOKUP(B129, 'Localizações'!$A$2:$D992, 3, FALSE), "Hoenn", VLOOKUP(B129, 'Localizações'!$A$2:$D992, 4, FALSE), ""), "")</f>
        <v>https://imgur.com/a/Duh5van</v>
      </c>
      <c r="E129" s="5">
        <v>1500.0</v>
      </c>
    </row>
    <row r="130">
      <c r="A130" s="5">
        <f t="shared" si="2"/>
        <v>4000</v>
      </c>
      <c r="B130" s="5" t="s">
        <v>579</v>
      </c>
      <c r="C130" s="5" t="s">
        <v>418</v>
      </c>
      <c r="D130" s="15" t="str">
        <f>IF(B130&lt;&gt;"", SWITCH(C130, "Wild", VLOOKUP(B130, 'Localizações'!$A$2:$D992, 2, FALSE), "Normal", VLOOKUP(B130, 'Localizações'!$A$2:$D992, 3, FALSE), "Hoenn", VLOOKUP(B130, 'Localizações'!$A$2:$D992, 4, FALSE), ""), "")</f>
        <v>https://imgur.com/a/c60bAOF</v>
      </c>
      <c r="E130" s="5">
        <v>1400.0</v>
      </c>
    </row>
    <row r="131">
      <c r="A131" s="5">
        <f t="shared" si="2"/>
        <v>4000</v>
      </c>
      <c r="B131" s="11" t="s">
        <v>581</v>
      </c>
      <c r="C131" s="5" t="s">
        <v>418</v>
      </c>
      <c r="D131" s="15" t="str">
        <f>IF(B131&lt;&gt;"", SWITCH(C131, "Wild", VLOOKUP(B131, 'Localizações'!$A$2:$D992, 2, FALSE), "Normal", VLOOKUP(B131, 'Localizações'!$A$2:$D992, 3, FALSE), "Hoenn", VLOOKUP(B131, 'Localizações'!$A$2:$D992, 4, FALSE), ""), "")</f>
        <v>https://imgur.com/a/TtFAFi8</v>
      </c>
      <c r="E131" s="5">
        <v>1480.0</v>
      </c>
    </row>
    <row r="132">
      <c r="A132" s="5">
        <f t="shared" si="2"/>
        <v>4000</v>
      </c>
      <c r="B132" s="5" t="s">
        <v>587</v>
      </c>
      <c r="C132" s="5" t="s">
        <v>418</v>
      </c>
      <c r="D132" s="15" t="str">
        <f>IF(B132&lt;&gt;"", SWITCH(C132, "Wild", VLOOKUP(B132, 'Localizações'!$A$2:$D992, 2, FALSE), "Normal", VLOOKUP(B132, 'Localizações'!$A$2:$D992, 3, FALSE), "Hoenn", VLOOKUP(B132, 'Localizações'!$A$2:$D992, 4, FALSE), ""), "")</f>
        <v>https://imgur.com/a/4Ovdko8</v>
      </c>
      <c r="E132" s="5">
        <v>1360.0</v>
      </c>
    </row>
    <row r="133">
      <c r="A133" s="5">
        <f t="shared" si="2"/>
        <v>4000</v>
      </c>
      <c r="B133" s="5" t="s">
        <v>594</v>
      </c>
      <c r="C133" s="5" t="s">
        <v>418</v>
      </c>
      <c r="D133" s="15" t="str">
        <f>IF(B133&lt;&gt;"", SWITCH(C133, "Wild", VLOOKUP(B133, 'Localizações'!$A$2:$D992, 2, FALSE), "Normal", VLOOKUP(B133, 'Localizações'!$A$2:$D992, 3, FALSE), "Hoenn", VLOOKUP(B133, 'Localizações'!$A$2:$D992, 4, FALSE), ""), "")</f>
        <v>https://imgur.com/a/0NfZ1UB</v>
      </c>
      <c r="E133" s="5">
        <v>1540.0</v>
      </c>
    </row>
    <row r="134">
      <c r="A134" s="5">
        <f t="shared" si="2"/>
        <v>4000</v>
      </c>
      <c r="B134" s="5" t="s">
        <v>597</v>
      </c>
      <c r="C134" s="5" t="s">
        <v>418</v>
      </c>
      <c r="D134" s="15" t="str">
        <f>IF(B134&lt;&gt;"", SWITCH(C134, "Wild", VLOOKUP(B134, 'Localizações'!$A$2:$D992, 2, FALSE), "Normal", VLOOKUP(B134, 'Localizações'!$A$2:$D992, 3, FALSE), "Hoenn", VLOOKUP(B134, 'Localizações'!$A$2:$D992, 4, FALSE), ""), "")</f>
        <v>https://imgur.com/a/ZZR9q3t</v>
      </c>
      <c r="E134" s="5">
        <v>1420.0</v>
      </c>
    </row>
    <row r="135">
      <c r="A135" s="5">
        <f t="shared" si="2"/>
        <v>4000</v>
      </c>
      <c r="B135" s="5" t="s">
        <v>603</v>
      </c>
      <c r="C135" s="5" t="s">
        <v>418</v>
      </c>
      <c r="D135" s="15" t="str">
        <f>IF(B135&lt;&gt;"", SWITCH(C135, "Wild", VLOOKUP(B135, 'Localizações'!$A$2:$D992, 2, FALSE), "Normal", VLOOKUP(B135, 'Localizações'!$A$2:$D992, 3, FALSE), "Hoenn", VLOOKUP(B135, 'Localizações'!$A$2:$D992, 4, FALSE), ""), "")</f>
        <v>https://imgur.com/a/zeIeMhU</v>
      </c>
      <c r="E135" s="5">
        <v>1400.0</v>
      </c>
    </row>
    <row r="136">
      <c r="A136" s="5">
        <f t="shared" si="2"/>
        <v>4000</v>
      </c>
      <c r="B136" s="5" t="s">
        <v>609</v>
      </c>
      <c r="C136" s="5" t="s">
        <v>418</v>
      </c>
      <c r="D136" s="15" t="str">
        <f>IF(B136&lt;&gt;"", SWITCH(C136, "Wild", VLOOKUP(B136, 'Localizações'!$A$2:$D992, 2, FALSE), "Normal", VLOOKUP(B136, 'Localizações'!$A$2:$D992, 3, FALSE), "Hoenn", VLOOKUP(B136, 'Localizações'!$A$2:$D992, 4, FALSE), ""), "")</f>
        <v>https://imgur.com/a/bKY4IH1</v>
      </c>
      <c r="E136" s="5">
        <v>1360.0</v>
      </c>
    </row>
    <row r="137">
      <c r="A137" s="5">
        <f t="shared" si="2"/>
        <v>4000</v>
      </c>
      <c r="B137" s="5" t="s">
        <v>615</v>
      </c>
      <c r="C137" s="5" t="s">
        <v>418</v>
      </c>
      <c r="D137" s="15" t="str">
        <f>IF(B137&lt;&gt;"", SWITCH(C137, "Wild", VLOOKUP(B137, 'Localizações'!$A$2:$D992, 2, FALSE), "Normal", VLOOKUP(B137, 'Localizações'!$A$2:$D992, 3, FALSE), "Hoenn", VLOOKUP(B137, 'Localizações'!$A$2:$D992, 4, FALSE), ""), "")</f>
        <v>https://imgur.com/a/frxHhRk</v>
      </c>
      <c r="E137" s="5">
        <v>1200.0</v>
      </c>
    </row>
    <row r="138">
      <c r="A138" s="5">
        <f t="shared" si="2"/>
        <v>4000</v>
      </c>
      <c r="B138" s="5" t="s">
        <v>618</v>
      </c>
      <c r="C138" s="5" t="s">
        <v>418</v>
      </c>
      <c r="D138" s="15" t="str">
        <f>IF(B138&lt;&gt;"", SWITCH(C138, "Wild", VLOOKUP(B138, 'Localizações'!$A$2:$D992, 2, FALSE), "Normal", VLOOKUP(B138, 'Localizações'!$A$2:$D992, 3, FALSE), "Hoenn", VLOOKUP(B138, 'Localizações'!$A$2:$D992, 4, FALSE), ""), "")</f>
        <v>https://imgur.com/a/wFcUcVR</v>
      </c>
      <c r="E138" s="5">
        <v>1450.0</v>
      </c>
    </row>
    <row r="139">
      <c r="A139" s="5">
        <f t="shared" si="2"/>
        <v>4000</v>
      </c>
      <c r="B139" s="5" t="s">
        <v>623</v>
      </c>
      <c r="C139" s="5" t="s">
        <v>418</v>
      </c>
      <c r="D139" s="15" t="str">
        <f>IF(B139&lt;&gt;"", SWITCH(C139, "Wild", VLOOKUP(B139, 'Localizações'!$A$2:$D992, 2, FALSE), "Normal", VLOOKUP(B139, 'Localizações'!$A$2:$D992, 3, FALSE), "Hoenn", VLOOKUP(B139, 'Localizações'!$A$2:$D992, 4, FALSE), ""), "")</f>
        <v>https://imgur.com/a/wFcUcVR</v>
      </c>
      <c r="E139" s="5">
        <v>1350.0</v>
      </c>
    </row>
    <row r="140">
      <c r="A140" s="5">
        <f t="shared" si="2"/>
        <v>4000</v>
      </c>
      <c r="B140" s="5" t="s">
        <v>519</v>
      </c>
      <c r="C140" s="5" t="s">
        <v>418</v>
      </c>
      <c r="D140" s="15" t="str">
        <f>IF(B140&lt;&gt;"", SWITCH(C140, "Wild", VLOOKUP(B140, 'Localizações'!$A$2:$D992, 2, FALSE), "Normal", VLOOKUP(B140, 'Localizações'!$A$2:$D992, 3, FALSE), "Hoenn", VLOOKUP(B140, 'Localizações'!$A$2:$D992, 4, FALSE), ""), "")</f>
        <v>https://imgur.com/a/wFcUcVR</v>
      </c>
      <c r="E140" s="5">
        <v>1200.0</v>
      </c>
    </row>
    <row r="141">
      <c r="A141" s="5">
        <f t="shared" si="2"/>
        <v>4000</v>
      </c>
      <c r="B141" s="5" t="s">
        <v>505</v>
      </c>
      <c r="C141" s="5" t="s">
        <v>418</v>
      </c>
      <c r="D141" s="15" t="str">
        <f>IF(B141&lt;&gt;"", SWITCH(C141, "Wild", VLOOKUP(B141, 'Localizações'!$A$2:$D992, 2, FALSE), "Normal", VLOOKUP(B141, 'Localizações'!$A$2:$D992, 3, FALSE), "Hoenn", VLOOKUP(B141, 'Localizações'!$A$2:$D992, 4, FALSE), ""), "")</f>
        <v>https://imgur.com/a/wFcUcVR</v>
      </c>
      <c r="E141" s="5">
        <v>1500.0</v>
      </c>
    </row>
    <row r="142">
      <c r="A142" s="5">
        <f t="shared" si="2"/>
        <v>4000</v>
      </c>
      <c r="B142" s="5" t="s">
        <v>476</v>
      </c>
      <c r="C142" s="5" t="s">
        <v>418</v>
      </c>
      <c r="D142" s="15" t="str">
        <f>IF(B142&lt;&gt;"", SWITCH(C142, "Wild", VLOOKUP(B142, 'Localizações'!$A$2:$D992, 2, FALSE), "Normal", VLOOKUP(B142, 'Localizações'!$A$2:$D992, 3, FALSE), "Hoenn", VLOOKUP(B142, 'Localizações'!$A$2:$D992, 4, FALSE), ""), "")</f>
        <v>https://imgur.com/a/wFcUcVR</v>
      </c>
      <c r="E142" s="5">
        <v>1400.0</v>
      </c>
    </row>
    <row r="143">
      <c r="A143" s="5">
        <f t="shared" si="2"/>
        <v>4000</v>
      </c>
      <c r="B143" s="5" t="s">
        <v>626</v>
      </c>
      <c r="C143" s="5" t="s">
        <v>418</v>
      </c>
      <c r="D143" s="15" t="str">
        <f>IF(B143&lt;&gt;"", SWITCH(C143, "Wild", VLOOKUP(B143, 'Localizações'!$A$2:$D992, 2, FALSE), "Normal", VLOOKUP(B143, 'Localizações'!$A$2:$D992, 3, FALSE), "Hoenn", VLOOKUP(B143, 'Localizações'!$A$2:$D992, 4, FALSE), ""), "")</f>
        <v>https://imgur.com/a/wFcUcVR</v>
      </c>
      <c r="E143" s="5">
        <v>1470.0</v>
      </c>
    </row>
    <row r="144">
      <c r="A144" s="5">
        <f t="shared" si="2"/>
        <v>4000</v>
      </c>
      <c r="B144" s="5" t="s">
        <v>629</v>
      </c>
      <c r="C144" s="5" t="s">
        <v>418</v>
      </c>
      <c r="D144" s="15" t="str">
        <f>IF(B144&lt;&gt;"", SWITCH(C144, "Wild", VLOOKUP(B144, 'Localizações'!$A$2:$D992, 2, FALSE), "Normal", VLOOKUP(B144, 'Localizações'!$A$2:$D992, 3, FALSE), "Hoenn", VLOOKUP(B144, 'Localizações'!$A$2:$D992, 4, FALSE), ""), "")</f>
        <v>https://imgur.com/a/wFcUcVR</v>
      </c>
      <c r="E144" s="5">
        <v>1570.0</v>
      </c>
    </row>
    <row r="145">
      <c r="A145" s="5">
        <f t="shared" si="2"/>
        <v>4000</v>
      </c>
      <c r="B145" s="5" t="s">
        <v>630</v>
      </c>
      <c r="C145" s="5" t="s">
        <v>418</v>
      </c>
      <c r="D145" s="15" t="str">
        <f>IF(B145&lt;&gt;"", SWITCH(C145, "Wild", VLOOKUP(B145, 'Localizações'!$A$2:$D992, 2, FALSE), "Normal", VLOOKUP(B145, 'Localizações'!$A$2:$D992, 3, FALSE), "Hoenn", VLOOKUP(B145, 'Localizações'!$A$2:$D992, 4, FALSE), ""), "")</f>
        <v>https://imgur.com/a/wFcUcVR</v>
      </c>
      <c r="E145" s="5">
        <v>1500.0</v>
      </c>
    </row>
    <row r="146">
      <c r="A146" s="5">
        <f t="shared" si="2"/>
        <v>4000</v>
      </c>
      <c r="B146" s="5" t="s">
        <v>555</v>
      </c>
      <c r="C146" s="5" t="s">
        <v>418</v>
      </c>
      <c r="D146" s="15" t="str">
        <f>IF(B146&lt;&gt;"", SWITCH(C146, "Wild", VLOOKUP(B146, 'Localizações'!$A$2:$D992, 2, FALSE), "Normal", VLOOKUP(B146, 'Localizações'!$A$2:$D992, 3, FALSE), "Hoenn", VLOOKUP(B146, 'Localizações'!$A$2:$D992, 4, FALSE), ""), "")</f>
        <v>https://imgur.com/a/wFcUcVR</v>
      </c>
      <c r="E146" s="5">
        <v>1440.0</v>
      </c>
    </row>
    <row r="147">
      <c r="A147" s="5">
        <f t="shared" si="2"/>
        <v>4000</v>
      </c>
      <c r="B147" s="5" t="s">
        <v>465</v>
      </c>
      <c r="C147" s="5" t="s">
        <v>418</v>
      </c>
      <c r="D147" s="15" t="str">
        <f>IF(B147&lt;&gt;"", SWITCH(C147, "Wild", VLOOKUP(B147, 'Localizações'!$A$2:$D992, 2, FALSE), "Normal", VLOOKUP(B147, 'Localizações'!$A$2:$D992, 3, FALSE), "Hoenn", VLOOKUP(B147, 'Localizações'!$A$2:$D992, 4, FALSE), ""), "")</f>
        <v>https://imgur.com/a/wFcUcVR</v>
      </c>
      <c r="E147" s="5">
        <v>1170.0</v>
      </c>
    </row>
    <row r="148">
      <c r="A148" s="5">
        <f t="shared" si="2"/>
        <v>4000</v>
      </c>
      <c r="B148" s="5" t="s">
        <v>632</v>
      </c>
      <c r="C148" s="5" t="s">
        <v>418</v>
      </c>
      <c r="D148" s="15" t="str">
        <f>IF(B148&lt;&gt;"", SWITCH(C148, "Wild", VLOOKUP(B148, 'Localizações'!$A$2:$D992, 2, FALSE), "Normal", VLOOKUP(B148, 'Localizações'!$A$2:$D992, 3, FALSE), "Hoenn", VLOOKUP(B148, 'Localizações'!$A$2:$D992, 4, FALSE), ""), "")</f>
        <v>https://imgur.com/a/wFcUcVR</v>
      </c>
      <c r="E148" s="5">
        <v>1220.0</v>
      </c>
    </row>
    <row r="149">
      <c r="A149" s="5">
        <f t="shared" si="2"/>
        <v>4000</v>
      </c>
      <c r="B149" s="5" t="s">
        <v>633</v>
      </c>
      <c r="C149" s="5" t="s">
        <v>418</v>
      </c>
      <c r="D149" s="15" t="str">
        <f>IF(B149&lt;&gt;"", SWITCH(C149, "Wild", VLOOKUP(B149, 'Localizações'!$A$2:$D992, 2, FALSE), "Normal", VLOOKUP(B149, 'Localizações'!$A$2:$D992, 3, FALSE), "Hoenn", VLOOKUP(B149, 'Localizações'!$A$2:$D992, 4, FALSE), ""), "")</f>
        <v>https://imgur.com/a/wFcUcVR</v>
      </c>
      <c r="E149" s="5">
        <v>1550.0</v>
      </c>
    </row>
    <row r="150">
      <c r="A150" s="5">
        <f t="shared" si="2"/>
        <v>4000</v>
      </c>
      <c r="B150" s="5" t="s">
        <v>635</v>
      </c>
      <c r="C150" s="5" t="s">
        <v>418</v>
      </c>
      <c r="D150" s="15" t="str">
        <f>IF(B150&lt;&gt;"", SWITCH(C150, "Wild", VLOOKUP(B150, 'Localizações'!$A$2:$D992, 2, FALSE), "Normal", VLOOKUP(B150, 'Localizações'!$A$2:$D992, 3, FALSE), "Hoenn", VLOOKUP(B150, 'Localizações'!$A$2:$D992, 4, FALSE), ""), "")</f>
        <v>https://imgur.com/a/wFcUcVR</v>
      </c>
      <c r="E150" s="5">
        <v>1400.0</v>
      </c>
    </row>
    <row r="151">
      <c r="A151" s="5">
        <f t="shared" si="2"/>
        <v>4000</v>
      </c>
      <c r="B151" s="5" t="s">
        <v>636</v>
      </c>
      <c r="C151" s="5" t="s">
        <v>418</v>
      </c>
      <c r="D151" s="15" t="str">
        <f>IF(B151&lt;&gt;"", SWITCH(C151, "Wild", VLOOKUP(B151, 'Localizações'!$A$2:$D992, 2, FALSE), "Normal", VLOOKUP(B151, 'Localizações'!$A$2:$D992, 3, FALSE), "Hoenn", VLOOKUP(B151, 'Localizações'!$A$2:$D992, 4, FALSE), ""), "")</f>
        <v>https://imgur.com/a/cI3PbPr</v>
      </c>
      <c r="E151" s="5">
        <v>1350.0</v>
      </c>
    </row>
    <row r="152">
      <c r="A152" s="5" t="str">
        <f t="shared" si="2"/>
        <v/>
      </c>
      <c r="B152" s="11"/>
      <c r="C152" s="62"/>
      <c r="D152" s="11" t="str">
        <f>IF(B152&lt;&gt;"", SWITCH(C152, "Wild", VLOOKUP(B152, 'Localizações'!$A$2:$D992, 2, FALSE), "Normal", VLOOKUP(B152, 'Localizações'!$A$2:$D992, 3, FALSE), "Hoenn", VLOOKUP(B152, 'Localizações'!$A$2:$D992, 4, FALSE), ""), "")</f>
        <v/>
      </c>
      <c r="E152" s="11"/>
    </row>
    <row r="153">
      <c r="A153" s="5" t="str">
        <f t="shared" si="2"/>
        <v/>
      </c>
      <c r="D153" s="11" t="str">
        <f>IF(B153&lt;&gt;"", SWITCH(C153, "Wild", VLOOKUP(B153, 'Localizações'!$A$2:$D992, 2, FALSE), "Normal", VLOOKUP(B153, 'Localizações'!$A$2:$D992, 3, FALSE), "Hoenn", VLOOKUP(B153, 'Localizações'!$A$2:$D992, 4, FALSE), ""), "")</f>
        <v/>
      </c>
      <c r="E153" s="63"/>
    </row>
    <row r="154">
      <c r="A154" s="5" t="str">
        <f t="shared" si="2"/>
        <v/>
      </c>
      <c r="D154" s="11" t="str">
        <f>IF(B154&lt;&gt;"", SWITCH(C154, "Wild", VLOOKUP(B154, 'Localizações'!$A$2:$D992, 2, FALSE), "Normal", VLOOKUP(B154, 'Localizações'!$A$2:$D992, 3, FALSE), "Hoenn", VLOOKUP(B154, 'Localizações'!$A$2:$D992, 4, FALSE), ""), "")</f>
        <v/>
      </c>
      <c r="E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  <c r="B161" s="5" t="s">
        <v>643</v>
      </c>
      <c r="C161" s="11">
        <f>CountIF($B$171:$B$178, "&lt;&gt;")</f>
        <v>8</v>
      </c>
      <c r="E161" s="11"/>
    </row>
    <row r="162">
      <c r="A162" s="11"/>
      <c r="B162" s="5" t="str">
        <f t="array" ref="B162:B166">UNIQUE(E171:E178)</f>
        <v>Super Rare (Wild)</v>
      </c>
      <c r="C162" s="11">
        <f t="shared" ref="C162:C166" si="3">CountIF($E$171:$E$178, B162)</f>
        <v>3</v>
      </c>
      <c r="D162" s="11"/>
      <c r="E162" s="11"/>
    </row>
    <row r="163">
      <c r="A163" s="11"/>
      <c r="B163" s="11" t="s">
        <v>647</v>
      </c>
      <c r="C163" s="11">
        <f t="shared" si="3"/>
        <v>1</v>
      </c>
      <c r="D163" s="5"/>
      <c r="E163" s="11"/>
    </row>
    <row r="164">
      <c r="A164" s="11"/>
      <c r="B164" s="11" t="s">
        <v>648</v>
      </c>
      <c r="C164" s="11">
        <f t="shared" si="3"/>
        <v>1</v>
      </c>
      <c r="D164" s="5"/>
      <c r="E164" s="11"/>
    </row>
    <row r="165">
      <c r="A165" s="11"/>
      <c r="B165" s="11" t="s">
        <v>649</v>
      </c>
      <c r="C165" s="11">
        <f t="shared" si="3"/>
        <v>2</v>
      </c>
      <c r="D165" s="5"/>
      <c r="E165" s="11"/>
    </row>
    <row r="166">
      <c r="A166" s="11"/>
      <c r="B166" s="11" t="s">
        <v>650</v>
      </c>
      <c r="C166" s="11">
        <f t="shared" si="3"/>
        <v>1</v>
      </c>
      <c r="D166" s="5"/>
      <c r="E166" s="11"/>
    </row>
    <row r="167">
      <c r="A167" s="11"/>
      <c r="B167" s="11"/>
      <c r="C167" s="11"/>
      <c r="D167" s="5"/>
      <c r="E167" s="11"/>
    </row>
    <row r="168">
      <c r="A168" s="11"/>
      <c r="B168" s="11"/>
      <c r="C168" s="11"/>
      <c r="D168" s="5"/>
      <c r="E168" s="11"/>
    </row>
    <row r="169">
      <c r="A169" s="11"/>
      <c r="B169" s="11"/>
      <c r="C169" s="11"/>
      <c r="D169" s="5"/>
      <c r="E169" s="11"/>
    </row>
    <row r="170">
      <c r="A170" s="11"/>
      <c r="B170" s="5" t="s">
        <v>651</v>
      </c>
      <c r="D170" s="5"/>
      <c r="E170" s="11"/>
    </row>
    <row r="171">
      <c r="A171" s="5" t="s">
        <v>652</v>
      </c>
      <c r="B171" s="11" t="s">
        <v>653</v>
      </c>
      <c r="C171" s="11" t="s">
        <v>654</v>
      </c>
      <c r="D171" s="5" t="s">
        <v>164</v>
      </c>
      <c r="E171" s="11" t="str">
        <f t="shared" ref="E171:E178" si="4">C171&amp;" ("&amp;D171&amp;")"</f>
        <v>Super Rare (Wild)</v>
      </c>
    </row>
    <row r="172">
      <c r="A172" s="11"/>
      <c r="B172" s="11" t="s">
        <v>655</v>
      </c>
      <c r="C172" s="11" t="s">
        <v>654</v>
      </c>
      <c r="D172" s="5" t="s">
        <v>164</v>
      </c>
      <c r="E172" s="11" t="str">
        <f t="shared" si="4"/>
        <v>Super Rare (Wild)</v>
      </c>
    </row>
    <row r="173">
      <c r="A173" s="11"/>
      <c r="B173" s="11" t="s">
        <v>656</v>
      </c>
      <c r="C173" s="11" t="s">
        <v>654</v>
      </c>
      <c r="D173" s="5" t="s">
        <v>164</v>
      </c>
      <c r="E173" s="11" t="str">
        <f t="shared" si="4"/>
        <v>Super Rare (Wild)</v>
      </c>
    </row>
    <row r="174">
      <c r="A174" s="11"/>
      <c r="B174" s="11" t="s">
        <v>657</v>
      </c>
      <c r="C174" s="11" t="s">
        <v>658</v>
      </c>
      <c r="D174" s="5" t="s">
        <v>418</v>
      </c>
      <c r="E174" s="11" t="str">
        <f t="shared" si="4"/>
        <v>Ultra Rare (Hoenn)</v>
      </c>
    </row>
    <row r="175">
      <c r="A175" s="11"/>
      <c r="B175" s="11" t="s">
        <v>659</v>
      </c>
      <c r="C175" s="11" t="s">
        <v>660</v>
      </c>
      <c r="D175" s="5" t="s">
        <v>661</v>
      </c>
      <c r="E175" s="11" t="str">
        <f t="shared" si="4"/>
        <v>Legendary (Tubos)</v>
      </c>
    </row>
    <row r="176">
      <c r="A176" s="11"/>
      <c r="B176" s="11" t="s">
        <v>662</v>
      </c>
      <c r="C176" s="11" t="s">
        <v>663</v>
      </c>
      <c r="D176" s="5" t="s">
        <v>661</v>
      </c>
      <c r="E176" s="11" t="str">
        <f t="shared" si="4"/>
        <v>Mythic (Tubos)</v>
      </c>
    </row>
    <row r="177">
      <c r="A177" s="11"/>
      <c r="B177" s="11" t="s">
        <v>664</v>
      </c>
      <c r="C177" s="11" t="s">
        <v>663</v>
      </c>
      <c r="D177" s="5" t="s">
        <v>418</v>
      </c>
      <c r="E177" s="11" t="str">
        <f t="shared" si="4"/>
        <v>Mythic (Hoenn)</v>
      </c>
    </row>
    <row r="178">
      <c r="A178" s="11"/>
      <c r="B178" s="11" t="s">
        <v>665</v>
      </c>
      <c r="C178" s="11" t="s">
        <v>663</v>
      </c>
      <c r="D178" s="5" t="s">
        <v>661</v>
      </c>
      <c r="E178" s="11" t="str">
        <f t="shared" si="4"/>
        <v>Mythic (Tubos)</v>
      </c>
    </row>
    <row r="179">
      <c r="A179" s="11"/>
    </row>
    <row r="180">
      <c r="A180" s="11"/>
    </row>
    <row r="181">
      <c r="A181" s="11"/>
      <c r="E181" s="11"/>
    </row>
    <row r="182">
      <c r="A182" s="11"/>
      <c r="E182" s="11"/>
    </row>
    <row r="183">
      <c r="A183" s="11"/>
      <c r="E183" s="11"/>
    </row>
    <row r="184">
      <c r="A184" s="11"/>
      <c r="E184" s="11"/>
    </row>
    <row r="185">
      <c r="A185" s="11"/>
      <c r="E185" s="11"/>
    </row>
    <row r="186">
      <c r="A186" s="11"/>
      <c r="E186" s="11"/>
    </row>
    <row r="187">
      <c r="A187" s="11"/>
      <c r="E187" s="11"/>
    </row>
    <row r="188">
      <c r="A188" s="11"/>
      <c r="E188" s="11"/>
    </row>
    <row r="189">
      <c r="A189" s="11"/>
      <c r="E189" s="11"/>
    </row>
    <row r="190">
      <c r="A190" s="11"/>
      <c r="E190" s="11"/>
    </row>
    <row r="191">
      <c r="A191" s="11"/>
      <c r="E191" s="11"/>
    </row>
    <row r="192">
      <c r="A192" s="11"/>
      <c r="E192" s="11"/>
    </row>
    <row r="193">
      <c r="A193" s="11"/>
      <c r="E193" s="11"/>
    </row>
    <row r="194">
      <c r="A194" s="11"/>
      <c r="E194" s="11"/>
    </row>
    <row r="195">
      <c r="A195" s="11"/>
      <c r="E195" s="11"/>
    </row>
    <row r="196">
      <c r="A196" s="11"/>
      <c r="E196" s="11"/>
    </row>
    <row r="197">
      <c r="A197" s="11"/>
      <c r="E197" s="11"/>
    </row>
    <row r="198">
      <c r="A198" s="11"/>
      <c r="E198" s="11"/>
    </row>
    <row r="199">
      <c r="A199" s="11"/>
      <c r="E199" s="11"/>
    </row>
    <row r="200">
      <c r="A200" s="11"/>
      <c r="E200" s="11"/>
    </row>
    <row r="201">
      <c r="A201" s="11"/>
      <c r="E201" s="11"/>
    </row>
    <row r="202">
      <c r="A202" s="11"/>
      <c r="E202" s="11"/>
    </row>
    <row r="203">
      <c r="A203" s="11"/>
      <c r="E203" s="11"/>
    </row>
    <row r="204">
      <c r="A204" s="11"/>
      <c r="E204" s="11"/>
    </row>
    <row r="205">
      <c r="A205" s="11"/>
      <c r="E205" s="11"/>
    </row>
    <row r="206">
      <c r="A206" s="11"/>
      <c r="E206" s="11"/>
    </row>
    <row r="207">
      <c r="A207" s="11"/>
      <c r="E207" s="11"/>
    </row>
    <row r="208">
      <c r="A208" s="11"/>
      <c r="E208" s="11"/>
    </row>
    <row r="209">
      <c r="A209" s="11"/>
      <c r="E209" s="11"/>
    </row>
    <row r="210">
      <c r="A210" s="11"/>
      <c r="B210" s="11"/>
      <c r="D210" s="11"/>
      <c r="E210" s="11"/>
    </row>
    <row r="211">
      <c r="A211" s="11"/>
      <c r="B211" s="11"/>
      <c r="D211" s="11"/>
      <c r="E211" s="11"/>
    </row>
    <row r="212">
      <c r="A212" s="11"/>
      <c r="B212" s="11"/>
      <c r="D212" s="11"/>
      <c r="E212" s="11"/>
    </row>
    <row r="213">
      <c r="A213" s="11"/>
      <c r="B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</sheetData>
  <mergeCells count="1">
    <mergeCell ref="F2:F992"/>
  </mergeCells>
  <dataValidations>
    <dataValidation type="list" allowBlank="1" showErrorMessage="1" sqref="C152">
      <formula1>"Normal,Wild,Hoenn"</formula1>
    </dataValidation>
    <dataValidation type="list" allowBlank="1" showErrorMessage="1" sqref="C2:C151">
      <formula1>"Normal,Wild,Hoenn"</formula1>
    </dataValidation>
  </dataValidations>
  <hyperlinks>
    <hyperlink r:id="rId2" ref="F2"/>
    <hyperlink r:id="rId3" ref="D97"/>
    <hyperlink r:id="rId4" ref="D98"/>
    <hyperlink r:id="rId5" ref="D99"/>
  </hyperlinks>
  <drawing r:id="rId6"/>
  <legacy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33.88"/>
    <col customWidth="1" min="3" max="3" width="28.13"/>
    <col customWidth="1" min="4" max="4" width="38.38"/>
    <col customWidth="1" min="5" max="5" width="46.0"/>
  </cols>
  <sheetData>
    <row r="1">
      <c r="A1" s="18" t="str">
        <f>IFERROR(__xludf.DUMMYFUNCTION("IMPORTRANGE(""https://docs.google.com/spreadsheets/d/1ID3qu1P4Zey82OSLntg4O0xoZlY1hGK58tte0D_Cv_s/edit?pli=1&amp;gid=305783725#gid=305783725"",""Locations!A1:D1002"")"),"Pokémon")</f>
        <v>Pokémon</v>
      </c>
      <c r="B1" s="19" t="str">
        <f>IFERROR(__xludf.DUMMYFUNCTION("""COMPUTED_VALUE"""),"Wildscape (Lvl 150+)")</f>
        <v>Wildscape (Lvl 150+)</v>
      </c>
      <c r="C1" s="19" t="str">
        <f>IFERROR(__xludf.DUMMYFUNCTION("""COMPUTED_VALUE"""),"Normal")</f>
        <v>Normal</v>
      </c>
      <c r="D1" s="19" t="str">
        <f>IFERROR(__xludf.DUMMYFUNCTION("""COMPUTED_VALUE"""),"Hoenn (Lvl 250+)")</f>
        <v>Hoenn (Lvl 250+)</v>
      </c>
      <c r="E1" s="18"/>
    </row>
    <row r="2">
      <c r="A2" s="21" t="str">
        <f>IFERROR(__xludf.DUMMYFUNCTION("""COMPUTED_VALUE"""),"Bulbasaur")</f>
        <v>Bulbasaur</v>
      </c>
      <c r="B2" s="22" t="str">
        <f>IFERROR(__xludf.DUMMYFUNCTION("""COMPUTED_VALUE"""),"-")</f>
        <v>-</v>
      </c>
      <c r="C2" s="23" t="str">
        <f>IFERROR(__xludf.DUMMYFUNCTION("""COMPUTED_VALUE"""),"https://imgur.com/a/jcpzOgr")</f>
        <v>https://imgur.com/a/jcpzOgr</v>
      </c>
      <c r="D2" s="11" t="str">
        <f>IFERROR(__xludf.DUMMYFUNCTION("""COMPUTED_VALUE"""),"-")</f>
        <v>-</v>
      </c>
      <c r="E2" s="25" t="s">
        <v>21</v>
      </c>
    </row>
    <row r="3">
      <c r="A3" s="21" t="str">
        <f>IFERROR(__xludf.DUMMYFUNCTION("""COMPUTED_VALUE"""),"Ivysaur")</f>
        <v>Ivysaur</v>
      </c>
      <c r="B3" s="22" t="str">
        <f>IFERROR(__xludf.DUMMYFUNCTION("""COMPUTED_VALUE"""),"-")</f>
        <v>-</v>
      </c>
      <c r="C3" s="23" t="str">
        <f>IFERROR(__xludf.DUMMYFUNCTION("""COMPUTED_VALUE"""),"https://imgur.com/a/XEfXuD8")</f>
        <v>https://imgur.com/a/XEfXuD8</v>
      </c>
      <c r="D3" s="11" t="str">
        <f>IFERROR(__xludf.DUMMYFUNCTION("""COMPUTED_VALUE"""),"-")</f>
        <v>-</v>
      </c>
    </row>
    <row r="4">
      <c r="A4" s="21" t="str">
        <f>IFERROR(__xludf.DUMMYFUNCTION("""COMPUTED_VALUE"""),"Venusaur")</f>
        <v>Venusaur</v>
      </c>
      <c r="B4" s="15" t="str">
        <f>IFERROR(__xludf.DUMMYFUNCTION("""COMPUTED_VALUE"""),"https://imgur.com/a/QZY9tMI")</f>
        <v>https://imgur.com/a/QZY9tMI</v>
      </c>
      <c r="C4" s="23" t="str">
        <f>IFERROR(__xludf.DUMMYFUNCTION("""COMPUTED_VALUE"""),"https://imgur.com/a/zRcrSLP")</f>
        <v>https://imgur.com/a/zRcrSLP</v>
      </c>
      <c r="D4" s="11" t="str">
        <f>IFERROR(__xludf.DUMMYFUNCTION("""COMPUTED_VALUE"""),"-")</f>
        <v>-</v>
      </c>
    </row>
    <row r="5">
      <c r="A5" s="21" t="str">
        <f>IFERROR(__xludf.DUMMYFUNCTION("""COMPUTED_VALUE"""),"Charmander")</f>
        <v>Charmander</v>
      </c>
      <c r="B5" s="22" t="str">
        <f>IFERROR(__xludf.DUMMYFUNCTION("""COMPUTED_VALUE"""),"-")</f>
        <v>-</v>
      </c>
      <c r="C5" s="23" t="str">
        <f>IFERROR(__xludf.DUMMYFUNCTION("""COMPUTED_VALUE"""),"https://imgur.com/a/8vGvdYp")</f>
        <v>https://imgur.com/a/8vGvdYp</v>
      </c>
      <c r="D5" s="11" t="str">
        <f>IFERROR(__xludf.DUMMYFUNCTION("""COMPUTED_VALUE"""),"-")</f>
        <v>-</v>
      </c>
    </row>
    <row r="6">
      <c r="A6" s="21" t="str">
        <f>IFERROR(__xludf.DUMMYFUNCTION("""COMPUTED_VALUE"""),"Charmelion")</f>
        <v>Charmelion</v>
      </c>
      <c r="B6" s="22" t="str">
        <f>IFERROR(__xludf.DUMMYFUNCTION("""COMPUTED_VALUE"""),"-")</f>
        <v>-</v>
      </c>
      <c r="C6" s="23" t="str">
        <f>IFERROR(__xludf.DUMMYFUNCTION("""COMPUTED_VALUE"""),"https://imgur.com/a/5ZdzM08")</f>
        <v>https://imgur.com/a/5ZdzM08</v>
      </c>
      <c r="D6" s="11" t="str">
        <f>IFERROR(__xludf.DUMMYFUNCTION("""COMPUTED_VALUE"""),"-")</f>
        <v>-</v>
      </c>
    </row>
    <row r="7">
      <c r="A7" s="21" t="str">
        <f>IFERROR(__xludf.DUMMYFUNCTION("""COMPUTED_VALUE"""),"Charizard")</f>
        <v>Charizard</v>
      </c>
      <c r="B7" s="15" t="str">
        <f>IFERROR(__xludf.DUMMYFUNCTION("""COMPUTED_VALUE"""),"https://imgur.com/a/thSWZiw")</f>
        <v>https://imgur.com/a/thSWZiw</v>
      </c>
      <c r="C7" s="23" t="str">
        <f>IFERROR(__xludf.DUMMYFUNCTION("""COMPUTED_VALUE"""),"https://imgur.com/a/ksXMwHN")</f>
        <v>https://imgur.com/a/ksXMwHN</v>
      </c>
      <c r="D7" s="11" t="str">
        <f>IFERROR(__xludf.DUMMYFUNCTION("""COMPUTED_VALUE"""),"-")</f>
        <v>-</v>
      </c>
    </row>
    <row r="8">
      <c r="A8" s="21" t="str">
        <f>IFERROR(__xludf.DUMMYFUNCTION("""COMPUTED_VALUE"""),"Squirtle")</f>
        <v>Squirtle</v>
      </c>
      <c r="B8" s="22" t="str">
        <f>IFERROR(__xludf.DUMMYFUNCTION("""COMPUTED_VALUE"""),"-")</f>
        <v>-</v>
      </c>
      <c r="C8" s="23" t="str">
        <f>IFERROR(__xludf.DUMMYFUNCTION("""COMPUTED_VALUE"""),"https://imgur.com/a/8ZPHQzh")</f>
        <v>https://imgur.com/a/8ZPHQzh</v>
      </c>
      <c r="D8" s="11" t="str">
        <f>IFERROR(__xludf.DUMMYFUNCTION("""COMPUTED_VALUE"""),"-")</f>
        <v>-</v>
      </c>
    </row>
    <row r="9">
      <c r="A9" s="21" t="str">
        <f>IFERROR(__xludf.DUMMYFUNCTION("""COMPUTED_VALUE"""),"Wartortle")</f>
        <v>Wartortle</v>
      </c>
      <c r="B9" s="22" t="str">
        <f>IFERROR(__xludf.DUMMYFUNCTION("""COMPUTED_VALUE"""),"-")</f>
        <v>-</v>
      </c>
      <c r="C9" s="23" t="str">
        <f>IFERROR(__xludf.DUMMYFUNCTION("""COMPUTED_VALUE"""),"https://imgur.com/a/wXrfm6F")</f>
        <v>https://imgur.com/a/wXrfm6F</v>
      </c>
      <c r="D9" s="11" t="str">
        <f>IFERROR(__xludf.DUMMYFUNCTION("""COMPUTED_VALUE"""),"-")</f>
        <v>-</v>
      </c>
    </row>
    <row r="10">
      <c r="A10" s="21" t="str">
        <f>IFERROR(__xludf.DUMMYFUNCTION("""COMPUTED_VALUE"""),"Blastoise")</f>
        <v>Blastoise</v>
      </c>
      <c r="B10" s="15" t="str">
        <f>IFERROR(__xludf.DUMMYFUNCTION("""COMPUTED_VALUE"""),"https://imgur.com/a/H98mIzg")</f>
        <v>https://imgur.com/a/H98mIzg</v>
      </c>
      <c r="C10" s="23" t="str">
        <f>IFERROR(__xludf.DUMMYFUNCTION("""COMPUTED_VALUE"""),"https://imgur.com/a/o6O5mnt")</f>
        <v>https://imgur.com/a/o6O5mnt</v>
      </c>
      <c r="D10" s="11" t="str">
        <f>IFERROR(__xludf.DUMMYFUNCTION("""COMPUTED_VALUE"""),"-")</f>
        <v>-</v>
      </c>
    </row>
    <row r="11">
      <c r="A11" s="21" t="str">
        <f>IFERROR(__xludf.DUMMYFUNCTION("""COMPUTED_VALUE"""),"Caterpie")</f>
        <v>Caterpie</v>
      </c>
      <c r="B11" s="22" t="str">
        <f>IFERROR(__xludf.DUMMYFUNCTION("""COMPUTED_VALUE"""),"-")</f>
        <v>-</v>
      </c>
      <c r="C11" s="23" t="str">
        <f>IFERROR(__xludf.DUMMYFUNCTION("""COMPUTED_VALUE"""),"https://imgur.com/a/FRZPc0L")</f>
        <v>https://imgur.com/a/FRZPc0L</v>
      </c>
      <c r="D11" s="11" t="str">
        <f>IFERROR(__xludf.DUMMYFUNCTION("""COMPUTED_VALUE"""),"-")</f>
        <v>-</v>
      </c>
    </row>
    <row r="12">
      <c r="A12" s="21" t="str">
        <f>IFERROR(__xludf.DUMMYFUNCTION("""COMPUTED_VALUE"""),"Metapod")</f>
        <v>Metapod</v>
      </c>
      <c r="B12" s="22" t="str">
        <f>IFERROR(__xludf.DUMMYFUNCTION("""COMPUTED_VALUE"""),"-")</f>
        <v>-</v>
      </c>
      <c r="C12" s="23" t="str">
        <f>IFERROR(__xludf.DUMMYFUNCTION("""COMPUTED_VALUE"""),"https://imgur.com/a/Md3zxUt")</f>
        <v>https://imgur.com/a/Md3zxUt</v>
      </c>
      <c r="D12" s="11" t="str">
        <f>IFERROR(__xludf.DUMMYFUNCTION("""COMPUTED_VALUE"""),"-")</f>
        <v>-</v>
      </c>
    </row>
    <row r="13">
      <c r="A13" s="21" t="str">
        <f>IFERROR(__xludf.DUMMYFUNCTION("""COMPUTED_VALUE"""),"Butterfree")</f>
        <v>Butterfree</v>
      </c>
      <c r="B13" s="22" t="str">
        <f>IFERROR(__xludf.DUMMYFUNCTION("""COMPUTED_VALUE"""),"-")</f>
        <v>-</v>
      </c>
      <c r="C13" s="23" t="str">
        <f>IFERROR(__xludf.DUMMYFUNCTION("""COMPUTED_VALUE"""),"https://imgur.com/a/IAhK3th")</f>
        <v>https://imgur.com/a/IAhK3th</v>
      </c>
      <c r="D13" s="11" t="str">
        <f>IFERROR(__xludf.DUMMYFUNCTION("""COMPUTED_VALUE"""),"-")</f>
        <v>-</v>
      </c>
    </row>
    <row r="14">
      <c r="A14" s="21" t="str">
        <f>IFERROR(__xludf.DUMMYFUNCTION("""COMPUTED_VALUE"""),"Weedle")</f>
        <v>Weedle</v>
      </c>
      <c r="B14" s="22" t="str">
        <f>IFERROR(__xludf.DUMMYFUNCTION("""COMPUTED_VALUE"""),"-")</f>
        <v>-</v>
      </c>
      <c r="C14" s="23" t="str">
        <f>IFERROR(__xludf.DUMMYFUNCTION("""COMPUTED_VALUE"""),"https://imgur.com/a/3UGhQN6")</f>
        <v>https://imgur.com/a/3UGhQN6</v>
      </c>
      <c r="D14" s="11" t="str">
        <f>IFERROR(__xludf.DUMMYFUNCTION("""COMPUTED_VALUE"""),"-")</f>
        <v>-</v>
      </c>
      <c r="E14" s="11"/>
    </row>
    <row r="15">
      <c r="A15" s="21" t="str">
        <f>IFERROR(__xludf.DUMMYFUNCTION("""COMPUTED_VALUE"""),"Kakuna")</f>
        <v>Kakuna</v>
      </c>
      <c r="B15" s="22" t="str">
        <f>IFERROR(__xludf.DUMMYFUNCTION("""COMPUTED_VALUE"""),"-")</f>
        <v>-</v>
      </c>
      <c r="C15" s="23" t="str">
        <f>IFERROR(__xludf.DUMMYFUNCTION("""COMPUTED_VALUE"""),"https://imgur.com/a/u3FmFya")</f>
        <v>https://imgur.com/a/u3FmFya</v>
      </c>
      <c r="D15" s="11" t="str">
        <f>IFERROR(__xludf.DUMMYFUNCTION("""COMPUTED_VALUE"""),"-")</f>
        <v>-</v>
      </c>
    </row>
    <row r="16">
      <c r="A16" s="21" t="str">
        <f>IFERROR(__xludf.DUMMYFUNCTION("""COMPUTED_VALUE"""),"Beedrill")</f>
        <v>Beedrill</v>
      </c>
      <c r="B16" s="22" t="str">
        <f>IFERROR(__xludf.DUMMYFUNCTION("""COMPUTED_VALUE"""),"-")</f>
        <v>-</v>
      </c>
      <c r="C16" s="23" t="str">
        <f>IFERROR(__xludf.DUMMYFUNCTION("""COMPUTED_VALUE"""),"https://imgur.com/a/1F8OZPT")</f>
        <v>https://imgur.com/a/1F8OZPT</v>
      </c>
      <c r="D16" s="11" t="str">
        <f>IFERROR(__xludf.DUMMYFUNCTION("""COMPUTED_VALUE"""),"-")</f>
        <v>-</v>
      </c>
    </row>
    <row r="17">
      <c r="A17" s="21" t="str">
        <f>IFERROR(__xludf.DUMMYFUNCTION("""COMPUTED_VALUE"""),"Pidgey")</f>
        <v>Pidgey</v>
      </c>
      <c r="B17" s="22" t="str">
        <f>IFERROR(__xludf.DUMMYFUNCTION("""COMPUTED_VALUE"""),"-")</f>
        <v>-</v>
      </c>
      <c r="C17" s="23" t="str">
        <f>IFERROR(__xludf.DUMMYFUNCTION("""COMPUTED_VALUE"""),"https://imgur.com/a/ANHSsgY")</f>
        <v>https://imgur.com/a/ANHSsgY</v>
      </c>
      <c r="D17" s="11" t="str">
        <f>IFERROR(__xludf.DUMMYFUNCTION("""COMPUTED_VALUE"""),"-")</f>
        <v>-</v>
      </c>
    </row>
    <row r="18">
      <c r="A18" s="21" t="str">
        <f>IFERROR(__xludf.DUMMYFUNCTION("""COMPUTED_VALUE"""),"Pidgeotto")</f>
        <v>Pidgeotto</v>
      </c>
      <c r="B18" s="22" t="str">
        <f>IFERROR(__xludf.DUMMYFUNCTION("""COMPUTED_VALUE"""),"-")</f>
        <v>-</v>
      </c>
      <c r="C18" s="23" t="str">
        <f>IFERROR(__xludf.DUMMYFUNCTION("""COMPUTED_VALUE"""),"https://imgur.com/a/yq5WqUg")</f>
        <v>https://imgur.com/a/yq5WqUg</v>
      </c>
      <c r="D18" s="11" t="str">
        <f>IFERROR(__xludf.DUMMYFUNCTION("""COMPUTED_VALUE"""),"-")</f>
        <v>-</v>
      </c>
    </row>
    <row r="19">
      <c r="A19" s="21" t="str">
        <f>IFERROR(__xludf.DUMMYFUNCTION("""COMPUTED_VALUE"""),"Pidgeot")</f>
        <v>Pidgeot</v>
      </c>
      <c r="B19" s="15" t="str">
        <f>IFERROR(__xludf.DUMMYFUNCTION("""COMPUTED_VALUE"""),"https://imgur.com/a/mZdWvFw")</f>
        <v>https://imgur.com/a/mZdWvFw</v>
      </c>
      <c r="C19" s="23" t="str">
        <f>IFERROR(__xludf.DUMMYFUNCTION("""COMPUTED_VALUE"""),"https://imgur.com/a/SmDawr1")</f>
        <v>https://imgur.com/a/SmDawr1</v>
      </c>
      <c r="D19" s="11" t="str">
        <f>IFERROR(__xludf.DUMMYFUNCTION("""COMPUTED_VALUE"""),"-")</f>
        <v>-</v>
      </c>
    </row>
    <row r="20">
      <c r="A20" s="21" t="str">
        <f>IFERROR(__xludf.DUMMYFUNCTION("""COMPUTED_VALUE"""),"Rattata")</f>
        <v>Rattata</v>
      </c>
      <c r="B20" s="22" t="str">
        <f>IFERROR(__xludf.DUMMYFUNCTION("""COMPUTED_VALUE"""),"-")</f>
        <v>-</v>
      </c>
      <c r="C20" s="23" t="str">
        <f>IFERROR(__xludf.DUMMYFUNCTION("""COMPUTED_VALUE"""),"https://imgur.com/a/ZyszZOZ")</f>
        <v>https://imgur.com/a/ZyszZOZ</v>
      </c>
      <c r="D20" s="11" t="str">
        <f>IFERROR(__xludf.DUMMYFUNCTION("""COMPUTED_VALUE"""),"-")</f>
        <v>-</v>
      </c>
    </row>
    <row r="21">
      <c r="A21" s="21" t="str">
        <f>IFERROR(__xludf.DUMMYFUNCTION("""COMPUTED_VALUE"""),"Raticate")</f>
        <v>Raticate</v>
      </c>
      <c r="B21" s="22" t="str">
        <f>IFERROR(__xludf.DUMMYFUNCTION("""COMPUTED_VALUE"""),"-")</f>
        <v>-</v>
      </c>
      <c r="C21" s="23" t="str">
        <f>IFERROR(__xludf.DUMMYFUNCTION("""COMPUTED_VALUE"""),"https://imgur.com/a/ZyszZOZ")</f>
        <v>https://imgur.com/a/ZyszZOZ</v>
      </c>
      <c r="D21" s="11" t="str">
        <f>IFERROR(__xludf.DUMMYFUNCTION("""COMPUTED_VALUE"""),"-")</f>
        <v>-</v>
      </c>
    </row>
    <row r="22">
      <c r="A22" s="21" t="str">
        <f>IFERROR(__xludf.DUMMYFUNCTION("""COMPUTED_VALUE"""),"Spearow")</f>
        <v>Spearow</v>
      </c>
      <c r="B22" s="22" t="str">
        <f>IFERROR(__xludf.DUMMYFUNCTION("""COMPUTED_VALUE"""),"-")</f>
        <v>-</v>
      </c>
      <c r="C22" s="23" t="str">
        <f>IFERROR(__xludf.DUMMYFUNCTION("""COMPUTED_VALUE"""),"https://imgur.com/a/ANHSsgY")</f>
        <v>https://imgur.com/a/ANHSsgY</v>
      </c>
      <c r="D22" s="11" t="str">
        <f>IFERROR(__xludf.DUMMYFUNCTION("""COMPUTED_VALUE"""),"-")</f>
        <v>-</v>
      </c>
    </row>
    <row r="23">
      <c r="A23" s="21" t="str">
        <f>IFERROR(__xludf.DUMMYFUNCTION("""COMPUTED_VALUE"""),"Fearow")</f>
        <v>Fearow</v>
      </c>
      <c r="B23" s="22" t="str">
        <f>IFERROR(__xludf.DUMMYFUNCTION("""COMPUTED_VALUE"""),"-")</f>
        <v>-</v>
      </c>
      <c r="C23" s="23" t="str">
        <f>IFERROR(__xludf.DUMMYFUNCTION("""COMPUTED_VALUE"""),"https://imgur.com/a/NVXqWOp")</f>
        <v>https://imgur.com/a/NVXqWOp</v>
      </c>
      <c r="D23" s="11" t="str">
        <f>IFERROR(__xludf.DUMMYFUNCTION("""COMPUTED_VALUE"""),"-")</f>
        <v>-</v>
      </c>
    </row>
    <row r="24">
      <c r="A24" s="21" t="str">
        <f>IFERROR(__xludf.DUMMYFUNCTION("""COMPUTED_VALUE"""),"Ekans")</f>
        <v>Ekans</v>
      </c>
      <c r="B24" s="22" t="str">
        <f>IFERROR(__xludf.DUMMYFUNCTION("""COMPUTED_VALUE"""),"-")</f>
        <v>-</v>
      </c>
      <c r="C24" s="23" t="str">
        <f>IFERROR(__xludf.DUMMYFUNCTION("""COMPUTED_VALUE"""),"https://imgur.com/a/X7pm0Qb")</f>
        <v>https://imgur.com/a/X7pm0Qb</v>
      </c>
      <c r="D24" s="11" t="str">
        <f>IFERROR(__xludf.DUMMYFUNCTION("""COMPUTED_VALUE"""),"-")</f>
        <v>-</v>
      </c>
    </row>
    <row r="25">
      <c r="A25" s="21" t="str">
        <f>IFERROR(__xludf.DUMMYFUNCTION("""COMPUTED_VALUE"""),"Arbok")</f>
        <v>Arbok</v>
      </c>
      <c r="B25" s="22" t="str">
        <f>IFERROR(__xludf.DUMMYFUNCTION("""COMPUTED_VALUE"""),"-")</f>
        <v>-</v>
      </c>
      <c r="C25" s="23" t="str">
        <f>IFERROR(__xludf.DUMMYFUNCTION("""COMPUTED_VALUE"""),"https://imgur.com/a/urtC1Gz")</f>
        <v>https://imgur.com/a/urtC1Gz</v>
      </c>
      <c r="D25" s="11" t="str">
        <f>IFERROR(__xludf.DUMMYFUNCTION("""COMPUTED_VALUE"""),"-")</f>
        <v>-</v>
      </c>
    </row>
    <row r="26">
      <c r="A26" s="21" t="str">
        <f>IFERROR(__xludf.DUMMYFUNCTION("""COMPUTED_VALUE"""),"Pikachu")</f>
        <v>Pikachu</v>
      </c>
      <c r="B26" s="22" t="str">
        <f>IFERROR(__xludf.DUMMYFUNCTION("""COMPUTED_VALUE"""),"-")</f>
        <v>-</v>
      </c>
      <c r="C26" s="23" t="str">
        <f>IFERROR(__xludf.DUMMYFUNCTION("""COMPUTED_VALUE"""),"https://imgur.com/a/eMjPulX")</f>
        <v>https://imgur.com/a/eMjPulX</v>
      </c>
      <c r="D26" s="11" t="str">
        <f>IFERROR(__xludf.DUMMYFUNCTION("""COMPUTED_VALUE"""),"-")</f>
        <v>-</v>
      </c>
    </row>
    <row r="27">
      <c r="A27" s="21" t="str">
        <f>IFERROR(__xludf.DUMMYFUNCTION("""COMPUTED_VALUE"""),"Raichu")</f>
        <v>Raichu</v>
      </c>
      <c r="B27" s="15" t="str">
        <f>IFERROR(__xludf.DUMMYFUNCTION("""COMPUTED_VALUE"""),"https://imgur.com/a/clP3jSD")</f>
        <v>https://imgur.com/a/clP3jSD</v>
      </c>
      <c r="C27" s="23" t="str">
        <f>IFERROR(__xludf.DUMMYFUNCTION("""COMPUTED_VALUE"""),"https://imgur.com/a/tVt9b2v")</f>
        <v>https://imgur.com/a/tVt9b2v</v>
      </c>
      <c r="D27" s="11" t="str">
        <f>IFERROR(__xludf.DUMMYFUNCTION("""COMPUTED_VALUE"""),"-")</f>
        <v>-</v>
      </c>
    </row>
    <row r="28">
      <c r="A28" s="21" t="str">
        <f>IFERROR(__xludf.DUMMYFUNCTION("""COMPUTED_VALUE"""),"Sandshrew")</f>
        <v>Sandshrew</v>
      </c>
      <c r="B28" s="22" t="str">
        <f>IFERROR(__xludf.DUMMYFUNCTION("""COMPUTED_VALUE"""),"-")</f>
        <v>-</v>
      </c>
      <c r="C28" s="23" t="str">
        <f>IFERROR(__xludf.DUMMYFUNCTION("""COMPUTED_VALUE"""),"https://imgur.com/a/hqHxs3c")</f>
        <v>https://imgur.com/a/hqHxs3c</v>
      </c>
      <c r="D28" s="11" t="str">
        <f>IFERROR(__xludf.DUMMYFUNCTION("""COMPUTED_VALUE"""),"-")</f>
        <v>-</v>
      </c>
    </row>
    <row r="29">
      <c r="A29" s="21" t="str">
        <f>IFERROR(__xludf.DUMMYFUNCTION("""COMPUTED_VALUE"""),"Sandslash")</f>
        <v>Sandslash</v>
      </c>
      <c r="B29" s="23" t="str">
        <f>IFERROR(__xludf.DUMMYFUNCTION("""COMPUTED_VALUE"""),"https://imgur.com/a/d4z4t8M")</f>
        <v>https://imgur.com/a/d4z4t8M</v>
      </c>
      <c r="C29" s="23" t="str">
        <f>IFERROR(__xludf.DUMMYFUNCTION("""COMPUTED_VALUE"""),"https://imgur.com/a/jyNtIqk")</f>
        <v>https://imgur.com/a/jyNtIqk</v>
      </c>
      <c r="D29" s="11" t="str">
        <f>IFERROR(__xludf.DUMMYFUNCTION("""COMPUTED_VALUE"""),"-")</f>
        <v>-</v>
      </c>
    </row>
    <row r="30">
      <c r="A30" s="21" t="str">
        <f>IFERROR(__xludf.DUMMYFUNCTION("""COMPUTED_VALUE"""),"Nidoran female")</f>
        <v>Nidoran female</v>
      </c>
      <c r="B30" s="22" t="str">
        <f>IFERROR(__xludf.DUMMYFUNCTION("""COMPUTED_VALUE"""),"-")</f>
        <v>-</v>
      </c>
      <c r="C30" s="23" t="str">
        <f>IFERROR(__xludf.DUMMYFUNCTION("""COMPUTED_VALUE"""),"https://imgur.com/a/fZJqgPy")</f>
        <v>https://imgur.com/a/fZJqgPy</v>
      </c>
      <c r="D30" s="11" t="str">
        <f>IFERROR(__xludf.DUMMYFUNCTION("""COMPUTED_VALUE"""),"-")</f>
        <v>-</v>
      </c>
    </row>
    <row r="31">
      <c r="A31" s="21" t="str">
        <f>IFERROR(__xludf.DUMMYFUNCTION("""COMPUTED_VALUE"""),"Nidorina")</f>
        <v>Nidorina</v>
      </c>
      <c r="B31" s="22" t="str">
        <f>IFERROR(__xludf.DUMMYFUNCTION("""COMPUTED_VALUE"""),"-")</f>
        <v>-</v>
      </c>
      <c r="C31" s="23" t="str">
        <f>IFERROR(__xludf.DUMMYFUNCTION("""COMPUTED_VALUE"""),"https://imgur.com/a/x0itz9y")</f>
        <v>https://imgur.com/a/x0itz9y</v>
      </c>
      <c r="D31" s="11" t="str">
        <f>IFERROR(__xludf.DUMMYFUNCTION("""COMPUTED_VALUE"""),"-")</f>
        <v>-</v>
      </c>
    </row>
    <row r="32">
      <c r="A32" s="21" t="str">
        <f>IFERROR(__xludf.DUMMYFUNCTION("""COMPUTED_VALUE"""),"Nidoqueen")</f>
        <v>Nidoqueen</v>
      </c>
      <c r="B32" s="15" t="str">
        <f>IFERROR(__xludf.DUMMYFUNCTION("""COMPUTED_VALUE"""),"https://imgur.com/a/lnONjUq")</f>
        <v>https://imgur.com/a/lnONjUq</v>
      </c>
      <c r="C32" s="23" t="str">
        <f>IFERROR(__xludf.DUMMYFUNCTION("""COMPUTED_VALUE"""),"https://imgur.com/a/UiIeSQX")</f>
        <v>https://imgur.com/a/UiIeSQX</v>
      </c>
      <c r="D32" s="11" t="str">
        <f>IFERROR(__xludf.DUMMYFUNCTION("""COMPUTED_VALUE"""),"-")</f>
        <v>-</v>
      </c>
    </row>
    <row r="33">
      <c r="A33" s="21" t="str">
        <f>IFERROR(__xludf.DUMMYFUNCTION("""COMPUTED_VALUE"""),"Nidoran Male")</f>
        <v>Nidoran Male</v>
      </c>
      <c r="B33" s="22" t="str">
        <f>IFERROR(__xludf.DUMMYFUNCTION("""COMPUTED_VALUE"""),"-")</f>
        <v>-</v>
      </c>
      <c r="C33" s="23" t="str">
        <f>IFERROR(__xludf.DUMMYFUNCTION("""COMPUTED_VALUE"""),"https://imgur.com/a/fZJqgPy")</f>
        <v>https://imgur.com/a/fZJqgPy</v>
      </c>
      <c r="D33" s="11" t="str">
        <f>IFERROR(__xludf.DUMMYFUNCTION("""COMPUTED_VALUE"""),"-")</f>
        <v>-</v>
      </c>
    </row>
    <row r="34">
      <c r="A34" s="21" t="str">
        <f>IFERROR(__xludf.DUMMYFUNCTION("""COMPUTED_VALUE"""),"Nidorino")</f>
        <v>Nidorino</v>
      </c>
      <c r="B34" s="22" t="str">
        <f>IFERROR(__xludf.DUMMYFUNCTION("""COMPUTED_VALUE"""),"-")</f>
        <v>-</v>
      </c>
      <c r="C34" s="23" t="str">
        <f>IFERROR(__xludf.DUMMYFUNCTION("""COMPUTED_VALUE"""),"https://imgur.com/a/x0itz9y")</f>
        <v>https://imgur.com/a/x0itz9y</v>
      </c>
      <c r="D34" s="11" t="str">
        <f>IFERROR(__xludf.DUMMYFUNCTION("""COMPUTED_VALUE"""),"-")</f>
        <v>-</v>
      </c>
    </row>
    <row r="35">
      <c r="A35" s="21" t="str">
        <f>IFERROR(__xludf.DUMMYFUNCTION("""COMPUTED_VALUE"""),"Nidoking")</f>
        <v>Nidoking</v>
      </c>
      <c r="B35" s="15" t="str">
        <f>IFERROR(__xludf.DUMMYFUNCTION("""COMPUTED_VALUE"""),"https://imgur.com/a/HWxtEs3")</f>
        <v>https://imgur.com/a/HWxtEs3</v>
      </c>
      <c r="C35" s="23" t="str">
        <f>IFERROR(__xludf.DUMMYFUNCTION("""COMPUTED_VALUE"""),"https://imgur.com/a/6fIH7lZ")</f>
        <v>https://imgur.com/a/6fIH7lZ</v>
      </c>
      <c r="D35" s="11" t="str">
        <f>IFERROR(__xludf.DUMMYFUNCTION("""COMPUTED_VALUE"""),"-")</f>
        <v>-</v>
      </c>
    </row>
    <row r="36">
      <c r="A36" s="21" t="str">
        <f>IFERROR(__xludf.DUMMYFUNCTION("""COMPUTED_VALUE"""),"Clefairy")</f>
        <v>Clefairy</v>
      </c>
      <c r="B36" s="22" t="str">
        <f>IFERROR(__xludf.DUMMYFUNCTION("""COMPUTED_VALUE"""),"-")</f>
        <v>-</v>
      </c>
      <c r="C36" s="23" t="str">
        <f>IFERROR(__xludf.DUMMYFUNCTION("""COMPUTED_VALUE"""),"https://imgur.com/a/HipDvE8")</f>
        <v>https://imgur.com/a/HipDvE8</v>
      </c>
      <c r="D36" s="11" t="str">
        <f>IFERROR(__xludf.DUMMYFUNCTION("""COMPUTED_VALUE"""),"-")</f>
        <v>-</v>
      </c>
    </row>
    <row r="37">
      <c r="A37" s="21" t="str">
        <f>IFERROR(__xludf.DUMMYFUNCTION("""COMPUTED_VALUE"""),"Clefable")</f>
        <v>Clefable</v>
      </c>
      <c r="B37" s="23" t="str">
        <f>IFERROR(__xludf.DUMMYFUNCTION("""COMPUTED_VALUE"""),"https://imgur.com/a/sXQlso1")</f>
        <v>https://imgur.com/a/sXQlso1</v>
      </c>
      <c r="C37" s="35" t="str">
        <f>IFERROR(__xludf.DUMMYFUNCTION("""COMPUTED_VALUE"""),"Escada na DG de Floette em Pewter")</f>
        <v>Escada na DG de Floette em Pewter</v>
      </c>
      <c r="D37" s="11" t="str">
        <f>IFERROR(__xludf.DUMMYFUNCTION("""COMPUTED_VALUE"""),"-")</f>
        <v>-</v>
      </c>
    </row>
    <row r="38">
      <c r="A38" s="21" t="str">
        <f>IFERROR(__xludf.DUMMYFUNCTION("""COMPUTED_VALUE"""),"Vulpix")</f>
        <v>Vulpix</v>
      </c>
      <c r="B38" s="22" t="str">
        <f>IFERROR(__xludf.DUMMYFUNCTION("""COMPUTED_VALUE"""),"-")</f>
        <v>-</v>
      </c>
      <c r="C38" s="23" t="str">
        <f>IFERROR(__xludf.DUMMYFUNCTION("""COMPUTED_VALUE"""),"https://imgur.com/a/G4NlFHG")</f>
        <v>https://imgur.com/a/G4NlFHG</v>
      </c>
      <c r="D38" s="11" t="str">
        <f>IFERROR(__xludf.DUMMYFUNCTION("""COMPUTED_VALUE"""),"-")</f>
        <v>-</v>
      </c>
    </row>
    <row r="39">
      <c r="A39" s="21" t="str">
        <f>IFERROR(__xludf.DUMMYFUNCTION("""COMPUTED_VALUE"""),"Ninetales")</f>
        <v>Ninetales</v>
      </c>
      <c r="B39" s="15" t="str">
        <f>IFERROR(__xludf.DUMMYFUNCTION("""COMPUTED_VALUE"""),"https://imgur.com/a/2uMZqFZ")</f>
        <v>https://imgur.com/a/2uMZqFZ</v>
      </c>
      <c r="C39" s="23" t="str">
        <f>IFERROR(__xludf.DUMMYFUNCTION("""COMPUTED_VALUE"""),"https://imgur.com/a/Rh21XkV")</f>
        <v>https://imgur.com/a/Rh21XkV</v>
      </c>
      <c r="D39" s="11" t="str">
        <f>IFERROR(__xludf.DUMMYFUNCTION("""COMPUTED_VALUE"""),"-")</f>
        <v>-</v>
      </c>
    </row>
    <row r="40">
      <c r="A40" s="21" t="str">
        <f>IFERROR(__xludf.DUMMYFUNCTION("""COMPUTED_VALUE"""),"Jigglypuff")</f>
        <v>Jigglypuff</v>
      </c>
      <c r="B40" s="22" t="str">
        <f>IFERROR(__xludf.DUMMYFUNCTION("""COMPUTED_VALUE"""),"-")</f>
        <v>-</v>
      </c>
      <c r="C40" s="23" t="str">
        <f>IFERROR(__xludf.DUMMYFUNCTION("""COMPUTED_VALUE"""),"https://imgur.com/a/HipDvE8")</f>
        <v>https://imgur.com/a/HipDvE8</v>
      </c>
      <c r="D40" s="11" t="str">
        <f>IFERROR(__xludf.DUMMYFUNCTION("""COMPUTED_VALUE"""),"-")</f>
        <v>-</v>
      </c>
    </row>
    <row r="41">
      <c r="A41" s="21" t="str">
        <f>IFERROR(__xludf.DUMMYFUNCTION("""COMPUTED_VALUE"""),"Wigglytuff")</f>
        <v>Wigglytuff</v>
      </c>
      <c r="B41" s="23" t="str">
        <f>IFERROR(__xludf.DUMMYFUNCTION("""COMPUTED_VALUE"""),"https://imgur.com/a/FuZNCOC")</f>
        <v>https://imgur.com/a/FuZNCOC</v>
      </c>
      <c r="C41" s="35" t="str">
        <f>IFERROR(__xludf.DUMMYFUNCTION("""COMPUTED_VALUE"""),"Escada na DG de Folette em Pewter")</f>
        <v>Escada na DG de Folette em Pewter</v>
      </c>
      <c r="D41" s="11" t="str">
        <f>IFERROR(__xludf.DUMMYFUNCTION("""COMPUTED_VALUE"""),"-")</f>
        <v>-</v>
      </c>
    </row>
    <row r="42">
      <c r="A42" s="21" t="str">
        <f>IFERROR(__xludf.DUMMYFUNCTION("""COMPUTED_VALUE"""),"Zubat")</f>
        <v>Zubat</v>
      </c>
      <c r="B42" s="22" t="str">
        <f>IFERROR(__xludf.DUMMYFUNCTION("""COMPUTED_VALUE"""),"-")</f>
        <v>-</v>
      </c>
      <c r="C42" s="23" t="str">
        <f>IFERROR(__xludf.DUMMYFUNCTION("""COMPUTED_VALUE"""),"https://imgur.com/a/RlR6LYU")</f>
        <v>https://imgur.com/a/RlR6LYU</v>
      </c>
      <c r="D42" s="11" t="str">
        <f>IFERROR(__xludf.DUMMYFUNCTION("""COMPUTED_VALUE"""),"-")</f>
        <v>-</v>
      </c>
    </row>
    <row r="43">
      <c r="A43" s="21" t="str">
        <f>IFERROR(__xludf.DUMMYFUNCTION("""COMPUTED_VALUE"""),"Golbat")</f>
        <v>Golbat</v>
      </c>
      <c r="B43" s="22" t="str">
        <f>IFERROR(__xludf.DUMMYFUNCTION("""COMPUTED_VALUE"""),"-")</f>
        <v>-</v>
      </c>
      <c r="C43" s="23" t="str">
        <f>IFERROR(__xludf.DUMMYFUNCTION("""COMPUTED_VALUE"""),"https://imgur.com/a/uvfPxaO")</f>
        <v>https://imgur.com/a/uvfPxaO</v>
      </c>
      <c r="D43" s="11" t="str">
        <f>IFERROR(__xludf.DUMMYFUNCTION("""COMPUTED_VALUE"""),"-")</f>
        <v>-</v>
      </c>
    </row>
    <row r="44">
      <c r="A44" s="21" t="str">
        <f>IFERROR(__xludf.DUMMYFUNCTION("""COMPUTED_VALUE"""),"Oddish")</f>
        <v>Oddish</v>
      </c>
      <c r="B44" s="22" t="str">
        <f>IFERROR(__xludf.DUMMYFUNCTION("""COMPUTED_VALUE"""),"-")</f>
        <v>-</v>
      </c>
      <c r="C44" s="23" t="str">
        <f>IFERROR(__xludf.DUMMYFUNCTION("""COMPUTED_VALUE"""),"https://imgur.com/a/2SuUURl")</f>
        <v>https://imgur.com/a/2SuUURl</v>
      </c>
      <c r="D44" s="11" t="str">
        <f>IFERROR(__xludf.DUMMYFUNCTION("""COMPUTED_VALUE"""),"-")</f>
        <v>-</v>
      </c>
    </row>
    <row r="45">
      <c r="A45" s="21" t="str">
        <f>IFERROR(__xludf.DUMMYFUNCTION("""COMPUTED_VALUE"""),"Gloom")</f>
        <v>Gloom</v>
      </c>
      <c r="B45" s="22" t="str">
        <f>IFERROR(__xludf.DUMMYFUNCTION("""COMPUTED_VALUE"""),"-")</f>
        <v>-</v>
      </c>
      <c r="C45" s="23" t="str">
        <f>IFERROR(__xludf.DUMMYFUNCTION("""COMPUTED_VALUE"""),"https://imgur.com/a/TaH2l6m")</f>
        <v>https://imgur.com/a/TaH2l6m</v>
      </c>
      <c r="D45" s="11" t="str">
        <f>IFERROR(__xludf.DUMMYFUNCTION("""COMPUTED_VALUE"""),"-")</f>
        <v>-</v>
      </c>
    </row>
    <row r="46">
      <c r="A46" s="21" t="str">
        <f>IFERROR(__xludf.DUMMYFUNCTION("""COMPUTED_VALUE"""),"Vileplume")</f>
        <v>Vileplume</v>
      </c>
      <c r="B46" s="22" t="str">
        <f>IFERROR(__xludf.DUMMYFUNCTION("""COMPUTED_VALUE"""),"-")</f>
        <v>-</v>
      </c>
      <c r="C46" s="23" t="str">
        <f>IFERROR(__xludf.DUMMYFUNCTION("""COMPUTED_VALUE"""),"https://imgur.com/a/iOsQeVF")</f>
        <v>https://imgur.com/a/iOsQeVF</v>
      </c>
      <c r="D46" s="11" t="str">
        <f>IFERROR(__xludf.DUMMYFUNCTION("""COMPUTED_VALUE"""),"-")</f>
        <v>-</v>
      </c>
    </row>
    <row r="47">
      <c r="A47" s="21" t="str">
        <f>IFERROR(__xludf.DUMMYFUNCTION("""COMPUTED_VALUE"""),"Paras")</f>
        <v>Paras</v>
      </c>
      <c r="B47" s="22" t="str">
        <f>IFERROR(__xludf.DUMMYFUNCTION("""COMPUTED_VALUE"""),"-")</f>
        <v>-</v>
      </c>
      <c r="C47" s="23" t="str">
        <f>IFERROR(__xludf.DUMMYFUNCTION("""COMPUTED_VALUE"""),"https://imgur.com/a/tv3nErv")</f>
        <v>https://imgur.com/a/tv3nErv</v>
      </c>
      <c r="D47" s="11" t="str">
        <f>IFERROR(__xludf.DUMMYFUNCTION("""COMPUTED_VALUE"""),"-")</f>
        <v>-</v>
      </c>
    </row>
    <row r="48">
      <c r="A48" s="21" t="str">
        <f>IFERROR(__xludf.DUMMYFUNCTION("""COMPUTED_VALUE"""),"Parasect")</f>
        <v>Parasect</v>
      </c>
      <c r="B48" s="22" t="str">
        <f>IFERROR(__xludf.DUMMYFUNCTION("""COMPUTED_VALUE"""),"-")</f>
        <v>-</v>
      </c>
      <c r="C48" s="23" t="str">
        <f>IFERROR(__xludf.DUMMYFUNCTION("""COMPUTED_VALUE"""),"https://imgur.com/a/tv3nErv")</f>
        <v>https://imgur.com/a/tv3nErv</v>
      </c>
      <c r="D48" s="11" t="str">
        <f>IFERROR(__xludf.DUMMYFUNCTION("""COMPUTED_VALUE"""),"-")</f>
        <v>-</v>
      </c>
    </row>
    <row r="49">
      <c r="A49" s="21" t="str">
        <f>IFERROR(__xludf.DUMMYFUNCTION("""COMPUTED_VALUE"""),"Venonat")</f>
        <v>Venonat</v>
      </c>
      <c r="B49" s="22" t="str">
        <f>IFERROR(__xludf.DUMMYFUNCTION("""COMPUTED_VALUE"""),"-")</f>
        <v>-</v>
      </c>
      <c r="C49" s="23" t="str">
        <f>IFERROR(__xludf.DUMMYFUNCTION("""COMPUTED_VALUE"""),"https://imgur.com/a/X5fPhhu")</f>
        <v>https://imgur.com/a/X5fPhhu</v>
      </c>
      <c r="D49" s="11" t="str">
        <f>IFERROR(__xludf.DUMMYFUNCTION("""COMPUTED_VALUE"""),"-")</f>
        <v>-</v>
      </c>
    </row>
    <row r="50">
      <c r="A50" s="21" t="str">
        <f>IFERROR(__xludf.DUMMYFUNCTION("""COMPUTED_VALUE"""),"Venomoth")</f>
        <v>Venomoth</v>
      </c>
      <c r="B50" s="23" t="str">
        <f>IFERROR(__xludf.DUMMYFUNCTION("""COMPUTED_VALUE"""),"https://imgur.com/a/pfHx2qk")</f>
        <v>https://imgur.com/a/pfHx2qk</v>
      </c>
      <c r="C50" s="23" t="str">
        <f>IFERROR(__xludf.DUMMYFUNCTION("""COMPUTED_VALUE"""),"https://imgur.com/a/09DbkdU")</f>
        <v>https://imgur.com/a/09DbkdU</v>
      </c>
      <c r="D50" s="11" t="str">
        <f>IFERROR(__xludf.DUMMYFUNCTION("""COMPUTED_VALUE"""),"-")</f>
        <v>-</v>
      </c>
    </row>
    <row r="51">
      <c r="A51" s="21" t="str">
        <f>IFERROR(__xludf.DUMMYFUNCTION("""COMPUTED_VALUE"""),"Diglett")</f>
        <v>Diglett</v>
      </c>
      <c r="B51" s="22" t="str">
        <f>IFERROR(__xludf.DUMMYFUNCTION("""COMPUTED_VALUE"""),"-")</f>
        <v>-</v>
      </c>
      <c r="C51" s="23" t="str">
        <f>IFERROR(__xludf.DUMMYFUNCTION("""COMPUTED_VALUE"""),"https://imgur.com/a/oqtqJb4")</f>
        <v>https://imgur.com/a/oqtqJb4</v>
      </c>
      <c r="D51" s="11" t="str">
        <f>IFERROR(__xludf.DUMMYFUNCTION("""COMPUTED_VALUE"""),"-")</f>
        <v>-</v>
      </c>
    </row>
    <row r="52">
      <c r="A52" s="21" t="str">
        <f>IFERROR(__xludf.DUMMYFUNCTION("""COMPUTED_VALUE"""),"Dugtrio")</f>
        <v>Dugtrio</v>
      </c>
      <c r="B52" s="22" t="str">
        <f>IFERROR(__xludf.DUMMYFUNCTION("""COMPUTED_VALUE"""),"-")</f>
        <v>-</v>
      </c>
      <c r="C52" s="23" t="str">
        <f>IFERROR(__xludf.DUMMYFUNCTION("""COMPUTED_VALUE"""),"https://imgur.com/a/qAQiMyS")</f>
        <v>https://imgur.com/a/qAQiMyS</v>
      </c>
      <c r="D52" s="11" t="str">
        <f>IFERROR(__xludf.DUMMYFUNCTION("""COMPUTED_VALUE"""),"-")</f>
        <v>-</v>
      </c>
    </row>
    <row r="53">
      <c r="A53" s="21" t="str">
        <f>IFERROR(__xludf.DUMMYFUNCTION("""COMPUTED_VALUE"""),"Meowth")</f>
        <v>Meowth</v>
      </c>
      <c r="B53" s="22" t="str">
        <f>IFERROR(__xludf.DUMMYFUNCTION("""COMPUTED_VALUE"""),"-")</f>
        <v>-</v>
      </c>
      <c r="C53" s="23" t="str">
        <f>IFERROR(__xludf.DUMMYFUNCTION("""COMPUTED_VALUE"""),"https://imgur.com/a/ZaKbHhf")</f>
        <v>https://imgur.com/a/ZaKbHhf</v>
      </c>
      <c r="D53" s="11" t="str">
        <f>IFERROR(__xludf.DUMMYFUNCTION("""COMPUTED_VALUE"""),"-")</f>
        <v>-</v>
      </c>
    </row>
    <row r="54">
      <c r="A54" s="21" t="str">
        <f>IFERROR(__xludf.DUMMYFUNCTION("""COMPUTED_VALUE"""),"Persian")</f>
        <v>Persian</v>
      </c>
      <c r="B54" s="23" t="str">
        <f>IFERROR(__xludf.DUMMYFUNCTION("""COMPUTED_VALUE"""),"https://imgur.com/a/B7jUmCO")</f>
        <v>https://imgur.com/a/B7jUmCO</v>
      </c>
      <c r="C54" s="23" t="str">
        <f>IFERROR(__xludf.DUMMYFUNCTION("""COMPUTED_VALUE"""),"https://imgur.com/a/pCa1RXB")</f>
        <v>https://imgur.com/a/pCa1RXB</v>
      </c>
      <c r="D54" s="11" t="str">
        <f>IFERROR(__xludf.DUMMYFUNCTION("""COMPUTED_VALUE"""),"-")</f>
        <v>-</v>
      </c>
    </row>
    <row r="55">
      <c r="A55" s="21" t="str">
        <f>IFERROR(__xludf.DUMMYFUNCTION("""COMPUTED_VALUE"""),"Psyduck")</f>
        <v>Psyduck</v>
      </c>
      <c r="B55" s="22" t="str">
        <f>IFERROR(__xludf.DUMMYFUNCTION("""COMPUTED_VALUE"""),"-")</f>
        <v>-</v>
      </c>
      <c r="C55" s="23" t="str">
        <f>IFERROR(__xludf.DUMMYFUNCTION("""COMPUTED_VALUE"""),"https://imgur.com/a/ndO8iRQ")</f>
        <v>https://imgur.com/a/ndO8iRQ</v>
      </c>
      <c r="D55" s="11" t="str">
        <f>IFERROR(__xludf.DUMMYFUNCTION("""COMPUTED_VALUE"""),"-")</f>
        <v>-</v>
      </c>
    </row>
    <row r="56">
      <c r="A56" s="21" t="str">
        <f>IFERROR(__xludf.DUMMYFUNCTION("""COMPUTED_VALUE"""),"Golduck")</f>
        <v>Golduck</v>
      </c>
      <c r="B56" s="22" t="str">
        <f>IFERROR(__xludf.DUMMYFUNCTION("""COMPUTED_VALUE"""),"-")</f>
        <v>-</v>
      </c>
      <c r="C56" s="23" t="str">
        <f>IFERROR(__xludf.DUMMYFUNCTION("""COMPUTED_VALUE"""),"https://youtu.be/jTEe_aB8h-A")</f>
        <v>https://youtu.be/jTEe_aB8h-A</v>
      </c>
      <c r="D56" s="11" t="str">
        <f>IFERROR(__xludf.DUMMYFUNCTION("""COMPUTED_VALUE"""),"-")</f>
        <v>-</v>
      </c>
    </row>
    <row r="57">
      <c r="A57" s="21" t="str">
        <f>IFERROR(__xludf.DUMMYFUNCTION("""COMPUTED_VALUE"""),"Mankey")</f>
        <v>Mankey</v>
      </c>
      <c r="B57" s="22" t="str">
        <f>IFERROR(__xludf.DUMMYFUNCTION("""COMPUTED_VALUE"""),"-")</f>
        <v>-</v>
      </c>
      <c r="C57" s="23" t="str">
        <f>IFERROR(__xludf.DUMMYFUNCTION("""COMPUTED_VALUE"""),"https://imgur.com/a/4E7gOtq")</f>
        <v>https://imgur.com/a/4E7gOtq</v>
      </c>
      <c r="D57" s="11" t="str">
        <f>IFERROR(__xludf.DUMMYFUNCTION("""COMPUTED_VALUE"""),"-")</f>
        <v>-</v>
      </c>
    </row>
    <row r="58">
      <c r="A58" s="21" t="str">
        <f>IFERROR(__xludf.DUMMYFUNCTION("""COMPUTED_VALUE"""),"Primeape")</f>
        <v>Primeape</v>
      </c>
      <c r="B58" s="22" t="str">
        <f>IFERROR(__xludf.DUMMYFUNCTION("""COMPUTED_VALUE"""),"-")</f>
        <v>-</v>
      </c>
      <c r="C58" s="23" t="str">
        <f>IFERROR(__xludf.DUMMYFUNCTION("""COMPUTED_VALUE"""),"https://imgur.com/a/4E7gOtq")</f>
        <v>https://imgur.com/a/4E7gOtq</v>
      </c>
      <c r="D58" s="11" t="str">
        <f>IFERROR(__xludf.DUMMYFUNCTION("""COMPUTED_VALUE"""),"-")</f>
        <v>-</v>
      </c>
    </row>
    <row r="59">
      <c r="A59" s="21" t="str">
        <f>IFERROR(__xludf.DUMMYFUNCTION("""COMPUTED_VALUE"""),"Growlithe")</f>
        <v>Growlithe</v>
      </c>
      <c r="B59" s="22" t="str">
        <f>IFERROR(__xludf.DUMMYFUNCTION("""COMPUTED_VALUE"""),"-")</f>
        <v>-</v>
      </c>
      <c r="C59" s="23" t="str">
        <f>IFERROR(__xludf.DUMMYFUNCTION("""COMPUTED_VALUE"""),"https://imgur.com/a/yAYRe4r")</f>
        <v>https://imgur.com/a/yAYRe4r</v>
      </c>
      <c r="D59" s="11" t="str">
        <f>IFERROR(__xludf.DUMMYFUNCTION("""COMPUTED_VALUE"""),"-")</f>
        <v>-</v>
      </c>
    </row>
    <row r="60">
      <c r="A60" s="21" t="str">
        <f>IFERROR(__xludf.DUMMYFUNCTION("""COMPUTED_VALUE"""),"Arcanine")</f>
        <v>Arcanine</v>
      </c>
      <c r="B60" s="15" t="str">
        <f>IFERROR(__xludf.DUMMYFUNCTION("""COMPUTED_VALUE"""),"https://imgur.com/a/NnkwV5t")</f>
        <v>https://imgur.com/a/NnkwV5t</v>
      </c>
      <c r="C60" s="23" t="str">
        <f>IFERROR(__xludf.DUMMYFUNCTION("""COMPUTED_VALUE"""),"https://imgur.com/a/InCkrp9")</f>
        <v>https://imgur.com/a/InCkrp9</v>
      </c>
      <c r="D60" s="11" t="str">
        <f>IFERROR(__xludf.DUMMYFUNCTION("""COMPUTED_VALUE"""),"-")</f>
        <v>-</v>
      </c>
    </row>
    <row r="61">
      <c r="A61" s="21" t="str">
        <f>IFERROR(__xludf.DUMMYFUNCTION("""COMPUTED_VALUE"""),"Poliwag")</f>
        <v>Poliwag</v>
      </c>
      <c r="B61" s="22" t="str">
        <f>IFERROR(__xludf.DUMMYFUNCTION("""COMPUTED_VALUE"""),"-")</f>
        <v>-</v>
      </c>
      <c r="C61" s="23" t="str">
        <f>IFERROR(__xludf.DUMMYFUNCTION("""COMPUTED_VALUE"""),"https://imgur.com/a/LmUUKug")</f>
        <v>https://imgur.com/a/LmUUKug</v>
      </c>
      <c r="D61" s="11" t="str">
        <f>IFERROR(__xludf.DUMMYFUNCTION("""COMPUTED_VALUE"""),"-")</f>
        <v>-</v>
      </c>
    </row>
    <row r="62">
      <c r="A62" s="21" t="str">
        <f>IFERROR(__xludf.DUMMYFUNCTION("""COMPUTED_VALUE"""),"Poliwhirl")</f>
        <v>Poliwhirl</v>
      </c>
      <c r="B62" s="22" t="str">
        <f>IFERROR(__xludf.DUMMYFUNCTION("""COMPUTED_VALUE"""),"-")</f>
        <v>-</v>
      </c>
      <c r="C62" s="23" t="str">
        <f>IFERROR(__xludf.DUMMYFUNCTION("""COMPUTED_VALUE"""),"https://imgur.com/a/4pP85lz")</f>
        <v>https://imgur.com/a/4pP85lz</v>
      </c>
      <c r="D62" s="11" t="str">
        <f>IFERROR(__xludf.DUMMYFUNCTION("""COMPUTED_VALUE"""),"-")</f>
        <v>-</v>
      </c>
    </row>
    <row r="63">
      <c r="A63" s="21" t="str">
        <f>IFERROR(__xludf.DUMMYFUNCTION("""COMPUTED_VALUE"""),"Poliwrath")</f>
        <v>Poliwrath</v>
      </c>
      <c r="B63" s="15" t="str">
        <f>IFERROR(__xludf.DUMMYFUNCTION("""COMPUTED_VALUE"""),"https://imgur.com/a/c9ewG6a")</f>
        <v>https://imgur.com/a/c9ewG6a</v>
      </c>
      <c r="C63" s="23" t="str">
        <f>IFERROR(__xludf.DUMMYFUNCTION("""COMPUTED_VALUE"""),"https://imgur.com/a/IyWzoPx")</f>
        <v>https://imgur.com/a/IyWzoPx</v>
      </c>
      <c r="D63" s="11" t="str">
        <f>IFERROR(__xludf.DUMMYFUNCTION("""COMPUTED_VALUE"""),"-")</f>
        <v>-</v>
      </c>
    </row>
    <row r="64">
      <c r="A64" s="21" t="str">
        <f>IFERROR(__xludf.DUMMYFUNCTION("""COMPUTED_VALUE"""),"Abra")</f>
        <v>Abra</v>
      </c>
      <c r="B64" s="22" t="str">
        <f>IFERROR(__xludf.DUMMYFUNCTION("""COMPUTED_VALUE"""),"-")</f>
        <v>-</v>
      </c>
      <c r="C64" s="23" t="str">
        <f>IFERROR(__xludf.DUMMYFUNCTION("""COMPUTED_VALUE"""),"https://imgur.com/a/ekO6c8T")</f>
        <v>https://imgur.com/a/ekO6c8T</v>
      </c>
      <c r="D64" s="11" t="str">
        <f>IFERROR(__xludf.DUMMYFUNCTION("""COMPUTED_VALUE"""),"-")</f>
        <v>-</v>
      </c>
    </row>
    <row r="65">
      <c r="A65" s="21" t="str">
        <f>IFERROR(__xludf.DUMMYFUNCTION("""COMPUTED_VALUE"""),"Kadabra")</f>
        <v>Kadabra</v>
      </c>
      <c r="B65" s="22" t="str">
        <f>IFERROR(__xludf.DUMMYFUNCTION("""COMPUTED_VALUE"""),"-")</f>
        <v>-</v>
      </c>
      <c r="C65" s="23" t="str">
        <f>IFERROR(__xludf.DUMMYFUNCTION("""COMPUTED_VALUE"""),"https://imgur.com/a/G7qjSsO")</f>
        <v>https://imgur.com/a/G7qjSsO</v>
      </c>
      <c r="D65" s="11" t="str">
        <f>IFERROR(__xludf.DUMMYFUNCTION("""COMPUTED_VALUE"""),"-")</f>
        <v>-</v>
      </c>
    </row>
    <row r="66">
      <c r="A66" s="21" t="str">
        <f>IFERROR(__xludf.DUMMYFUNCTION("""COMPUTED_VALUE"""),"Alakazam")</f>
        <v>Alakazam</v>
      </c>
      <c r="B66" s="15" t="str">
        <f>IFERROR(__xludf.DUMMYFUNCTION("""COMPUTED_VALUE"""),"https://imgur.com/a/OEmy8zV")</f>
        <v>https://imgur.com/a/OEmy8zV</v>
      </c>
      <c r="C66" s="23" t="str">
        <f>IFERROR(__xludf.DUMMYFUNCTION("""COMPUTED_VALUE"""),"https://imgur.com/a/n2TjM6f")</f>
        <v>https://imgur.com/a/n2TjM6f</v>
      </c>
      <c r="D66" s="15" t="str">
        <f>IFERROR(__xludf.DUMMYFUNCTION("""COMPUTED_VALUE"""),"https://imgur.com/a/wFcUcVR")</f>
        <v>https://imgur.com/a/wFcUcVR</v>
      </c>
    </row>
    <row r="67">
      <c r="A67" s="21" t="str">
        <f>IFERROR(__xludf.DUMMYFUNCTION("""COMPUTED_VALUE"""),"Machop")</f>
        <v>Machop</v>
      </c>
      <c r="B67" s="22" t="str">
        <f>IFERROR(__xludf.DUMMYFUNCTION("""COMPUTED_VALUE"""),"-")</f>
        <v>-</v>
      </c>
      <c r="C67" s="23" t="str">
        <f>IFERROR(__xludf.DUMMYFUNCTION("""COMPUTED_VALUE"""),"https://imgur.com/a/C6BDrQk")</f>
        <v>https://imgur.com/a/C6BDrQk</v>
      </c>
      <c r="D67" s="11" t="str">
        <f>IFERROR(__xludf.DUMMYFUNCTION("""COMPUTED_VALUE"""),"-")</f>
        <v>-</v>
      </c>
    </row>
    <row r="68">
      <c r="A68" s="21" t="str">
        <f>IFERROR(__xludf.DUMMYFUNCTION("""COMPUTED_VALUE"""),"Machoke")</f>
        <v>Machoke</v>
      </c>
      <c r="B68" s="22" t="str">
        <f>IFERROR(__xludf.DUMMYFUNCTION("""COMPUTED_VALUE"""),"-")</f>
        <v>-</v>
      </c>
      <c r="C68" s="23" t="str">
        <f>IFERROR(__xludf.DUMMYFUNCTION("""COMPUTED_VALUE"""),"https://imgur.com/a/C6BDrQk")</f>
        <v>https://imgur.com/a/C6BDrQk</v>
      </c>
      <c r="D68" s="11" t="str">
        <f>IFERROR(__xludf.DUMMYFUNCTION("""COMPUTED_VALUE"""),"-")</f>
        <v>-</v>
      </c>
    </row>
    <row r="69">
      <c r="A69" s="21" t="str">
        <f>IFERROR(__xludf.DUMMYFUNCTION("""COMPUTED_VALUE"""),"Machamp")</f>
        <v>Machamp</v>
      </c>
      <c r="B69" s="15" t="str">
        <f>IFERROR(__xludf.DUMMYFUNCTION("""COMPUTED_VALUE"""),"https://imgur.com/a/yB63tms")</f>
        <v>https://imgur.com/a/yB63tms</v>
      </c>
      <c r="C69" s="35" t="str">
        <f>IFERROR(__xludf.DUMMYFUNCTION("""COMPUTED_VALUE"""),"Norte de Lavender, último andar")</f>
        <v>Norte de Lavender, último andar</v>
      </c>
      <c r="D69" s="11" t="str">
        <f>IFERROR(__xludf.DUMMYFUNCTION("""COMPUTED_VALUE"""),"-")</f>
        <v>-</v>
      </c>
    </row>
    <row r="70">
      <c r="A70" s="21" t="str">
        <f>IFERROR(__xludf.DUMMYFUNCTION("""COMPUTED_VALUE"""),"Bellsprout")</f>
        <v>Bellsprout</v>
      </c>
      <c r="B70" s="22" t="str">
        <f>IFERROR(__xludf.DUMMYFUNCTION("""COMPUTED_VALUE"""),"-")</f>
        <v>-</v>
      </c>
      <c r="C70" s="23" t="str">
        <f>IFERROR(__xludf.DUMMYFUNCTION("""COMPUTED_VALUE"""),"https://imgur.com/a/MnFL6no")</f>
        <v>https://imgur.com/a/MnFL6no</v>
      </c>
      <c r="D70" s="11" t="str">
        <f>IFERROR(__xludf.DUMMYFUNCTION("""COMPUTED_VALUE"""),"-")</f>
        <v>-</v>
      </c>
    </row>
    <row r="71">
      <c r="A71" s="21" t="str">
        <f>IFERROR(__xludf.DUMMYFUNCTION("""COMPUTED_VALUE"""),"Weepinbell")</f>
        <v>Weepinbell</v>
      </c>
      <c r="B71" s="22" t="str">
        <f>IFERROR(__xludf.DUMMYFUNCTION("""COMPUTED_VALUE"""),"-")</f>
        <v>-</v>
      </c>
      <c r="C71" s="23" t="str">
        <f>IFERROR(__xludf.DUMMYFUNCTION("""COMPUTED_VALUE"""),"https://imgur.com/a/Xw7aLDs")</f>
        <v>https://imgur.com/a/Xw7aLDs</v>
      </c>
      <c r="D71" s="11" t="str">
        <f>IFERROR(__xludf.DUMMYFUNCTION("""COMPUTED_VALUE"""),"-")</f>
        <v>-</v>
      </c>
    </row>
    <row r="72">
      <c r="A72" s="21" t="str">
        <f>IFERROR(__xludf.DUMMYFUNCTION("""COMPUTED_VALUE"""),"Victreebel")</f>
        <v>Victreebel</v>
      </c>
      <c r="B72" s="22" t="str">
        <f>IFERROR(__xludf.DUMMYFUNCTION("""COMPUTED_VALUE"""),"-")</f>
        <v>-</v>
      </c>
      <c r="C72" s="23" t="str">
        <f>IFERROR(__xludf.DUMMYFUNCTION("""COMPUTED_VALUE"""),"https://imgur.com/a/oL0tt9a")</f>
        <v>https://imgur.com/a/oL0tt9a</v>
      </c>
      <c r="D72" s="11" t="str">
        <f>IFERROR(__xludf.DUMMYFUNCTION("""COMPUTED_VALUE"""),"-")</f>
        <v>-</v>
      </c>
    </row>
    <row r="73">
      <c r="A73" s="21" t="str">
        <f>IFERROR(__xludf.DUMMYFUNCTION("""COMPUTED_VALUE"""),"Tentacool")</f>
        <v>Tentacool</v>
      </c>
      <c r="B73" s="22" t="str">
        <f>IFERROR(__xludf.DUMMYFUNCTION("""COMPUTED_VALUE"""),"-")</f>
        <v>-</v>
      </c>
      <c r="C73" s="23" t="str">
        <f>IFERROR(__xludf.DUMMYFUNCTION("""COMPUTED_VALUE"""),"https://imgur.com/a/UadRpGw")</f>
        <v>https://imgur.com/a/UadRpGw</v>
      </c>
      <c r="D73" s="11" t="str">
        <f>IFERROR(__xludf.DUMMYFUNCTION("""COMPUTED_VALUE"""),"-")</f>
        <v>-</v>
      </c>
    </row>
    <row r="74">
      <c r="A74" s="21" t="str">
        <f>IFERROR(__xludf.DUMMYFUNCTION("""COMPUTED_VALUE"""),"Tentacruel")</f>
        <v>Tentacruel</v>
      </c>
      <c r="B74" s="15" t="str">
        <f>IFERROR(__xludf.DUMMYFUNCTION("""COMPUTED_VALUE"""),"https://imgur.com/a/1MIh0TT")</f>
        <v>https://imgur.com/a/1MIh0TT</v>
      </c>
      <c r="C74" s="23" t="str">
        <f>IFERROR(__xludf.DUMMYFUNCTION("""COMPUTED_VALUE"""),"https://imgur.com/a/1MIh0TT")</f>
        <v>https://imgur.com/a/1MIh0TT</v>
      </c>
      <c r="D74" s="11" t="str">
        <f>IFERROR(__xludf.DUMMYFUNCTION("""COMPUTED_VALUE"""),"-")</f>
        <v>-</v>
      </c>
    </row>
    <row r="75">
      <c r="A75" s="21" t="str">
        <f>IFERROR(__xludf.DUMMYFUNCTION("""COMPUTED_VALUE"""),"Geodude")</f>
        <v>Geodude</v>
      </c>
      <c r="B75" s="22" t="str">
        <f>IFERROR(__xludf.DUMMYFUNCTION("""COMPUTED_VALUE"""),"-")</f>
        <v>-</v>
      </c>
      <c r="C75" s="23" t="str">
        <f>IFERROR(__xludf.DUMMYFUNCTION("""COMPUTED_VALUE"""),"https://imgur.com/a/IhJ17iJ")</f>
        <v>https://imgur.com/a/IhJ17iJ</v>
      </c>
      <c r="D75" s="11" t="str">
        <f>IFERROR(__xludf.DUMMYFUNCTION("""COMPUTED_VALUE"""),"-")</f>
        <v>-</v>
      </c>
    </row>
    <row r="76">
      <c r="A76" s="21" t="str">
        <f>IFERROR(__xludf.DUMMYFUNCTION("""COMPUTED_VALUE"""),"Graveler")</f>
        <v>Graveler</v>
      </c>
      <c r="B76" s="22" t="str">
        <f>IFERROR(__xludf.DUMMYFUNCTION("""COMPUTED_VALUE"""),"-")</f>
        <v>-</v>
      </c>
      <c r="C76" s="23" t="str">
        <f>IFERROR(__xludf.DUMMYFUNCTION("""COMPUTED_VALUE"""),"https://imgur.com/a/SHzJxH4")</f>
        <v>https://imgur.com/a/SHzJxH4</v>
      </c>
      <c r="D76" s="11" t="str">
        <f>IFERROR(__xludf.DUMMYFUNCTION("""COMPUTED_VALUE"""),"-")</f>
        <v>-</v>
      </c>
    </row>
    <row r="77">
      <c r="A77" s="21" t="str">
        <f>IFERROR(__xludf.DUMMYFUNCTION("""COMPUTED_VALUE"""),"Golem")</f>
        <v>Golem</v>
      </c>
      <c r="B77" s="15" t="str">
        <f>IFERROR(__xludf.DUMMYFUNCTION("""COMPUTED_VALUE"""),"https://imgur.com/a/rg5qYI4")</f>
        <v>https://imgur.com/a/rg5qYI4</v>
      </c>
      <c r="C77" s="23" t="str">
        <f>IFERROR(__xludf.DUMMYFUNCTION("""COMPUTED_VALUE"""),"https://imgur.com/a/1JOCaQq")</f>
        <v>https://imgur.com/a/1JOCaQq</v>
      </c>
      <c r="D77" s="11" t="str">
        <f>IFERROR(__xludf.DUMMYFUNCTION("""COMPUTED_VALUE"""),"-")</f>
        <v>-</v>
      </c>
    </row>
    <row r="78">
      <c r="A78" s="21" t="str">
        <f>IFERROR(__xludf.DUMMYFUNCTION("""COMPUTED_VALUE"""),"Ponyta")</f>
        <v>Ponyta</v>
      </c>
      <c r="B78" s="22" t="str">
        <f>IFERROR(__xludf.DUMMYFUNCTION("""COMPUTED_VALUE"""),"-")</f>
        <v>-</v>
      </c>
      <c r="C78" s="23" t="str">
        <f>IFERROR(__xludf.DUMMYFUNCTION("""COMPUTED_VALUE"""),"https://imgur.com/a/Wj6MnzA")</f>
        <v>https://imgur.com/a/Wj6MnzA</v>
      </c>
      <c r="D78" s="11" t="str">
        <f>IFERROR(__xludf.DUMMYFUNCTION("""COMPUTED_VALUE"""),"-")</f>
        <v>-</v>
      </c>
    </row>
    <row r="79">
      <c r="A79" s="21" t="str">
        <f>IFERROR(__xludf.DUMMYFUNCTION("""COMPUTED_VALUE"""),"Rapidash")</f>
        <v>Rapidash</v>
      </c>
      <c r="B79" s="15" t="str">
        <f>IFERROR(__xludf.DUMMYFUNCTION("""COMPUTED_VALUE"""),"https://imgur.com/a/lwqRvJB")</f>
        <v>https://imgur.com/a/lwqRvJB</v>
      </c>
      <c r="C79" s="23" t="str">
        <f>IFERROR(__xludf.DUMMYFUNCTION("""COMPUTED_VALUE"""),"https://imgur.com/a/wtXPt06")</f>
        <v>https://imgur.com/a/wtXPt06</v>
      </c>
      <c r="D79" s="11" t="str">
        <f>IFERROR(__xludf.DUMMYFUNCTION("""COMPUTED_VALUE"""),"-")</f>
        <v>-</v>
      </c>
    </row>
    <row r="80">
      <c r="A80" s="21" t="str">
        <f>IFERROR(__xludf.DUMMYFUNCTION("""COMPUTED_VALUE"""),"Slowpoke")</f>
        <v>Slowpoke</v>
      </c>
      <c r="B80" s="22" t="str">
        <f>IFERROR(__xludf.DUMMYFUNCTION("""COMPUTED_VALUE"""),"-")</f>
        <v>-</v>
      </c>
      <c r="C80" s="35" t="str">
        <f>IFERROR(__xludf.DUMMYFUNCTION("""COMPUTED_VALUE"""),"Poço direita de Azalea")</f>
        <v>Poço direita de Azalea</v>
      </c>
      <c r="D80" s="11" t="str">
        <f>IFERROR(__xludf.DUMMYFUNCTION("""COMPUTED_VALUE"""),"-")</f>
        <v>-</v>
      </c>
    </row>
    <row r="81">
      <c r="A81" s="21" t="str">
        <f>IFERROR(__xludf.DUMMYFUNCTION("""COMPUTED_VALUE"""),"Slowbro")</f>
        <v>Slowbro</v>
      </c>
      <c r="B81" s="22" t="str">
        <f>IFERROR(__xludf.DUMMYFUNCTION("""COMPUTED_VALUE"""),"-")</f>
        <v>-</v>
      </c>
      <c r="C81" s="35" t="str">
        <f>IFERROR(__xludf.DUMMYFUNCTION("""COMPUTED_VALUE"""),"Poço direita de Azalea")</f>
        <v>Poço direita de Azalea</v>
      </c>
      <c r="D81" s="11" t="str">
        <f>IFERROR(__xludf.DUMMYFUNCTION("""COMPUTED_VALUE"""),"-")</f>
        <v>-</v>
      </c>
    </row>
    <row r="82">
      <c r="A82" s="21" t="str">
        <f>IFERROR(__xludf.DUMMYFUNCTION("""COMPUTED_VALUE"""),"Magnemite")</f>
        <v>Magnemite</v>
      </c>
      <c r="B82" s="22" t="str">
        <f>IFERROR(__xludf.DUMMYFUNCTION("""COMPUTED_VALUE"""),"-")</f>
        <v>-</v>
      </c>
      <c r="C82" s="23" t="str">
        <f>IFERROR(__xludf.DUMMYFUNCTION("""COMPUTED_VALUE"""),"https://imgur.com/a/ZNQjOvj")</f>
        <v>https://imgur.com/a/ZNQjOvj</v>
      </c>
      <c r="D82" s="11" t="str">
        <f>IFERROR(__xludf.DUMMYFUNCTION("""COMPUTED_VALUE"""),"-")</f>
        <v>-</v>
      </c>
    </row>
    <row r="83">
      <c r="A83" s="21" t="str">
        <f>IFERROR(__xludf.DUMMYFUNCTION("""COMPUTED_VALUE"""),"Magneton")</f>
        <v>Magneton</v>
      </c>
      <c r="B83" s="23" t="str">
        <f>IFERROR(__xludf.DUMMYFUNCTION("""COMPUTED_VALUE"""),"https://imgur.com/a/fbJrvin")</f>
        <v>https://imgur.com/a/fbJrvin</v>
      </c>
      <c r="C83" s="23" t="str">
        <f>IFERROR(__xludf.DUMMYFUNCTION("""COMPUTED_VALUE"""),"https://imgur.com/a/ZNQjOvj")</f>
        <v>https://imgur.com/a/ZNQjOvj</v>
      </c>
      <c r="D83" s="11" t="str">
        <f>IFERROR(__xludf.DUMMYFUNCTION("""COMPUTED_VALUE"""),"-")</f>
        <v>-</v>
      </c>
    </row>
    <row r="84">
      <c r="A84" s="21" t="str">
        <f>IFERROR(__xludf.DUMMYFUNCTION("""COMPUTED_VALUE"""),"Farfetch'd")</f>
        <v>Farfetch'd</v>
      </c>
      <c r="B84" s="15" t="str">
        <f>IFERROR(__xludf.DUMMYFUNCTION("""COMPUTED_VALUE"""),"https://imgur.com/a/mZdWvFw")</f>
        <v>https://imgur.com/a/mZdWvFw</v>
      </c>
      <c r="C84" s="35" t="str">
        <f>IFERROR(__xludf.DUMMYFUNCTION("""COMPUTED_VALUE"""),"Direita de Fuchsia")</f>
        <v>Direita de Fuchsia</v>
      </c>
      <c r="D84" s="11" t="str">
        <f>IFERROR(__xludf.DUMMYFUNCTION("""COMPUTED_VALUE"""),"-")</f>
        <v>-</v>
      </c>
    </row>
    <row r="85">
      <c r="A85" s="21" t="str">
        <f>IFERROR(__xludf.DUMMYFUNCTION("""COMPUTED_VALUE"""),"Doduo")</f>
        <v>Doduo</v>
      </c>
      <c r="B85" s="22" t="str">
        <f>IFERROR(__xludf.DUMMYFUNCTION("""COMPUTED_VALUE"""),"-")</f>
        <v>-</v>
      </c>
      <c r="C85" s="35" t="str">
        <f>IFERROR(__xludf.DUMMYFUNCTION("""COMPUTED_VALUE"""),"Esquerda de Viridian")</f>
        <v>Esquerda de Viridian</v>
      </c>
      <c r="D85" s="11" t="str">
        <f>IFERROR(__xludf.DUMMYFUNCTION("""COMPUTED_VALUE"""),"-")</f>
        <v>-</v>
      </c>
    </row>
    <row r="86">
      <c r="A86" s="21" t="str">
        <f>IFERROR(__xludf.DUMMYFUNCTION("""COMPUTED_VALUE"""),"Dodrio")</f>
        <v>Dodrio</v>
      </c>
      <c r="B86" s="15" t="str">
        <f>IFERROR(__xludf.DUMMYFUNCTION("""COMPUTED_VALUE"""),"https://imgur.com/a/mZdWvFw")</f>
        <v>https://imgur.com/a/mZdWvFw</v>
      </c>
      <c r="C86" s="23" t="str">
        <f>IFERROR(__xludf.DUMMYFUNCTION("""COMPUTED_VALUE"""),"https://imgur.com/a/8rw5VI3")</f>
        <v>https://imgur.com/a/8rw5VI3</v>
      </c>
      <c r="D86" s="11" t="str">
        <f>IFERROR(__xludf.DUMMYFUNCTION("""COMPUTED_VALUE"""),"-")</f>
        <v>-</v>
      </c>
    </row>
    <row r="87">
      <c r="A87" s="21" t="str">
        <f>IFERROR(__xludf.DUMMYFUNCTION("""COMPUTED_VALUE"""),"Seel")</f>
        <v>Seel</v>
      </c>
      <c r="B87" s="22" t="str">
        <f>IFERROR(__xludf.DUMMYFUNCTION("""COMPUTED_VALUE"""),"-")</f>
        <v>-</v>
      </c>
      <c r="C87" s="23" t="str">
        <f>IFERROR(__xludf.DUMMYFUNCTION("""COMPUTED_VALUE"""),"https://imgur.com/a/0FU7pxA")</f>
        <v>https://imgur.com/a/0FU7pxA</v>
      </c>
      <c r="D87" s="11" t="str">
        <f>IFERROR(__xludf.DUMMYFUNCTION("""COMPUTED_VALUE"""),"-")</f>
        <v>-</v>
      </c>
    </row>
    <row r="88">
      <c r="A88" s="21" t="str">
        <f>IFERROR(__xludf.DUMMYFUNCTION("""COMPUTED_VALUE"""),"Dewgong")</f>
        <v>Dewgong</v>
      </c>
      <c r="B88" s="23" t="str">
        <f>IFERROR(__xludf.DUMMYFUNCTION("""COMPUTED_VALUE"""),"https://imgur.com/a/AWD6nTs")</f>
        <v>https://imgur.com/a/AWD6nTs</v>
      </c>
      <c r="C88" s="23" t="str">
        <f>IFERROR(__xludf.DUMMYFUNCTION("""COMPUTED_VALUE"""),"https://imgur.com/a/6S3V66E")</f>
        <v>https://imgur.com/a/6S3V66E</v>
      </c>
      <c r="D88" s="11" t="str">
        <f>IFERROR(__xludf.DUMMYFUNCTION("""COMPUTED_VALUE"""),"-")</f>
        <v>-</v>
      </c>
    </row>
    <row r="89">
      <c r="A89" s="21" t="str">
        <f>IFERROR(__xludf.DUMMYFUNCTION("""COMPUTED_VALUE"""),"Grimer")</f>
        <v>Grimer</v>
      </c>
      <c r="B89" s="22" t="str">
        <f>IFERROR(__xludf.DUMMYFUNCTION("""COMPUTED_VALUE"""),"-")</f>
        <v>-</v>
      </c>
      <c r="C89" s="23" t="str">
        <f>IFERROR(__xludf.DUMMYFUNCTION("""COMPUTED_VALUE"""),"https://imgur.com/a/vgGrrfT")</f>
        <v>https://imgur.com/a/vgGrrfT</v>
      </c>
      <c r="D89" s="11" t="str">
        <f>IFERROR(__xludf.DUMMYFUNCTION("""COMPUTED_VALUE"""),"-")</f>
        <v>-</v>
      </c>
    </row>
    <row r="90">
      <c r="A90" s="21" t="str">
        <f>IFERROR(__xludf.DUMMYFUNCTION("""COMPUTED_VALUE"""),"Muk")</f>
        <v>Muk</v>
      </c>
      <c r="B90" s="15" t="str">
        <f>IFERROR(__xludf.DUMMYFUNCTION("""COMPUTED_VALUE"""),"https://imgur.com/a/vgGrrfT")</f>
        <v>https://imgur.com/a/vgGrrfT</v>
      </c>
      <c r="C90" s="23" t="str">
        <f>IFERROR(__xludf.DUMMYFUNCTION("""COMPUTED_VALUE"""),"https://imgur.com/a/vgGrrfT")</f>
        <v>https://imgur.com/a/vgGrrfT</v>
      </c>
      <c r="D90" s="11" t="str">
        <f>IFERROR(__xludf.DUMMYFUNCTION("""COMPUTED_VALUE"""),"-")</f>
        <v>-</v>
      </c>
    </row>
    <row r="91">
      <c r="A91" s="21" t="str">
        <f>IFERROR(__xludf.DUMMYFUNCTION("""COMPUTED_VALUE"""),"Shellder")</f>
        <v>Shellder</v>
      </c>
      <c r="B91" s="22" t="str">
        <f>IFERROR(__xludf.DUMMYFUNCTION("""COMPUTED_VALUE"""),"-")</f>
        <v>-</v>
      </c>
      <c r="C91" s="23" t="str">
        <f>IFERROR(__xludf.DUMMYFUNCTION("""COMPUTED_VALUE"""),"https://imgur.com/a/mHLB6sh")</f>
        <v>https://imgur.com/a/mHLB6sh</v>
      </c>
      <c r="D91" s="11" t="str">
        <f>IFERROR(__xludf.DUMMYFUNCTION("""COMPUTED_VALUE"""),"-")</f>
        <v>-</v>
      </c>
    </row>
    <row r="92">
      <c r="A92" s="21" t="str">
        <f>IFERROR(__xludf.DUMMYFUNCTION("""COMPUTED_VALUE"""),"Cloyster")</f>
        <v>Cloyster</v>
      </c>
      <c r="B92" s="23" t="str">
        <f>IFERROR(__xludf.DUMMYFUNCTION("""COMPUTED_VALUE"""),"https://imgur.com/a/JxKX8lv")</f>
        <v>https://imgur.com/a/JxKX8lv</v>
      </c>
      <c r="C92" s="35" t="str">
        <f>IFERROR(__xludf.DUMMYFUNCTION("""COMPUTED_VALUE"""),"Ilha de gelo sudeste de Kanto")</f>
        <v>Ilha de gelo sudeste de Kanto</v>
      </c>
      <c r="D92" s="11" t="str">
        <f>IFERROR(__xludf.DUMMYFUNCTION("""COMPUTED_VALUE"""),"-")</f>
        <v>-</v>
      </c>
    </row>
    <row r="93">
      <c r="A93" s="21" t="str">
        <f>IFERROR(__xludf.DUMMYFUNCTION("""COMPUTED_VALUE"""),"Gastly")</f>
        <v>Gastly</v>
      </c>
      <c r="B93" s="22" t="str">
        <f>IFERROR(__xludf.DUMMYFUNCTION("""COMPUTED_VALUE"""),"-")</f>
        <v>-</v>
      </c>
      <c r="C93" s="23" t="str">
        <f>IFERROR(__xludf.DUMMYFUNCTION("""COMPUTED_VALUE"""),"https://imgur.com/a/9zmYETV")</f>
        <v>https://imgur.com/a/9zmYETV</v>
      </c>
      <c r="D93" s="11" t="str">
        <f>IFERROR(__xludf.DUMMYFUNCTION("""COMPUTED_VALUE"""),"-")</f>
        <v>-</v>
      </c>
    </row>
    <row r="94">
      <c r="A94" s="21" t="str">
        <f>IFERROR(__xludf.DUMMYFUNCTION("""COMPUTED_VALUE"""),"Haunter")</f>
        <v>Haunter</v>
      </c>
      <c r="B94" s="22" t="str">
        <f>IFERROR(__xludf.DUMMYFUNCTION("""COMPUTED_VALUE"""),"-")</f>
        <v>-</v>
      </c>
      <c r="C94" s="23" t="str">
        <f>IFERROR(__xludf.DUMMYFUNCTION("""COMPUTED_VALUE"""),"https://imgur.com/a/WeJwwK9")</f>
        <v>https://imgur.com/a/WeJwwK9</v>
      </c>
      <c r="D94" s="11" t="str">
        <f>IFERROR(__xludf.DUMMYFUNCTION("""COMPUTED_VALUE"""),"-")</f>
        <v>-</v>
      </c>
    </row>
    <row r="95">
      <c r="A95" s="21" t="str">
        <f>IFERROR(__xludf.DUMMYFUNCTION("""COMPUTED_VALUE"""),"Gengar")</f>
        <v>Gengar</v>
      </c>
      <c r="B95" s="15" t="str">
        <f>IFERROR(__xludf.DUMMYFUNCTION("""COMPUTED_VALUE"""),"https://imgur.com/a/8auiFkj")</f>
        <v>https://imgur.com/a/8auiFkj</v>
      </c>
      <c r="C95" s="35" t="str">
        <f>IFERROR(__xludf.DUMMYFUNCTION("""COMPUTED_VALUE"""),"Não tem")</f>
        <v>Não tem</v>
      </c>
      <c r="D95" s="15" t="str">
        <f>IFERROR(__xludf.DUMMYFUNCTION("""COMPUTED_VALUE"""),"https://imgur.com/a/wFcUcVR")</f>
        <v>https://imgur.com/a/wFcUcVR</v>
      </c>
    </row>
    <row r="96">
      <c r="A96" s="21" t="str">
        <f>IFERROR(__xludf.DUMMYFUNCTION("""COMPUTED_VALUE"""),"Onix")</f>
        <v>Onix</v>
      </c>
      <c r="B96" s="22" t="str">
        <f>IFERROR(__xludf.DUMMYFUNCTION("""COMPUTED_VALUE"""),"-")</f>
        <v>-</v>
      </c>
      <c r="C96" s="23" t="str">
        <f>IFERROR(__xludf.DUMMYFUNCTION("""COMPUTED_VALUE"""),"https://imgur.com/a/XRtE7Ns")</f>
        <v>https://imgur.com/a/XRtE7Ns</v>
      </c>
      <c r="D96" s="11" t="str">
        <f>IFERROR(__xludf.DUMMYFUNCTION("""COMPUTED_VALUE"""),"-")</f>
        <v>-</v>
      </c>
    </row>
    <row r="97">
      <c r="A97" s="21" t="str">
        <f>IFERROR(__xludf.DUMMYFUNCTION("""COMPUTED_VALUE"""),"Drowzee")</f>
        <v>Drowzee</v>
      </c>
      <c r="B97" s="22" t="str">
        <f>IFERROR(__xludf.DUMMYFUNCTION("""COMPUTED_VALUE"""),"-")</f>
        <v>-</v>
      </c>
      <c r="C97" s="23" t="str">
        <f>IFERROR(__xludf.DUMMYFUNCTION("""COMPUTED_VALUE"""),"https://imgur.com/a/H8LgV6N")</f>
        <v>https://imgur.com/a/H8LgV6N</v>
      </c>
      <c r="D97" s="11" t="str">
        <f>IFERROR(__xludf.DUMMYFUNCTION("""COMPUTED_VALUE"""),"-")</f>
        <v>-</v>
      </c>
    </row>
    <row r="98">
      <c r="A98" s="21" t="str">
        <f>IFERROR(__xludf.DUMMYFUNCTION("""COMPUTED_VALUE"""),"Hypno")</f>
        <v>Hypno</v>
      </c>
      <c r="B98" s="22" t="str">
        <f>IFERROR(__xludf.DUMMYFUNCTION("""COMPUTED_VALUE"""),"-")</f>
        <v>-</v>
      </c>
      <c r="C98" s="23" t="str">
        <f>IFERROR(__xludf.DUMMYFUNCTION("""COMPUTED_VALUE"""),"https://imgur.com/a/c500gBU")</f>
        <v>https://imgur.com/a/c500gBU</v>
      </c>
      <c r="D98" s="11" t="str">
        <f>IFERROR(__xludf.DUMMYFUNCTION("""COMPUTED_VALUE"""),"-")</f>
        <v>-</v>
      </c>
    </row>
    <row r="99">
      <c r="A99" s="21" t="str">
        <f>IFERROR(__xludf.DUMMYFUNCTION("""COMPUTED_VALUE"""),"Krabby")</f>
        <v>Krabby</v>
      </c>
      <c r="B99" s="22" t="str">
        <f>IFERROR(__xludf.DUMMYFUNCTION("""COMPUTED_VALUE"""),"-")</f>
        <v>-</v>
      </c>
      <c r="C99" s="23" t="str">
        <f>IFERROR(__xludf.DUMMYFUNCTION("""COMPUTED_VALUE"""),"https://imgur.com/a/9CsLe4f")</f>
        <v>https://imgur.com/a/9CsLe4f</v>
      </c>
      <c r="D99" s="11" t="str">
        <f>IFERROR(__xludf.DUMMYFUNCTION("""COMPUTED_VALUE"""),"-")</f>
        <v>-</v>
      </c>
    </row>
    <row r="100">
      <c r="A100" s="21" t="str">
        <f>IFERROR(__xludf.DUMMYFUNCTION("""COMPUTED_VALUE"""),"Kingler")</f>
        <v>Kingler</v>
      </c>
      <c r="B100" s="22" t="str">
        <f>IFERROR(__xludf.DUMMYFUNCTION("""COMPUTED_VALUE"""),"-")</f>
        <v>-</v>
      </c>
      <c r="C100" s="23" t="str">
        <f>IFERROR(__xludf.DUMMYFUNCTION("""COMPUTED_VALUE"""),"https://imgur.com/a/RJTlGC2")</f>
        <v>https://imgur.com/a/RJTlGC2</v>
      </c>
      <c r="D100" s="11" t="str">
        <f>IFERROR(__xludf.DUMMYFUNCTION("""COMPUTED_VALUE"""),"-")</f>
        <v>-</v>
      </c>
    </row>
    <row r="101">
      <c r="A101" s="21" t="str">
        <f>IFERROR(__xludf.DUMMYFUNCTION("""COMPUTED_VALUE"""),"Voltorb")</f>
        <v>Voltorb</v>
      </c>
      <c r="B101" s="22" t="str">
        <f>IFERROR(__xludf.DUMMYFUNCTION("""COMPUTED_VALUE"""),"-")</f>
        <v>-</v>
      </c>
      <c r="C101" s="23" t="str">
        <f>IFERROR(__xludf.DUMMYFUNCTION("""COMPUTED_VALUE"""),"https://imgur.com/a/ZNQjOvj")</f>
        <v>https://imgur.com/a/ZNQjOvj</v>
      </c>
      <c r="D101" s="11" t="str">
        <f>IFERROR(__xludf.DUMMYFUNCTION("""COMPUTED_VALUE"""),"-")</f>
        <v>-</v>
      </c>
    </row>
    <row r="102">
      <c r="A102" s="21" t="str">
        <f>IFERROR(__xludf.DUMMYFUNCTION("""COMPUTED_VALUE"""),"Electrode")</f>
        <v>Electrode</v>
      </c>
      <c r="B102" s="22" t="str">
        <f>IFERROR(__xludf.DUMMYFUNCTION("""COMPUTED_VALUE"""),"-")</f>
        <v>-</v>
      </c>
      <c r="C102" s="23" t="str">
        <f>IFERROR(__xludf.DUMMYFUNCTION("""COMPUTED_VALUE"""),"https://imgur.com/a/ZNQjOvj")</f>
        <v>https://imgur.com/a/ZNQjOvj</v>
      </c>
      <c r="D102" s="11" t="str">
        <f>IFERROR(__xludf.DUMMYFUNCTION("""COMPUTED_VALUE"""),"-")</f>
        <v>-</v>
      </c>
    </row>
    <row r="103">
      <c r="A103" s="21" t="str">
        <f>IFERROR(__xludf.DUMMYFUNCTION("""COMPUTED_VALUE"""),"Exeggcute")</f>
        <v>Exeggcute</v>
      </c>
      <c r="B103" s="22" t="str">
        <f>IFERROR(__xludf.DUMMYFUNCTION("""COMPUTED_VALUE"""),"-")</f>
        <v>-</v>
      </c>
      <c r="C103" s="35" t="str">
        <f>IFERROR(__xludf.DUMMYFUNCTION("""COMPUTED_VALUE"""),"Esquerda de Viridian")</f>
        <v>Esquerda de Viridian</v>
      </c>
      <c r="D103" s="11" t="str">
        <f>IFERROR(__xludf.DUMMYFUNCTION("""COMPUTED_VALUE"""),"-")</f>
        <v>-</v>
      </c>
    </row>
    <row r="104">
      <c r="A104" s="21" t="str">
        <f>IFERROR(__xludf.DUMMYFUNCTION("""COMPUTED_VALUE"""),"Exeggutor")</f>
        <v>Exeggutor</v>
      </c>
      <c r="B104" s="23" t="str">
        <f>IFERROR(__xludf.DUMMYFUNCTION("""COMPUTED_VALUE"""),"https://imgur.com/a/Jh715JE")</f>
        <v>https://imgur.com/a/Jh715JE</v>
      </c>
      <c r="C104" s="23" t="str">
        <f>IFERROR(__xludf.DUMMYFUNCTION("""COMPUTED_VALUE"""),"https://imgur.com/a/oelxrIL")</f>
        <v>https://imgur.com/a/oelxrIL</v>
      </c>
      <c r="D104" s="11" t="str">
        <f>IFERROR(__xludf.DUMMYFUNCTION("""COMPUTED_VALUE"""),"-")</f>
        <v>-</v>
      </c>
    </row>
    <row r="105">
      <c r="A105" s="21" t="str">
        <f>IFERROR(__xludf.DUMMYFUNCTION("""COMPUTED_VALUE"""),"Cubone")</f>
        <v>Cubone</v>
      </c>
      <c r="B105" s="22" t="str">
        <f>IFERROR(__xludf.DUMMYFUNCTION("""COMPUTED_VALUE"""),"-")</f>
        <v>-</v>
      </c>
      <c r="C105" s="23" t="str">
        <f>IFERROR(__xludf.DUMMYFUNCTION("""COMPUTED_VALUE"""),"https://imgur.com/a/Q6i4UqM")</f>
        <v>https://imgur.com/a/Q6i4UqM</v>
      </c>
      <c r="D105" s="11" t="str">
        <f>IFERROR(__xludf.DUMMYFUNCTION("""COMPUTED_VALUE"""),"-")</f>
        <v>-</v>
      </c>
    </row>
    <row r="106">
      <c r="A106" s="21" t="str">
        <f>IFERROR(__xludf.DUMMYFUNCTION("""COMPUTED_VALUE"""),"Marowak")</f>
        <v>Marowak</v>
      </c>
      <c r="B106" s="15" t="str">
        <f>IFERROR(__xludf.DUMMYFUNCTION("""COMPUTED_VALUE"""),"https://imgur.com/a/AYaHOY2")</f>
        <v>https://imgur.com/a/AYaHOY2</v>
      </c>
      <c r="C106" s="23" t="str">
        <f>IFERROR(__xludf.DUMMYFUNCTION("""COMPUTED_VALUE"""),"https://imgur.com/a/VrqZwDG")</f>
        <v>https://imgur.com/a/VrqZwDG</v>
      </c>
      <c r="D106" s="11" t="str">
        <f>IFERROR(__xludf.DUMMYFUNCTION("""COMPUTED_VALUE"""),"-")</f>
        <v>-</v>
      </c>
    </row>
    <row r="107">
      <c r="A107" s="21" t="str">
        <f>IFERROR(__xludf.DUMMYFUNCTION("""COMPUTED_VALUE"""),"Hitmonlee")</f>
        <v>Hitmonlee</v>
      </c>
      <c r="B107" s="15" t="str">
        <f>IFERROR(__xludf.DUMMYFUNCTION("""COMPUTED_VALUE"""),"https://imgur.com/a/pjIUv00")</f>
        <v>https://imgur.com/a/pjIUv00</v>
      </c>
      <c r="C107" s="35" t="str">
        <f>IFERROR(__xludf.DUMMYFUNCTION("""COMPUTED_VALUE"""),"Não tem")</f>
        <v>Não tem</v>
      </c>
      <c r="D107" s="11" t="str">
        <f>IFERROR(__xludf.DUMMYFUNCTION("""COMPUTED_VALUE"""),"-")</f>
        <v>-</v>
      </c>
    </row>
    <row r="108">
      <c r="A108" s="21" t="str">
        <f>IFERROR(__xludf.DUMMYFUNCTION("""COMPUTED_VALUE"""),"Hitmonchan")</f>
        <v>Hitmonchan</v>
      </c>
      <c r="B108" s="15" t="str">
        <f>IFERROR(__xludf.DUMMYFUNCTION("""COMPUTED_VALUE"""),"https://imgur.com/a/pjIUv00")</f>
        <v>https://imgur.com/a/pjIUv00</v>
      </c>
      <c r="C108" s="35" t="str">
        <f>IFERROR(__xludf.DUMMYFUNCTION("""COMPUTED_VALUE"""),"Não tem")</f>
        <v>Não tem</v>
      </c>
      <c r="D108" s="11" t="str">
        <f>IFERROR(__xludf.DUMMYFUNCTION("""COMPUTED_VALUE"""),"-")</f>
        <v>-</v>
      </c>
    </row>
    <row r="109">
      <c r="A109" s="21" t="str">
        <f>IFERROR(__xludf.DUMMYFUNCTION("""COMPUTED_VALUE"""),"Lickitung")</f>
        <v>Lickitung</v>
      </c>
      <c r="B109" s="22" t="str">
        <f>IFERROR(__xludf.DUMMYFUNCTION("""COMPUTED_VALUE"""),"-")</f>
        <v>-</v>
      </c>
      <c r="C109" s="35" t="str">
        <f>IFERROR(__xludf.DUMMYFUNCTION("""COMPUTED_VALUE"""),"Safari")</f>
        <v>Safari</v>
      </c>
      <c r="D109" s="11" t="str">
        <f>IFERROR(__xludf.DUMMYFUNCTION("""COMPUTED_VALUE"""),"-")</f>
        <v>-</v>
      </c>
    </row>
    <row r="110">
      <c r="A110" s="21" t="str">
        <f>IFERROR(__xludf.DUMMYFUNCTION("""COMPUTED_VALUE"""),"Koffing")</f>
        <v>Koffing</v>
      </c>
      <c r="B110" s="22" t="str">
        <f>IFERROR(__xludf.DUMMYFUNCTION("""COMPUTED_VALUE"""),"-")</f>
        <v>-</v>
      </c>
      <c r="C110" s="23" t="str">
        <f>IFERROR(__xludf.DUMMYFUNCTION("""COMPUTED_VALUE"""),"https://imgur.com/a/vgGrrfT")</f>
        <v>https://imgur.com/a/vgGrrfT</v>
      </c>
      <c r="D110" s="11" t="str">
        <f>IFERROR(__xludf.DUMMYFUNCTION("""COMPUTED_VALUE"""),"-")</f>
        <v>-</v>
      </c>
    </row>
    <row r="111">
      <c r="A111" s="21" t="str">
        <f>IFERROR(__xludf.DUMMYFUNCTION("""COMPUTED_VALUE"""),"Weezing")</f>
        <v>Weezing</v>
      </c>
      <c r="B111" s="22" t="str">
        <f>IFERROR(__xludf.DUMMYFUNCTION("""COMPUTED_VALUE"""),"-")</f>
        <v>-</v>
      </c>
      <c r="C111" s="23" t="str">
        <f>IFERROR(__xludf.DUMMYFUNCTION("""COMPUTED_VALUE"""),"https://imgur.com/a/vgGrrfT")</f>
        <v>https://imgur.com/a/vgGrrfT</v>
      </c>
      <c r="D111" s="11" t="str">
        <f>IFERROR(__xludf.DUMMYFUNCTION("""COMPUTED_VALUE"""),"-")</f>
        <v>-</v>
      </c>
    </row>
    <row r="112">
      <c r="A112" s="21" t="str">
        <f>IFERROR(__xludf.DUMMYFUNCTION("""COMPUTED_VALUE"""),"Rhyhorn")</f>
        <v>Rhyhorn</v>
      </c>
      <c r="B112" s="22" t="str">
        <f>IFERROR(__xludf.DUMMYFUNCTION("""COMPUTED_VALUE"""),"-")</f>
        <v>-</v>
      </c>
      <c r="C112" s="23" t="str">
        <f>IFERROR(__xludf.DUMMYFUNCTION("""COMPUTED_VALUE"""),"https://imgur.com/a/cPbYaoO")</f>
        <v>https://imgur.com/a/cPbYaoO</v>
      </c>
      <c r="D112" s="11" t="str">
        <f>IFERROR(__xludf.DUMMYFUNCTION("""COMPUTED_VALUE"""),"-")</f>
        <v>-</v>
      </c>
    </row>
    <row r="113">
      <c r="A113" s="21" t="str">
        <f>IFERROR(__xludf.DUMMYFUNCTION("""COMPUTED_VALUE"""),"Rhydon")</f>
        <v>Rhydon</v>
      </c>
      <c r="B113" s="23" t="str">
        <f>IFERROR(__xludf.DUMMYFUNCTION("""COMPUTED_VALUE"""),"https://imgur.com/a/P6cK6PD")</f>
        <v>https://imgur.com/a/P6cK6PD</v>
      </c>
      <c r="C113" s="23" t="str">
        <f>IFERROR(__xludf.DUMMYFUNCTION("""COMPUTED_VALUE"""),"https://imgur.com/a/sROG59a")</f>
        <v>https://imgur.com/a/sROG59a</v>
      </c>
      <c r="D113" s="11" t="str">
        <f>IFERROR(__xludf.DUMMYFUNCTION("""COMPUTED_VALUE"""),"-")</f>
        <v>-</v>
      </c>
    </row>
    <row r="114">
      <c r="A114" s="21" t="str">
        <f>IFERROR(__xludf.DUMMYFUNCTION("""COMPUTED_VALUE"""),"Chansey")</f>
        <v>Chansey</v>
      </c>
      <c r="B114" s="22" t="str">
        <f>IFERROR(__xludf.DUMMYFUNCTION("""COMPUTED_VALUE"""),"-")</f>
        <v>-</v>
      </c>
      <c r="C114" s="23" t="str">
        <f>IFERROR(__xludf.DUMMYFUNCTION("""COMPUTED_VALUE"""),"https://imgur.com/a/njzmTdU")</f>
        <v>https://imgur.com/a/njzmTdU</v>
      </c>
      <c r="D114" s="11" t="str">
        <f>IFERROR(__xludf.DUMMYFUNCTION("""COMPUTED_VALUE"""),"-")</f>
        <v>-</v>
      </c>
    </row>
    <row r="115">
      <c r="A115" s="21" t="str">
        <f>IFERROR(__xludf.DUMMYFUNCTION("""COMPUTED_VALUE"""),"Tangela")</f>
        <v>Tangela</v>
      </c>
      <c r="B115" s="23" t="str">
        <f>IFERROR(__xludf.DUMMYFUNCTION("""COMPUTED_VALUE"""),"https://imgur.com/a/dtwFHj6")</f>
        <v>https://imgur.com/a/dtwFHj6</v>
      </c>
      <c r="C115" s="23" t="str">
        <f>IFERROR(__xludf.DUMMYFUNCTION("""COMPUTED_VALUE"""),"https://imgur.com/a/IZyOqys")</f>
        <v>https://imgur.com/a/IZyOqys</v>
      </c>
      <c r="D115" s="11" t="str">
        <f>IFERROR(__xludf.DUMMYFUNCTION("""COMPUTED_VALUE"""),"-")</f>
        <v>-</v>
      </c>
    </row>
    <row r="116">
      <c r="A116" s="21" t="str">
        <f>IFERROR(__xludf.DUMMYFUNCTION("""COMPUTED_VALUE"""),"Kangaskhan")</f>
        <v>Kangaskhan</v>
      </c>
      <c r="B116" s="15" t="str">
        <f>IFERROR(__xludf.DUMMYFUNCTION("""COMPUTED_VALUE"""),"https://imgur.com/a/j21SPSA")</f>
        <v>https://imgur.com/a/j21SPSA</v>
      </c>
      <c r="C116" s="35" t="str">
        <f>IFERROR(__xludf.DUMMYFUNCTION("""COMPUTED_VALUE"""),"Safari")</f>
        <v>Safari</v>
      </c>
      <c r="D116" s="11" t="str">
        <f>IFERROR(__xludf.DUMMYFUNCTION("""COMPUTED_VALUE"""),"-")</f>
        <v>-</v>
      </c>
    </row>
    <row r="117">
      <c r="A117" s="21" t="str">
        <f>IFERROR(__xludf.DUMMYFUNCTION("""COMPUTED_VALUE"""),"Horsea")</f>
        <v>Horsea</v>
      </c>
      <c r="B117" s="22" t="str">
        <f>IFERROR(__xludf.DUMMYFUNCTION("""COMPUTED_VALUE"""),"-")</f>
        <v>-</v>
      </c>
      <c r="C117" s="23" t="str">
        <f>IFERROR(__xludf.DUMMYFUNCTION("""COMPUTED_VALUE"""),"https://imgur.com/a/vl4bFGw")</f>
        <v>https://imgur.com/a/vl4bFGw</v>
      </c>
      <c r="D117" s="11" t="str">
        <f>IFERROR(__xludf.DUMMYFUNCTION("""COMPUTED_VALUE"""),"-")</f>
        <v>-</v>
      </c>
    </row>
    <row r="118">
      <c r="A118" s="21" t="str">
        <f>IFERROR(__xludf.DUMMYFUNCTION("""COMPUTED_VALUE"""),"Seadra")</f>
        <v>Seadra</v>
      </c>
      <c r="B118" s="22" t="str">
        <f>IFERROR(__xludf.DUMMYFUNCTION("""COMPUTED_VALUE"""),"-")</f>
        <v>-</v>
      </c>
      <c r="C118" s="23" t="str">
        <f>IFERROR(__xludf.DUMMYFUNCTION("""COMPUTED_VALUE"""),"https://imgur.com/a/SBsknJ7")</f>
        <v>https://imgur.com/a/SBsknJ7</v>
      </c>
      <c r="D118" s="11" t="str">
        <f>IFERROR(__xludf.DUMMYFUNCTION("""COMPUTED_VALUE"""),"-")</f>
        <v>-</v>
      </c>
    </row>
    <row r="119">
      <c r="A119" s="21" t="str">
        <f>IFERROR(__xludf.DUMMYFUNCTION("""COMPUTED_VALUE"""),"Goldeen")</f>
        <v>Goldeen</v>
      </c>
      <c r="B119" s="22" t="str">
        <f>IFERROR(__xludf.DUMMYFUNCTION("""COMPUTED_VALUE"""),"-")</f>
        <v>-</v>
      </c>
      <c r="C119" s="23" t="str">
        <f>IFERROR(__xludf.DUMMYFUNCTION("""COMPUTED_VALUE"""),"https://imgur.com/a/0ZHbtgY")</f>
        <v>https://imgur.com/a/0ZHbtgY</v>
      </c>
      <c r="D119" s="11" t="str">
        <f>IFERROR(__xludf.DUMMYFUNCTION("""COMPUTED_VALUE"""),"-")</f>
        <v>-</v>
      </c>
    </row>
    <row r="120">
      <c r="A120" s="21" t="str">
        <f>IFERROR(__xludf.DUMMYFUNCTION("""COMPUTED_VALUE"""),"Seaking")</f>
        <v>Seaking</v>
      </c>
      <c r="B120" s="22" t="str">
        <f>IFERROR(__xludf.DUMMYFUNCTION("""COMPUTED_VALUE"""),"-")</f>
        <v>-</v>
      </c>
      <c r="C120" s="23" t="str">
        <f>IFERROR(__xludf.DUMMYFUNCTION("""COMPUTED_VALUE"""),"https://imgur.com/a/kd1pFE9")</f>
        <v>https://imgur.com/a/kd1pFE9</v>
      </c>
      <c r="D120" s="11" t="str">
        <f>IFERROR(__xludf.DUMMYFUNCTION("""COMPUTED_VALUE"""),"-")</f>
        <v>-</v>
      </c>
    </row>
    <row r="121">
      <c r="A121" s="21" t="str">
        <f>IFERROR(__xludf.DUMMYFUNCTION("""COMPUTED_VALUE"""),"Staryu")</f>
        <v>Staryu</v>
      </c>
      <c r="B121" s="22" t="str">
        <f>IFERROR(__xludf.DUMMYFUNCTION("""COMPUTED_VALUE"""),"-")</f>
        <v>-</v>
      </c>
      <c r="C121" s="23" t="str">
        <f>IFERROR(__xludf.DUMMYFUNCTION("""COMPUTED_VALUE"""),"https://imgur.com/a/mNdE7Lo")</f>
        <v>https://imgur.com/a/mNdE7Lo</v>
      </c>
      <c r="D121" s="11" t="str">
        <f>IFERROR(__xludf.DUMMYFUNCTION("""COMPUTED_VALUE"""),"-")</f>
        <v>-</v>
      </c>
    </row>
    <row r="122">
      <c r="A122" s="21" t="str">
        <f>IFERROR(__xludf.DUMMYFUNCTION("""COMPUTED_VALUE"""),"Starmie")</f>
        <v>Starmie</v>
      </c>
      <c r="B122" s="23" t="str">
        <f>IFERROR(__xludf.DUMMYFUNCTION("""COMPUTED_VALUE"""),"https://imgur.com/a/ZaL8AAc")</f>
        <v>https://imgur.com/a/ZaL8AAc</v>
      </c>
      <c r="C122" s="23" t="str">
        <f>IFERROR(__xludf.DUMMYFUNCTION("""COMPUTED_VALUE"""),"https://imgur.com/a/YOVObyR")</f>
        <v>https://imgur.com/a/YOVObyR</v>
      </c>
      <c r="D122" s="11" t="str">
        <f>IFERROR(__xludf.DUMMYFUNCTION("""COMPUTED_VALUE"""),"-")</f>
        <v>-</v>
      </c>
    </row>
    <row r="123">
      <c r="A123" s="21" t="str">
        <f>IFERROR(__xludf.DUMMYFUNCTION("""COMPUTED_VALUE"""),"Mr. Mime")</f>
        <v>Mr. Mime</v>
      </c>
      <c r="B123" s="15" t="str">
        <f>IFERROR(__xludf.DUMMYFUNCTION("""COMPUTED_VALUE"""),"https://imgur.com/a/bIuz6Tm")</f>
        <v>https://imgur.com/a/bIuz6Tm</v>
      </c>
      <c r="C123" s="23" t="str">
        <f>IFERROR(__xludf.DUMMYFUNCTION("""COMPUTED_VALUE"""),"https://imgur.com/a/yn32FNm")</f>
        <v>https://imgur.com/a/yn32FNm</v>
      </c>
      <c r="D123" s="11" t="str">
        <f>IFERROR(__xludf.DUMMYFUNCTION("""COMPUTED_VALUE"""),"-")</f>
        <v>-</v>
      </c>
    </row>
    <row r="124">
      <c r="A124" s="21" t="str">
        <f>IFERROR(__xludf.DUMMYFUNCTION("""COMPUTED_VALUE"""),"Scyther")</f>
        <v>Scyther</v>
      </c>
      <c r="B124" s="15" t="str">
        <f>IFERROR(__xludf.DUMMYFUNCTION("""COMPUTED_VALUE"""),"https://imgur.com/a/df36NrE")</f>
        <v>https://imgur.com/a/df36NrE</v>
      </c>
      <c r="C124" s="23" t="str">
        <f>IFERROR(__xludf.DUMMYFUNCTION("""COMPUTED_VALUE"""),"https://imgur.com/a/j21SPSA")</f>
        <v>https://imgur.com/a/j21SPSA</v>
      </c>
      <c r="D124" s="11" t="str">
        <f>IFERROR(__xludf.DUMMYFUNCTION("""COMPUTED_VALUE"""),"-")</f>
        <v>-</v>
      </c>
    </row>
    <row r="125">
      <c r="A125" s="21" t="str">
        <f>IFERROR(__xludf.DUMMYFUNCTION("""COMPUTED_VALUE"""),"Jynx")</f>
        <v>Jynx</v>
      </c>
      <c r="B125" s="15" t="str">
        <f>IFERROR(__xludf.DUMMYFUNCTION("""COMPUTED_VALUE"""),"https://imgur.com/a/3LppiO7")</f>
        <v>https://imgur.com/a/3LppiO7</v>
      </c>
      <c r="C125" s="23" t="str">
        <f>IFERROR(__xludf.DUMMYFUNCTION("""COMPUTED_VALUE"""),"https://imgur.com/a/4fLbygt")</f>
        <v>https://imgur.com/a/4fLbygt</v>
      </c>
      <c r="D125" s="11" t="str">
        <f>IFERROR(__xludf.DUMMYFUNCTION("""COMPUTED_VALUE"""),"-")</f>
        <v>-</v>
      </c>
    </row>
    <row r="126">
      <c r="A126" s="21" t="str">
        <f>IFERROR(__xludf.DUMMYFUNCTION("""COMPUTED_VALUE"""),"Electabuzz")</f>
        <v>Electabuzz</v>
      </c>
      <c r="B126" s="15" t="str">
        <f>IFERROR(__xludf.DUMMYFUNCTION("""COMPUTED_VALUE"""),"https://imgur.com/a/clP3jSD")</f>
        <v>https://imgur.com/a/clP3jSD</v>
      </c>
      <c r="C126" s="23" t="str">
        <f>IFERROR(__xludf.DUMMYFUNCTION("""COMPUTED_VALUE"""),"https://imgur.com/a/lx2xnEu")</f>
        <v>https://imgur.com/a/lx2xnEu</v>
      </c>
      <c r="D126" s="15" t="str">
        <f>IFERROR(__xludf.DUMMYFUNCTION("""COMPUTED_VALUE"""),"https://imgur.com/a/wFcUcVR")</f>
        <v>https://imgur.com/a/wFcUcVR</v>
      </c>
    </row>
    <row r="127">
      <c r="A127" s="21" t="str">
        <f>IFERROR(__xludf.DUMMYFUNCTION("""COMPUTED_VALUE"""),"Magmar")</f>
        <v>Magmar</v>
      </c>
      <c r="B127" s="15" t="str">
        <f>IFERROR(__xludf.DUMMYFUNCTION("""COMPUTED_VALUE"""),"https://imgur.com/a/TykewxH")</f>
        <v>https://imgur.com/a/TykewxH</v>
      </c>
      <c r="C127" s="35" t="str">
        <f>IFERROR(__xludf.DUMMYFUNCTION("""COMPUTED_VALUE"""),"Esquerda do CP de Cinnabar")</f>
        <v>Esquerda do CP de Cinnabar</v>
      </c>
      <c r="D127" s="15" t="str">
        <f>IFERROR(__xludf.DUMMYFUNCTION("""COMPUTED_VALUE"""),"https://imgur.com/a/wFcUcVR")</f>
        <v>https://imgur.com/a/wFcUcVR</v>
      </c>
    </row>
    <row r="128">
      <c r="A128" s="21" t="str">
        <f>IFERROR(__xludf.DUMMYFUNCTION("""COMPUTED_VALUE"""),"Pinsir")</f>
        <v>Pinsir</v>
      </c>
      <c r="B128" s="15" t="str">
        <f>IFERROR(__xludf.DUMMYFUNCTION("""COMPUTED_VALUE"""),"https://imgur.com/a/T3rOBjE")</f>
        <v>https://imgur.com/a/T3rOBjE</v>
      </c>
      <c r="C128" s="23" t="str">
        <f>IFERROR(__xludf.DUMMYFUNCTION("""COMPUTED_VALUE"""),"https://imgur.com/a/Q0Pn5Tv")</f>
        <v>https://imgur.com/a/Q0Pn5Tv</v>
      </c>
      <c r="D128" s="11" t="str">
        <f>IFERROR(__xludf.DUMMYFUNCTION("""COMPUTED_VALUE"""),"-")</f>
        <v>-</v>
      </c>
    </row>
    <row r="129">
      <c r="A129" s="21" t="str">
        <f>IFERROR(__xludf.DUMMYFUNCTION("""COMPUTED_VALUE"""),"Tauros")</f>
        <v>Tauros</v>
      </c>
      <c r="B129" s="15" t="str">
        <f>IFERROR(__xludf.DUMMYFUNCTION("""COMPUTED_VALUE"""),"https://imgur.com/a/j21SPSA")</f>
        <v>https://imgur.com/a/j21SPSA</v>
      </c>
      <c r="C129" s="35" t="str">
        <f>IFERROR(__xludf.DUMMYFUNCTION("""COMPUTED_VALUE"""),"Safari")</f>
        <v>Safari</v>
      </c>
      <c r="D129" s="11" t="str">
        <f>IFERROR(__xludf.DUMMYFUNCTION("""COMPUTED_VALUE"""),"-")</f>
        <v>-</v>
      </c>
    </row>
    <row r="130">
      <c r="A130" s="21" t="str">
        <f>IFERROR(__xludf.DUMMYFUNCTION("""COMPUTED_VALUE"""),"Magikarp")</f>
        <v>Magikarp</v>
      </c>
      <c r="B130" s="22" t="str">
        <f>IFERROR(__xludf.DUMMYFUNCTION("""COMPUTED_VALUE"""),"-")</f>
        <v>-</v>
      </c>
      <c r="C130" s="23" t="str">
        <f>IFERROR(__xludf.DUMMYFUNCTION("""COMPUTED_VALUE"""),"https://imgur.com/a/kMnqXdd")</f>
        <v>https://imgur.com/a/kMnqXdd</v>
      </c>
      <c r="D130" s="11" t="str">
        <f>IFERROR(__xludf.DUMMYFUNCTION("""COMPUTED_VALUE"""),"-")</f>
        <v>-</v>
      </c>
    </row>
    <row r="131">
      <c r="A131" s="21" t="str">
        <f>IFERROR(__xludf.DUMMYFUNCTION("""COMPUTED_VALUE"""),"Gyarados")</f>
        <v>Gyarados</v>
      </c>
      <c r="B131" s="15" t="str">
        <f>IFERROR(__xludf.DUMMYFUNCTION("""COMPUTED_VALUE"""),"https://imgur.com/a/mfds9di")</f>
        <v>https://imgur.com/a/mfds9di</v>
      </c>
      <c r="C131" s="23" t="str">
        <f>IFERROR(__xludf.DUMMYFUNCTION("""COMPUTED_VALUE"""),"https://imgur.com/a/dvZETth")</f>
        <v>https://imgur.com/a/dvZETth</v>
      </c>
      <c r="D131" s="15" t="str">
        <f>IFERROR(__xludf.DUMMYFUNCTION("""COMPUTED_VALUE"""),"https://imgur.com/a/wFcUcVR")</f>
        <v>https://imgur.com/a/wFcUcVR</v>
      </c>
    </row>
    <row r="132">
      <c r="A132" s="21" t="str">
        <f>IFERROR(__xludf.DUMMYFUNCTION("""COMPUTED_VALUE"""),"Lapras")</f>
        <v>Lapras</v>
      </c>
      <c r="B132" s="15" t="str">
        <f>IFERROR(__xludf.DUMMYFUNCTION("""COMPUTED_VALUE"""),"https://imgur.com/a/ca4NlMA")</f>
        <v>https://imgur.com/a/ca4NlMA</v>
      </c>
      <c r="C132" s="23" t="str">
        <f>IFERROR(__xludf.DUMMYFUNCTION("""COMPUTED_VALUE"""),"https://imgur.com/a/gB97GTZ")</f>
        <v>https://imgur.com/a/gB97GTZ</v>
      </c>
      <c r="D132" s="11" t="str">
        <f>IFERROR(__xludf.DUMMYFUNCTION("""COMPUTED_VALUE"""),"-")</f>
        <v>-</v>
      </c>
    </row>
    <row r="133">
      <c r="A133" s="21" t="str">
        <f>IFERROR(__xludf.DUMMYFUNCTION("""COMPUTED_VALUE"""),"Ditto")</f>
        <v>Ditto</v>
      </c>
      <c r="B133" s="22" t="str">
        <f>IFERROR(__xludf.DUMMYFUNCTION("""COMPUTED_VALUE"""),"-")</f>
        <v>-</v>
      </c>
      <c r="C133" s="35" t="str">
        <f>IFERROR(__xludf.DUMMYFUNCTION("""COMPUTED_VALUE"""),"-")</f>
        <v>-</v>
      </c>
      <c r="D133" s="11" t="str">
        <f>IFERROR(__xludf.DUMMYFUNCTION("""COMPUTED_VALUE"""),"-")</f>
        <v>-</v>
      </c>
    </row>
    <row r="134">
      <c r="A134" s="21" t="str">
        <f>IFERROR(__xludf.DUMMYFUNCTION("""COMPUTED_VALUE"""),"Eevee")</f>
        <v>Eevee</v>
      </c>
      <c r="B134" s="22" t="str">
        <f>IFERROR(__xludf.DUMMYFUNCTION("""COMPUTED_VALUE"""),"-")</f>
        <v>-</v>
      </c>
      <c r="C134" s="23" t="str">
        <f>IFERROR(__xludf.DUMMYFUNCTION("""COMPUTED_VALUE"""),"https://imgur.com/a/dJnqJtS")</f>
        <v>https://imgur.com/a/dJnqJtS</v>
      </c>
      <c r="D134" s="11" t="str">
        <f>IFERROR(__xludf.DUMMYFUNCTION("""COMPUTED_VALUE"""),"-")</f>
        <v>-</v>
      </c>
    </row>
    <row r="135">
      <c r="A135" s="21" t="str">
        <f>IFERROR(__xludf.DUMMYFUNCTION("""COMPUTED_VALUE"""),"Vaporeon")</f>
        <v>Vaporeon</v>
      </c>
      <c r="B135" s="15" t="str">
        <f>IFERROR(__xludf.DUMMYFUNCTION("""COMPUTED_VALUE"""),"https://imgur.com/a/RI7U1mv")</f>
        <v>https://imgur.com/a/RI7U1mv</v>
      </c>
      <c r="C135" s="23" t="str">
        <f>IFERROR(__xludf.DUMMYFUNCTION("""COMPUTED_VALUE"""),"https://imgur.com/a/rzkzhzF")</f>
        <v>https://imgur.com/a/rzkzhzF</v>
      </c>
      <c r="D135" s="11" t="str">
        <f>IFERROR(__xludf.DUMMYFUNCTION("""COMPUTED_VALUE"""),"-")</f>
        <v>-</v>
      </c>
    </row>
    <row r="136">
      <c r="A136" s="21" t="str">
        <f>IFERROR(__xludf.DUMMYFUNCTION("""COMPUTED_VALUE"""),"Jolteon")</f>
        <v>Jolteon</v>
      </c>
      <c r="B136" s="15" t="str">
        <f>IFERROR(__xludf.DUMMYFUNCTION("""COMPUTED_VALUE"""),"https://imgur.com/a/clP3jSD")</f>
        <v>https://imgur.com/a/clP3jSD</v>
      </c>
      <c r="C136" s="23" t="str">
        <f>IFERROR(__xludf.DUMMYFUNCTION("""COMPUTED_VALUE"""),"https://imgur.com/a/tVt9b2v")</f>
        <v>https://imgur.com/a/tVt9b2v</v>
      </c>
      <c r="D136" s="11" t="str">
        <f>IFERROR(__xludf.DUMMYFUNCTION("""COMPUTED_VALUE"""),"-")</f>
        <v>-</v>
      </c>
    </row>
    <row r="137">
      <c r="A137" s="21" t="str">
        <f>IFERROR(__xludf.DUMMYFUNCTION("""COMPUTED_VALUE"""),"Flareon")</f>
        <v>Flareon</v>
      </c>
      <c r="B137" s="15" t="str">
        <f>IFERROR(__xludf.DUMMYFUNCTION("""COMPUTED_VALUE"""),"https://imgur.com/a/0QTUhoj")</f>
        <v>https://imgur.com/a/0QTUhoj</v>
      </c>
      <c r="C137" s="23" t="str">
        <f>IFERROR(__xludf.DUMMYFUNCTION("""COMPUTED_VALUE"""),"https://imgur.com/a/ifO0TRh")</f>
        <v>https://imgur.com/a/ifO0TRh</v>
      </c>
      <c r="D137" s="11" t="str">
        <f>IFERROR(__xludf.DUMMYFUNCTION("""COMPUTED_VALUE"""),"-")</f>
        <v>-</v>
      </c>
    </row>
    <row r="138">
      <c r="A138" s="21" t="str">
        <f>IFERROR(__xludf.DUMMYFUNCTION("""COMPUTED_VALUE"""),"Porygon")</f>
        <v>Porygon</v>
      </c>
      <c r="B138" s="22" t="str">
        <f>IFERROR(__xludf.DUMMYFUNCTION("""COMPUTED_VALUE"""),"-")</f>
        <v>-</v>
      </c>
      <c r="C138" s="35" t="str">
        <f>IFERROR(__xludf.DUMMYFUNCTION("""COMPUTED_VALUE"""),"-")</f>
        <v>-</v>
      </c>
      <c r="D138" s="11" t="str">
        <f>IFERROR(__xludf.DUMMYFUNCTION("""COMPUTED_VALUE"""),"-")</f>
        <v>-</v>
      </c>
    </row>
    <row r="139">
      <c r="A139" s="21" t="str">
        <f>IFERROR(__xludf.DUMMYFUNCTION("""COMPUTED_VALUE"""),"Omanyte")</f>
        <v>Omanyte</v>
      </c>
      <c r="B139" s="22" t="str">
        <f>IFERROR(__xludf.DUMMYFUNCTION("""COMPUTED_VALUE"""),"-")</f>
        <v>-</v>
      </c>
      <c r="C139" s="23" t="str">
        <f>IFERROR(__xludf.DUMMYFUNCTION("""COMPUTED_VALUE"""),"https://imgur.com/a/lrEa6jJ")</f>
        <v>https://imgur.com/a/lrEa6jJ</v>
      </c>
      <c r="D139" s="11" t="str">
        <f>IFERROR(__xludf.DUMMYFUNCTION("""COMPUTED_VALUE"""),"-")</f>
        <v>-</v>
      </c>
    </row>
    <row r="140">
      <c r="A140" s="21" t="str">
        <f>IFERROR(__xludf.DUMMYFUNCTION("""COMPUTED_VALUE"""),"Omastar")</f>
        <v>Omastar</v>
      </c>
      <c r="B140" s="48" t="str">
        <f>IFERROR(__xludf.DUMMYFUNCTION("""COMPUTED_VALUE"""),"https://imgur.com/a/lrEa6jJ")</f>
        <v>https://imgur.com/a/lrEa6jJ</v>
      </c>
      <c r="C140" s="23" t="str">
        <f>IFERROR(__xludf.DUMMYFUNCTION("""COMPUTED_VALUE"""),"https://imgur.com/a/lrEa6jJ")</f>
        <v>https://imgur.com/a/lrEa6jJ</v>
      </c>
      <c r="D140" s="11" t="str">
        <f>IFERROR(__xludf.DUMMYFUNCTION("""COMPUTED_VALUE"""),"-")</f>
        <v>-</v>
      </c>
    </row>
    <row r="141">
      <c r="A141" s="21" t="str">
        <f>IFERROR(__xludf.DUMMYFUNCTION("""COMPUTED_VALUE"""),"Kabuto")</f>
        <v>Kabuto</v>
      </c>
      <c r="B141" s="22" t="str">
        <f>IFERROR(__xludf.DUMMYFUNCTION("""COMPUTED_VALUE"""),"-")</f>
        <v>-</v>
      </c>
      <c r="C141" s="23" t="str">
        <f>IFERROR(__xludf.DUMMYFUNCTION("""COMPUTED_VALUE"""),"https://imgur.com/a/hGRDfmM")</f>
        <v>https://imgur.com/a/hGRDfmM</v>
      </c>
      <c r="D141" s="11" t="str">
        <f>IFERROR(__xludf.DUMMYFUNCTION("""COMPUTED_VALUE"""),"-")</f>
        <v>-</v>
      </c>
    </row>
    <row r="142">
      <c r="A142" s="21" t="str">
        <f>IFERROR(__xludf.DUMMYFUNCTION("""COMPUTED_VALUE"""),"Kabutops")</f>
        <v>Kabutops</v>
      </c>
      <c r="B142" s="48" t="str">
        <f>IFERROR(__xludf.DUMMYFUNCTION("""COMPUTED_VALUE"""),"https://imgur.com/a/hGRDfmM")</f>
        <v>https://imgur.com/a/hGRDfmM</v>
      </c>
      <c r="C142" s="23" t="str">
        <f>IFERROR(__xludf.DUMMYFUNCTION("""COMPUTED_VALUE"""),"https://imgur.com/a/hGRDfmM")</f>
        <v>https://imgur.com/a/hGRDfmM</v>
      </c>
      <c r="D142" s="11" t="str">
        <f>IFERROR(__xludf.DUMMYFUNCTION("""COMPUTED_VALUE"""),"-")</f>
        <v>-</v>
      </c>
    </row>
    <row r="143">
      <c r="A143" s="21" t="str">
        <f>IFERROR(__xludf.DUMMYFUNCTION("""COMPUTED_VALUE"""),"Aerodactyl")</f>
        <v>Aerodactyl</v>
      </c>
      <c r="B143" s="22" t="str">
        <f>IFERROR(__xludf.DUMMYFUNCTION("""COMPUTED_VALUE"""),"-")</f>
        <v>-</v>
      </c>
      <c r="C143" s="35" t="str">
        <f>IFERROR(__xludf.DUMMYFUNCTION("""COMPUTED_VALUE"""),"-")</f>
        <v>-</v>
      </c>
      <c r="D143" s="11" t="str">
        <f>IFERROR(__xludf.DUMMYFUNCTION("""COMPUTED_VALUE"""),"-")</f>
        <v>-</v>
      </c>
    </row>
    <row r="144">
      <c r="A144" s="21" t="str">
        <f>IFERROR(__xludf.DUMMYFUNCTION("""COMPUTED_VALUE"""),"Snorlax")</f>
        <v>Snorlax</v>
      </c>
      <c r="B144" s="15" t="str">
        <f>IFERROR(__xludf.DUMMYFUNCTION("""COMPUTED_VALUE"""),"https://imgur.com/a/j21SPSA")</f>
        <v>https://imgur.com/a/j21SPSA</v>
      </c>
      <c r="C144" s="23" t="str">
        <f>IFERROR(__xludf.DUMMYFUNCTION("""COMPUTED_VALUE"""),"https://imgur.com/a/gFsPWgx")</f>
        <v>https://imgur.com/a/gFsPWgx</v>
      </c>
      <c r="D144" s="15" t="str">
        <f>IFERROR(__xludf.DUMMYFUNCTION("""COMPUTED_VALUE"""),"https://imgur.com/a/wFcUcVR")</f>
        <v>https://imgur.com/a/wFcUcVR</v>
      </c>
    </row>
    <row r="145">
      <c r="A145" s="21" t="str">
        <f>IFERROR(__xludf.DUMMYFUNCTION("""COMPUTED_VALUE"""),"Articuno")</f>
        <v>Articuno</v>
      </c>
      <c r="B145" s="22" t="str">
        <f>IFERROR(__xludf.DUMMYFUNCTION("""COMPUTED_VALUE"""),"-")</f>
        <v>-</v>
      </c>
      <c r="C145" s="35" t="str">
        <f>IFERROR(__xludf.DUMMYFUNCTION("""COMPUTED_VALUE"""),"-")</f>
        <v>-</v>
      </c>
      <c r="D145" s="11" t="str">
        <f>IFERROR(__xludf.DUMMYFUNCTION("""COMPUTED_VALUE"""),"-")</f>
        <v>-</v>
      </c>
    </row>
    <row r="146">
      <c r="A146" s="21" t="str">
        <f>IFERROR(__xludf.DUMMYFUNCTION("""COMPUTED_VALUE"""),"Zapdos")</f>
        <v>Zapdos</v>
      </c>
      <c r="B146" s="22" t="str">
        <f>IFERROR(__xludf.DUMMYFUNCTION("""COMPUTED_VALUE"""),"-")</f>
        <v>-</v>
      </c>
      <c r="C146" s="35" t="str">
        <f>IFERROR(__xludf.DUMMYFUNCTION("""COMPUTED_VALUE"""),"-")</f>
        <v>-</v>
      </c>
      <c r="D146" s="11" t="str">
        <f>IFERROR(__xludf.DUMMYFUNCTION("""COMPUTED_VALUE"""),"-")</f>
        <v>-</v>
      </c>
    </row>
    <row r="147">
      <c r="A147" s="21" t="str">
        <f>IFERROR(__xludf.DUMMYFUNCTION("""COMPUTED_VALUE"""),"Moltres")</f>
        <v>Moltres</v>
      </c>
      <c r="B147" s="22" t="str">
        <f>IFERROR(__xludf.DUMMYFUNCTION("""COMPUTED_VALUE"""),"-")</f>
        <v>-</v>
      </c>
      <c r="C147" s="35" t="str">
        <f>IFERROR(__xludf.DUMMYFUNCTION("""COMPUTED_VALUE"""),"-")</f>
        <v>-</v>
      </c>
      <c r="D147" s="11" t="str">
        <f>IFERROR(__xludf.DUMMYFUNCTION("""COMPUTED_VALUE"""),"-")</f>
        <v>-</v>
      </c>
    </row>
    <row r="148">
      <c r="A148" s="21" t="str">
        <f>IFERROR(__xludf.DUMMYFUNCTION("""COMPUTED_VALUE"""),"Dratini")</f>
        <v>Dratini</v>
      </c>
      <c r="B148" s="22" t="str">
        <f>IFERROR(__xludf.DUMMYFUNCTION("""COMPUTED_VALUE"""),"-")</f>
        <v>-</v>
      </c>
      <c r="C148" s="35" t="str">
        <f>IFERROR(__xludf.DUMMYFUNCTION("""COMPUTED_VALUE"""),"Ilha de gelo sudeste de Kanto")</f>
        <v>Ilha de gelo sudeste de Kanto</v>
      </c>
      <c r="D148" s="11" t="str">
        <f>IFERROR(__xludf.DUMMYFUNCTION("""COMPUTED_VALUE"""),"-")</f>
        <v>-</v>
      </c>
    </row>
    <row r="149">
      <c r="A149" s="21" t="str">
        <f>IFERROR(__xludf.DUMMYFUNCTION("""COMPUTED_VALUE"""),"Dragonair")</f>
        <v>Dragonair</v>
      </c>
      <c r="B149" s="23" t="str">
        <f>IFERROR(__xludf.DUMMYFUNCTION("""COMPUTED_VALUE"""),"https://imgur.com/a/P4wh1Pv")</f>
        <v>https://imgur.com/a/P4wh1Pv</v>
      </c>
      <c r="C149" s="35" t="str">
        <f>IFERROR(__xludf.DUMMYFUNCTION("""COMPUTED_VALUE"""),"Ilha de gelo sudeste de Kanto")</f>
        <v>Ilha de gelo sudeste de Kanto</v>
      </c>
      <c r="D149" s="15" t="str">
        <f>IFERROR(__xludf.DUMMYFUNCTION("""COMPUTED_VALUE"""),"https://imgur.com/a/wFcUcVR")</f>
        <v>https://imgur.com/a/wFcUcVR</v>
      </c>
    </row>
    <row r="150">
      <c r="A150" s="21" t="str">
        <f>IFERROR(__xludf.DUMMYFUNCTION("""COMPUTED_VALUE"""),"Dragonite")</f>
        <v>Dragonite</v>
      </c>
      <c r="B150" s="15" t="str">
        <f>IFERROR(__xludf.DUMMYFUNCTION("""COMPUTED_VALUE"""),"https://imgur.com/a/eJHK8SE")</f>
        <v>https://imgur.com/a/eJHK8SE</v>
      </c>
      <c r="C150" s="23" t="str">
        <f>IFERROR(__xludf.DUMMYFUNCTION("""COMPUTED_VALUE"""),"https://imgur.com/a/U3QIuQB")</f>
        <v>https://imgur.com/a/U3QIuQB</v>
      </c>
      <c r="D150" s="15" t="str">
        <f>IFERROR(__xludf.DUMMYFUNCTION("""COMPUTED_VALUE"""),"https://imgur.com/a/wFcUcVR")</f>
        <v>https://imgur.com/a/wFcUcVR</v>
      </c>
    </row>
    <row r="151">
      <c r="A151" s="21" t="str">
        <f>IFERROR(__xludf.DUMMYFUNCTION("""COMPUTED_VALUE"""),"Mewtwo")</f>
        <v>Mewtwo</v>
      </c>
      <c r="B151" s="22" t="str">
        <f>IFERROR(__xludf.DUMMYFUNCTION("""COMPUTED_VALUE"""),"-")</f>
        <v>-</v>
      </c>
      <c r="C151" s="35" t="str">
        <f>IFERROR(__xludf.DUMMYFUNCTION("""COMPUTED_VALUE"""),"-")</f>
        <v>-</v>
      </c>
      <c r="D151" s="11" t="str">
        <f>IFERROR(__xludf.DUMMYFUNCTION("""COMPUTED_VALUE"""),"-")</f>
        <v>-</v>
      </c>
    </row>
    <row r="152">
      <c r="A152" s="21" t="str">
        <f>IFERROR(__xludf.DUMMYFUNCTION("""COMPUTED_VALUE"""),"Mew")</f>
        <v>Mew</v>
      </c>
      <c r="B152" s="22" t="str">
        <f>IFERROR(__xludf.DUMMYFUNCTION("""COMPUTED_VALUE"""),"-")</f>
        <v>-</v>
      </c>
      <c r="C152" s="35" t="str">
        <f>IFERROR(__xludf.DUMMYFUNCTION("""COMPUTED_VALUE"""),"-")</f>
        <v>-</v>
      </c>
      <c r="D152" s="11" t="str">
        <f>IFERROR(__xludf.DUMMYFUNCTION("""COMPUTED_VALUE"""),"-")</f>
        <v>-</v>
      </c>
    </row>
    <row r="153">
      <c r="A153" s="21" t="str">
        <f>IFERROR(__xludf.DUMMYFUNCTION("""COMPUTED_VALUE"""),"Chikorita")</f>
        <v>Chikorita</v>
      </c>
      <c r="B153" s="22" t="str">
        <f>IFERROR(__xludf.DUMMYFUNCTION("""COMPUTED_VALUE"""),"-")</f>
        <v>-</v>
      </c>
      <c r="C153" s="23" t="str">
        <f>IFERROR(__xludf.DUMMYFUNCTION("""COMPUTED_VALUE"""),"https://imgur.com/a/INejCDG")</f>
        <v>https://imgur.com/a/INejCDG</v>
      </c>
      <c r="D153" s="11" t="str">
        <f>IFERROR(__xludf.DUMMYFUNCTION("""COMPUTED_VALUE"""),"-")</f>
        <v>-</v>
      </c>
    </row>
    <row r="154">
      <c r="A154" s="21" t="str">
        <f>IFERROR(__xludf.DUMMYFUNCTION("""COMPUTED_VALUE"""),"Bayleef")</f>
        <v>Bayleef</v>
      </c>
      <c r="B154" s="22" t="str">
        <f>IFERROR(__xludf.DUMMYFUNCTION("""COMPUTED_VALUE"""),"-")</f>
        <v>-</v>
      </c>
      <c r="C154" s="23" t="str">
        <f>IFERROR(__xludf.DUMMYFUNCTION("""COMPUTED_VALUE"""),"https://imgur.com/a/FQ8roQ4")</f>
        <v>https://imgur.com/a/FQ8roQ4</v>
      </c>
      <c r="D154" s="11" t="str">
        <f>IFERROR(__xludf.DUMMYFUNCTION("""COMPUTED_VALUE"""),"-")</f>
        <v>-</v>
      </c>
    </row>
    <row r="155">
      <c r="A155" s="21" t="str">
        <f>IFERROR(__xludf.DUMMYFUNCTION("""COMPUTED_VALUE"""),"Meganium")</f>
        <v>Meganium</v>
      </c>
      <c r="B155" s="15" t="str">
        <f>IFERROR(__xludf.DUMMYFUNCTION("""COMPUTED_VALUE"""),"https://imgur.com/uw0XICj")</f>
        <v>https://imgur.com/uw0XICj</v>
      </c>
      <c r="C155" s="23" t="str">
        <f>IFERROR(__xludf.DUMMYFUNCTION("""COMPUTED_VALUE"""),"https://imgur.com/a/iHrZsw8")</f>
        <v>https://imgur.com/a/iHrZsw8</v>
      </c>
      <c r="D155" s="11" t="str">
        <f>IFERROR(__xludf.DUMMYFUNCTION("""COMPUTED_VALUE"""),"-")</f>
        <v>-</v>
      </c>
    </row>
    <row r="156">
      <c r="A156" s="21" t="str">
        <f>IFERROR(__xludf.DUMMYFUNCTION("""COMPUTED_VALUE"""),"Cyndaquil")</f>
        <v>Cyndaquil</v>
      </c>
      <c r="B156" s="22" t="str">
        <f>IFERROR(__xludf.DUMMYFUNCTION("""COMPUTED_VALUE"""),"-")</f>
        <v>-</v>
      </c>
      <c r="C156" s="23" t="str">
        <f>IFERROR(__xludf.DUMMYFUNCTION("""COMPUTED_VALUE"""),"https://imgur.com/a/PjJgh5m")</f>
        <v>https://imgur.com/a/PjJgh5m</v>
      </c>
      <c r="D156" s="11" t="str">
        <f>IFERROR(__xludf.DUMMYFUNCTION("""COMPUTED_VALUE"""),"-")</f>
        <v>-</v>
      </c>
    </row>
    <row r="157">
      <c r="A157" s="21" t="str">
        <f>IFERROR(__xludf.DUMMYFUNCTION("""COMPUTED_VALUE"""),"Quilava")</f>
        <v>Quilava</v>
      </c>
      <c r="B157" s="22" t="str">
        <f>IFERROR(__xludf.DUMMYFUNCTION("""COMPUTED_VALUE"""),"-")</f>
        <v>-</v>
      </c>
      <c r="C157" s="23" t="str">
        <f>IFERROR(__xludf.DUMMYFUNCTION("""COMPUTED_VALUE"""),"https://imgur.com/a/PjJgh5m")</f>
        <v>https://imgur.com/a/PjJgh5m</v>
      </c>
      <c r="D157" s="11" t="str">
        <f>IFERROR(__xludf.DUMMYFUNCTION("""COMPUTED_VALUE"""),"-")</f>
        <v>-</v>
      </c>
    </row>
    <row r="158">
      <c r="A158" s="21" t="str">
        <f>IFERROR(__xludf.DUMMYFUNCTION("""COMPUTED_VALUE"""),"Typhlosion")</f>
        <v>Typhlosion</v>
      </c>
      <c r="B158" s="15" t="str">
        <f>IFERROR(__xludf.DUMMYFUNCTION("""COMPUTED_VALUE"""),"https://imgur.com/a/nmnNuO5")</f>
        <v>https://imgur.com/a/nmnNuO5</v>
      </c>
      <c r="C158" s="23" t="str">
        <f>IFERROR(__xludf.DUMMYFUNCTION("""COMPUTED_VALUE"""),"https://imgur.com/a/yhVaW4Z")</f>
        <v>https://imgur.com/a/yhVaW4Z</v>
      </c>
      <c r="D158" s="11" t="str">
        <f>IFERROR(__xludf.DUMMYFUNCTION("""COMPUTED_VALUE"""),"-")</f>
        <v>-</v>
      </c>
    </row>
    <row r="159">
      <c r="A159" s="21" t="str">
        <f>IFERROR(__xludf.DUMMYFUNCTION("""COMPUTED_VALUE"""),"Totodile")</f>
        <v>Totodile</v>
      </c>
      <c r="B159" s="22" t="str">
        <f>IFERROR(__xludf.DUMMYFUNCTION("""COMPUTED_VALUE"""),"-")</f>
        <v>-</v>
      </c>
      <c r="C159" s="23" t="str">
        <f>IFERROR(__xludf.DUMMYFUNCTION("""COMPUTED_VALUE"""),"https://imgur.com/a/Oaet1M6")</f>
        <v>https://imgur.com/a/Oaet1M6</v>
      </c>
      <c r="D159" s="11" t="str">
        <f>IFERROR(__xludf.DUMMYFUNCTION("""COMPUTED_VALUE"""),"-")</f>
        <v>-</v>
      </c>
    </row>
    <row r="160">
      <c r="A160" s="21" t="str">
        <f>IFERROR(__xludf.DUMMYFUNCTION("""COMPUTED_VALUE"""),"Croconaw")</f>
        <v>Croconaw</v>
      </c>
      <c r="B160" s="22" t="str">
        <f>IFERROR(__xludf.DUMMYFUNCTION("""COMPUTED_VALUE"""),"-")</f>
        <v>-</v>
      </c>
      <c r="C160" s="23" t="str">
        <f>IFERROR(__xludf.DUMMYFUNCTION("""COMPUTED_VALUE"""),"https://imgur.com/a/Pc6sqFF")</f>
        <v>https://imgur.com/a/Pc6sqFF</v>
      </c>
      <c r="D160" s="11" t="str">
        <f>IFERROR(__xludf.DUMMYFUNCTION("""COMPUTED_VALUE"""),"-")</f>
        <v>-</v>
      </c>
    </row>
    <row r="161">
      <c r="A161" s="21" t="str">
        <f>IFERROR(__xludf.DUMMYFUNCTION("""COMPUTED_VALUE"""),"Feraligatr")</f>
        <v>Feraligatr</v>
      </c>
      <c r="B161" s="15" t="str">
        <f>IFERROR(__xludf.DUMMYFUNCTION("""COMPUTED_VALUE"""),"https://imgur.com/a/H98mIzg")</f>
        <v>https://imgur.com/a/H98mIzg</v>
      </c>
      <c r="C161" s="23" t="str">
        <f>IFERROR(__xludf.DUMMYFUNCTION("""COMPUTED_VALUE"""),"https://imgur.com/a/wpVvk3n")</f>
        <v>https://imgur.com/a/wpVvk3n</v>
      </c>
      <c r="D161" s="11" t="str">
        <f>IFERROR(__xludf.DUMMYFUNCTION("""COMPUTED_VALUE"""),"-")</f>
        <v>-</v>
      </c>
    </row>
    <row r="162">
      <c r="A162" s="21" t="str">
        <f>IFERROR(__xludf.DUMMYFUNCTION("""COMPUTED_VALUE"""),"Sentret")</f>
        <v>Sentret</v>
      </c>
      <c r="B162" s="22" t="str">
        <f>IFERROR(__xludf.DUMMYFUNCTION("""COMPUTED_VALUE"""),"-")</f>
        <v>-</v>
      </c>
      <c r="C162" s="23" t="str">
        <f>IFERROR(__xludf.DUMMYFUNCTION("""COMPUTED_VALUE"""),"https://imgur.com/a/ScBW2W0")</f>
        <v>https://imgur.com/a/ScBW2W0</v>
      </c>
      <c r="D162" s="11" t="str">
        <f>IFERROR(__xludf.DUMMYFUNCTION("""COMPUTED_VALUE"""),"-")</f>
        <v>-</v>
      </c>
    </row>
    <row r="163">
      <c r="A163" s="21" t="str">
        <f>IFERROR(__xludf.DUMMYFUNCTION("""COMPUTED_VALUE"""),"Furret")</f>
        <v>Furret</v>
      </c>
      <c r="B163" s="22" t="str">
        <f>IFERROR(__xludf.DUMMYFUNCTION("""COMPUTED_VALUE"""),"-")</f>
        <v>-</v>
      </c>
      <c r="C163" s="23" t="str">
        <f>IFERROR(__xludf.DUMMYFUNCTION("""COMPUTED_VALUE"""),"https://imgur.com/a/9Tbj4NB")</f>
        <v>https://imgur.com/a/9Tbj4NB</v>
      </c>
      <c r="D163" s="11" t="str">
        <f>IFERROR(__xludf.DUMMYFUNCTION("""COMPUTED_VALUE"""),"-")</f>
        <v>-</v>
      </c>
    </row>
    <row r="164">
      <c r="A164" s="21" t="str">
        <f>IFERROR(__xludf.DUMMYFUNCTION("""COMPUTED_VALUE"""),"Hoothoot")</f>
        <v>Hoothoot</v>
      </c>
      <c r="B164" s="22" t="str">
        <f>IFERROR(__xludf.DUMMYFUNCTION("""COMPUTED_VALUE"""),"-")</f>
        <v>-</v>
      </c>
      <c r="C164" s="23" t="str">
        <f>IFERROR(__xludf.DUMMYFUNCTION("""COMPUTED_VALUE"""),"https://imgur.com/a/xxiIVMq")</f>
        <v>https://imgur.com/a/xxiIVMq</v>
      </c>
      <c r="D164" s="11" t="str">
        <f>IFERROR(__xludf.DUMMYFUNCTION("""COMPUTED_VALUE"""),"-")</f>
        <v>-</v>
      </c>
    </row>
    <row r="165">
      <c r="A165" s="21" t="str">
        <f>IFERROR(__xludf.DUMMYFUNCTION("""COMPUTED_VALUE"""),"Noctowl")</f>
        <v>Noctowl</v>
      </c>
      <c r="B165" s="23" t="str">
        <f>IFERROR(__xludf.DUMMYFUNCTION("""COMPUTED_VALUE"""),"https://imgur.com/a/6DevZes")</f>
        <v>https://imgur.com/a/6DevZes</v>
      </c>
      <c r="C165" s="23" t="str">
        <f>IFERROR(__xludf.DUMMYFUNCTION("""COMPUTED_VALUE"""),"https://imgur.com/a/k0zFzjl")</f>
        <v>https://imgur.com/a/k0zFzjl</v>
      </c>
      <c r="D165" s="11" t="str">
        <f>IFERROR(__xludf.DUMMYFUNCTION("""COMPUTED_VALUE"""),"-")</f>
        <v>-</v>
      </c>
    </row>
    <row r="166">
      <c r="A166" s="21" t="str">
        <f>IFERROR(__xludf.DUMMYFUNCTION("""COMPUTED_VALUE"""),"Ledyba")</f>
        <v>Ledyba</v>
      </c>
      <c r="B166" s="22" t="str">
        <f>IFERROR(__xludf.DUMMYFUNCTION("""COMPUTED_VALUE"""),"-")</f>
        <v>-</v>
      </c>
      <c r="C166" s="23" t="str">
        <f>IFERROR(__xludf.DUMMYFUNCTION("""COMPUTED_VALUE"""),"https://imgur.com/a/h0IZeRQ")</f>
        <v>https://imgur.com/a/h0IZeRQ</v>
      </c>
      <c r="D166" s="11" t="str">
        <f>IFERROR(__xludf.DUMMYFUNCTION("""COMPUTED_VALUE"""),"-")</f>
        <v>-</v>
      </c>
    </row>
    <row r="167">
      <c r="A167" s="21" t="str">
        <f>IFERROR(__xludf.DUMMYFUNCTION("""COMPUTED_VALUE"""),"Ledian")</f>
        <v>Ledian</v>
      </c>
      <c r="B167" s="22" t="str">
        <f>IFERROR(__xludf.DUMMYFUNCTION("""COMPUTED_VALUE"""),"-")</f>
        <v>-</v>
      </c>
      <c r="C167" s="35" t="str">
        <f>IFERROR(__xludf.DUMMYFUNCTION("""COMPUTED_VALUE"""),"Esquerda de Ecruteak")</f>
        <v>Esquerda de Ecruteak</v>
      </c>
      <c r="D167" s="11" t="str">
        <f>IFERROR(__xludf.DUMMYFUNCTION("""COMPUTED_VALUE"""),"-")</f>
        <v>-</v>
      </c>
    </row>
    <row r="168">
      <c r="A168" s="21" t="str">
        <f>IFERROR(__xludf.DUMMYFUNCTION("""COMPUTED_VALUE"""),"Spinarak")</f>
        <v>Spinarak</v>
      </c>
      <c r="B168" s="22" t="str">
        <f>IFERROR(__xludf.DUMMYFUNCTION("""COMPUTED_VALUE"""),"-")</f>
        <v>-</v>
      </c>
      <c r="C168" s="23" t="str">
        <f>IFERROR(__xludf.DUMMYFUNCTION("""COMPUTED_VALUE"""),"https://imgur.com/a/3AhXzRO")</f>
        <v>https://imgur.com/a/3AhXzRO</v>
      </c>
      <c r="D168" s="11" t="str">
        <f>IFERROR(__xludf.DUMMYFUNCTION("""COMPUTED_VALUE"""),"-")</f>
        <v>-</v>
      </c>
    </row>
    <row r="169">
      <c r="A169" s="21" t="str">
        <f>IFERROR(__xludf.DUMMYFUNCTION("""COMPUTED_VALUE"""),"Ariados")</f>
        <v>Ariados</v>
      </c>
      <c r="B169" s="22" t="str">
        <f>IFERROR(__xludf.DUMMYFUNCTION("""COMPUTED_VALUE"""),"-")</f>
        <v>-</v>
      </c>
      <c r="C169" s="23" t="str">
        <f>IFERROR(__xludf.DUMMYFUNCTION("""COMPUTED_VALUE"""),"https://imgur.com/a/3AhXzRO")</f>
        <v>https://imgur.com/a/3AhXzRO</v>
      </c>
      <c r="D169" s="11" t="str">
        <f>IFERROR(__xludf.DUMMYFUNCTION("""COMPUTED_VALUE"""),"-")</f>
        <v>-</v>
      </c>
    </row>
    <row r="170">
      <c r="A170" s="21" t="str">
        <f>IFERROR(__xludf.DUMMYFUNCTION("""COMPUTED_VALUE"""),"Crobat")</f>
        <v>Crobat</v>
      </c>
      <c r="B170" s="23" t="str">
        <f>IFERROR(__xludf.DUMMYFUNCTION("""COMPUTED_VALUE"""),"https://imgur.com/a/DgtNeZR")</f>
        <v>https://imgur.com/a/DgtNeZR</v>
      </c>
      <c r="C170" s="23" t="str">
        <f>IFERROR(__xludf.DUMMYFUNCTION("""COMPUTED_VALUE"""),"https://imgur.com/a/kAVI10S")</f>
        <v>https://imgur.com/a/kAVI10S</v>
      </c>
      <c r="D170" s="11" t="str">
        <f>IFERROR(__xludf.DUMMYFUNCTION("""COMPUTED_VALUE"""),"-")</f>
        <v>-</v>
      </c>
    </row>
    <row r="171">
      <c r="A171" s="21" t="str">
        <f>IFERROR(__xludf.DUMMYFUNCTION("""COMPUTED_VALUE"""),"Chinchou")</f>
        <v>Chinchou</v>
      </c>
      <c r="B171" s="22" t="str">
        <f>IFERROR(__xludf.DUMMYFUNCTION("""COMPUTED_VALUE"""),"-")</f>
        <v>-</v>
      </c>
      <c r="C171" s="23" t="str">
        <f>IFERROR(__xludf.DUMMYFUNCTION("""COMPUTED_VALUE"""),"https://imgur.com/a/h2WnRle")</f>
        <v>https://imgur.com/a/h2WnRle</v>
      </c>
      <c r="D171" s="11" t="str">
        <f>IFERROR(__xludf.DUMMYFUNCTION("""COMPUTED_VALUE"""),"-")</f>
        <v>-</v>
      </c>
    </row>
    <row r="172">
      <c r="A172" s="21" t="str">
        <f>IFERROR(__xludf.DUMMYFUNCTION("""COMPUTED_VALUE"""),"Lanturn")</f>
        <v>Lanturn</v>
      </c>
      <c r="B172" s="22" t="str">
        <f>IFERROR(__xludf.DUMMYFUNCTION("""COMPUTED_VALUE"""),"-")</f>
        <v>-</v>
      </c>
      <c r="C172" s="23" t="str">
        <f>IFERROR(__xludf.DUMMYFUNCTION("""COMPUTED_VALUE"""),"https://imgur.com/a/h2WnRle")</f>
        <v>https://imgur.com/a/h2WnRle</v>
      </c>
      <c r="D172" s="11" t="str">
        <f>IFERROR(__xludf.DUMMYFUNCTION("""COMPUTED_VALUE"""),"-")</f>
        <v>-</v>
      </c>
    </row>
    <row r="173">
      <c r="A173" s="21" t="str">
        <f>IFERROR(__xludf.DUMMYFUNCTION("""COMPUTED_VALUE"""),"Pichu")</f>
        <v>Pichu</v>
      </c>
      <c r="B173" s="22" t="str">
        <f>IFERROR(__xludf.DUMMYFUNCTION("""COMPUTED_VALUE"""),"-")</f>
        <v>-</v>
      </c>
      <c r="C173" s="23" t="str">
        <f>IFERROR(__xludf.DUMMYFUNCTION("""COMPUTED_VALUE"""),"https://imgur.com/a/owJDq0n")</f>
        <v>https://imgur.com/a/owJDq0n</v>
      </c>
      <c r="D173" s="11" t="str">
        <f>IFERROR(__xludf.DUMMYFUNCTION("""COMPUTED_VALUE"""),"-")</f>
        <v>-</v>
      </c>
    </row>
    <row r="174">
      <c r="A174" s="21" t="str">
        <f>IFERROR(__xludf.DUMMYFUNCTION("""COMPUTED_VALUE"""),"Cleffa")</f>
        <v>Cleffa</v>
      </c>
      <c r="B174" s="22" t="str">
        <f>IFERROR(__xludf.DUMMYFUNCTION("""COMPUTED_VALUE"""),"-")</f>
        <v>-</v>
      </c>
      <c r="C174" s="23" t="str">
        <f>IFERROR(__xludf.DUMMYFUNCTION("""COMPUTED_VALUE"""),"https://imgur.com/a/wFWndAk")</f>
        <v>https://imgur.com/a/wFWndAk</v>
      </c>
      <c r="D174" s="11" t="str">
        <f>IFERROR(__xludf.DUMMYFUNCTION("""COMPUTED_VALUE"""),"-")</f>
        <v>-</v>
      </c>
    </row>
    <row r="175">
      <c r="A175" s="21" t="str">
        <f>IFERROR(__xludf.DUMMYFUNCTION("""COMPUTED_VALUE"""),"Igglybuff")</f>
        <v>Igglybuff</v>
      </c>
      <c r="B175" s="22" t="str">
        <f>IFERROR(__xludf.DUMMYFUNCTION("""COMPUTED_VALUE"""),"-")</f>
        <v>-</v>
      </c>
      <c r="C175" s="35" t="str">
        <f>IFERROR(__xludf.DUMMYFUNCTION("""COMPUTED_VALUE"""),"Ilha direita de Fuchsia")</f>
        <v>Ilha direita de Fuchsia</v>
      </c>
      <c r="D175" s="11" t="str">
        <f>IFERROR(__xludf.DUMMYFUNCTION("""COMPUTED_VALUE"""),"-")</f>
        <v>-</v>
      </c>
    </row>
    <row r="176">
      <c r="A176" s="21" t="str">
        <f>IFERROR(__xludf.DUMMYFUNCTION("""COMPUTED_VALUE"""),"Togepi")</f>
        <v>Togepi</v>
      </c>
      <c r="B176" s="22" t="str">
        <f>IFERROR(__xludf.DUMMYFUNCTION("""COMPUTED_VALUE"""),"-")</f>
        <v>-</v>
      </c>
      <c r="C176" s="23" t="str">
        <f>IFERROR(__xludf.DUMMYFUNCTION("""COMPUTED_VALUE"""),"https://imgur.com/a/4Gfcwjm")</f>
        <v>https://imgur.com/a/4Gfcwjm</v>
      </c>
      <c r="D176" s="11" t="str">
        <f>IFERROR(__xludf.DUMMYFUNCTION("""COMPUTED_VALUE"""),"-")</f>
        <v>-</v>
      </c>
    </row>
    <row r="177">
      <c r="A177" s="21" t="str">
        <f>IFERROR(__xludf.DUMMYFUNCTION("""COMPUTED_VALUE"""),"Togetic")</f>
        <v>Togetic</v>
      </c>
      <c r="B177" s="22" t="str">
        <f>IFERROR(__xludf.DUMMYFUNCTION("""COMPUTED_VALUE"""),"-")</f>
        <v>-</v>
      </c>
      <c r="C177" s="23" t="str">
        <f>IFERROR(__xludf.DUMMYFUNCTION("""COMPUTED_VALUE"""),"https://imgur.com/a/4Gfcwjm")</f>
        <v>https://imgur.com/a/4Gfcwjm</v>
      </c>
      <c r="D177" s="11" t="str">
        <f>IFERROR(__xludf.DUMMYFUNCTION("""COMPUTED_VALUE"""),"-")</f>
        <v>-</v>
      </c>
    </row>
    <row r="178">
      <c r="A178" s="21" t="str">
        <f>IFERROR(__xludf.DUMMYFUNCTION("""COMPUTED_VALUE"""),"Natu")</f>
        <v>Natu</v>
      </c>
      <c r="B178" s="22" t="str">
        <f>IFERROR(__xludf.DUMMYFUNCTION("""COMPUTED_VALUE"""),"-")</f>
        <v>-</v>
      </c>
      <c r="C178" s="35" t="str">
        <f>IFERROR(__xludf.DUMMYFUNCTION("""COMPUTED_VALUE"""),"Ilha norte de Ecruteak")</f>
        <v>Ilha norte de Ecruteak</v>
      </c>
      <c r="D178" s="11" t="str">
        <f>IFERROR(__xludf.DUMMYFUNCTION("""COMPUTED_VALUE"""),"-")</f>
        <v>-</v>
      </c>
    </row>
    <row r="179">
      <c r="A179" s="21" t="str">
        <f>IFERROR(__xludf.DUMMYFUNCTION("""COMPUTED_VALUE"""),"Xatu")</f>
        <v>Xatu</v>
      </c>
      <c r="B179" s="23" t="str">
        <f>IFERROR(__xludf.DUMMYFUNCTION("""COMPUTED_VALUE"""),"https://imgur.com/a/46mYVO7")</f>
        <v>https://imgur.com/a/46mYVO7</v>
      </c>
      <c r="C179" s="23" t="str">
        <f>IFERROR(__xludf.DUMMYFUNCTION("""COMPUTED_VALUE"""),"https://imgur.com/a/yVLhMR7")</f>
        <v>https://imgur.com/a/yVLhMR7</v>
      </c>
      <c r="D179" s="11" t="str">
        <f>IFERROR(__xludf.DUMMYFUNCTION("""COMPUTED_VALUE"""),"-")</f>
        <v>-</v>
      </c>
    </row>
    <row r="180">
      <c r="A180" s="21" t="str">
        <f>IFERROR(__xludf.DUMMYFUNCTION("""COMPUTED_VALUE"""),"Mareep")</f>
        <v>Mareep</v>
      </c>
      <c r="B180" s="22" t="str">
        <f>IFERROR(__xludf.DUMMYFUNCTION("""COMPUTED_VALUE"""),"-")</f>
        <v>-</v>
      </c>
      <c r="C180" s="35" t="str">
        <f>IFERROR(__xludf.DUMMYFUNCTION("""COMPUTED_VALUE"""),"Norte de Olivine")</f>
        <v>Norte de Olivine</v>
      </c>
      <c r="D180" s="11" t="str">
        <f>IFERROR(__xludf.DUMMYFUNCTION("""COMPUTED_VALUE"""),"-")</f>
        <v>-</v>
      </c>
    </row>
    <row r="181">
      <c r="A181" s="21" t="str">
        <f>IFERROR(__xludf.DUMMYFUNCTION("""COMPUTED_VALUE"""),"Flaaffy")</f>
        <v>Flaaffy</v>
      </c>
      <c r="B181" s="22" t="str">
        <f>IFERROR(__xludf.DUMMYFUNCTION("""COMPUTED_VALUE"""),"-")</f>
        <v>-</v>
      </c>
      <c r="C181" s="35" t="str">
        <f>IFERROR(__xludf.DUMMYFUNCTION("""COMPUTED_VALUE"""),"Norte de Olivine")</f>
        <v>Norte de Olivine</v>
      </c>
      <c r="D181" s="11" t="str">
        <f>IFERROR(__xludf.DUMMYFUNCTION("""COMPUTED_VALUE"""),"-")</f>
        <v>-</v>
      </c>
    </row>
    <row r="182">
      <c r="A182" s="21" t="str">
        <f>IFERROR(__xludf.DUMMYFUNCTION("""COMPUTED_VALUE"""),"Ampharos")</f>
        <v>Ampharos</v>
      </c>
      <c r="B182" s="15" t="str">
        <f>IFERROR(__xludf.DUMMYFUNCTION("""COMPUTED_VALUE"""),"https://imgur.com/a/O7GKc00")</f>
        <v>https://imgur.com/a/O7GKc00</v>
      </c>
      <c r="C182" s="35" t="str">
        <f>IFERROR(__xludf.DUMMYFUNCTION("""COMPUTED_VALUE"""),"Norte de Olivine")</f>
        <v>Norte de Olivine</v>
      </c>
      <c r="D182" s="11" t="str">
        <f>IFERROR(__xludf.DUMMYFUNCTION("""COMPUTED_VALUE"""),"-")</f>
        <v>-</v>
      </c>
    </row>
    <row r="183">
      <c r="A183" s="21" t="str">
        <f>IFERROR(__xludf.DUMMYFUNCTION("""COMPUTED_VALUE"""),"Bellossom")</f>
        <v>Bellossom</v>
      </c>
      <c r="B183" s="22" t="str">
        <f>IFERROR(__xludf.DUMMYFUNCTION("""COMPUTED_VALUE"""),"-")</f>
        <v>-</v>
      </c>
      <c r="C183" s="23" t="str">
        <f>IFERROR(__xludf.DUMMYFUNCTION("""COMPUTED_VALUE"""),"https://imgur.com/a/y1nJZLe")</f>
        <v>https://imgur.com/a/y1nJZLe</v>
      </c>
      <c r="D183" s="11" t="str">
        <f>IFERROR(__xludf.DUMMYFUNCTION("""COMPUTED_VALUE"""),"-")</f>
        <v>-</v>
      </c>
    </row>
    <row r="184">
      <c r="A184" s="21" t="str">
        <f>IFERROR(__xludf.DUMMYFUNCTION("""COMPUTED_VALUE"""),"Marill")</f>
        <v>Marill</v>
      </c>
      <c r="B184" s="22" t="str">
        <f>IFERROR(__xludf.DUMMYFUNCTION("""COMPUTED_VALUE"""),"-")</f>
        <v>-</v>
      </c>
      <c r="C184" s="23" t="str">
        <f>IFERROR(__xludf.DUMMYFUNCTION("""COMPUTED_VALUE"""),"https://imgur.com/a/3YGU4BO")</f>
        <v>https://imgur.com/a/3YGU4BO</v>
      </c>
      <c r="D184" s="11" t="str">
        <f>IFERROR(__xludf.DUMMYFUNCTION("""COMPUTED_VALUE"""),"-")</f>
        <v>-</v>
      </c>
    </row>
    <row r="185">
      <c r="A185" s="21" t="str">
        <f>IFERROR(__xludf.DUMMYFUNCTION("""COMPUTED_VALUE"""),"Azumarill")</f>
        <v>Azumarill</v>
      </c>
      <c r="B185" s="22" t="str">
        <f>IFERROR(__xludf.DUMMYFUNCTION("""COMPUTED_VALUE"""),"-")</f>
        <v>-</v>
      </c>
      <c r="C185" s="23" t="str">
        <f>IFERROR(__xludf.DUMMYFUNCTION("""COMPUTED_VALUE"""),"https://imgur.com/a/3YGU4BO")</f>
        <v>https://imgur.com/a/3YGU4BO</v>
      </c>
      <c r="D185" s="11" t="str">
        <f>IFERROR(__xludf.DUMMYFUNCTION("""COMPUTED_VALUE"""),"-")</f>
        <v>-</v>
      </c>
    </row>
    <row r="186">
      <c r="A186" s="21" t="str">
        <f>IFERROR(__xludf.DUMMYFUNCTION("""COMPUTED_VALUE"""),"Sudowoodo")</f>
        <v>Sudowoodo</v>
      </c>
      <c r="B186" s="22" t="str">
        <f>IFERROR(__xludf.DUMMYFUNCTION("""COMPUTED_VALUE"""),"-")</f>
        <v>-</v>
      </c>
      <c r="C186" s="35" t="str">
        <f>IFERROR(__xludf.DUMMYFUNCTION("""COMPUTED_VALUE"""),"-")</f>
        <v>-</v>
      </c>
      <c r="D186" s="11" t="str">
        <f>IFERROR(__xludf.DUMMYFUNCTION("""COMPUTED_VALUE"""),"-")</f>
        <v>-</v>
      </c>
    </row>
    <row r="187">
      <c r="A187" s="21" t="str">
        <f>IFERROR(__xludf.DUMMYFUNCTION("""COMPUTED_VALUE"""),"Politoed")</f>
        <v>Politoed</v>
      </c>
      <c r="B187" s="23" t="str">
        <f>IFERROR(__xludf.DUMMYFUNCTION("""COMPUTED_VALUE"""),"https://imgur.com/a/zMl0ekj")</f>
        <v>https://imgur.com/a/zMl0ekj</v>
      </c>
      <c r="C187" s="23" t="str">
        <f>IFERROR(__xludf.DUMMYFUNCTION("""COMPUTED_VALUE"""),"https://imgur.com/a/zMl0ekj")</f>
        <v>https://imgur.com/a/zMl0ekj</v>
      </c>
      <c r="D187" s="11" t="str">
        <f>IFERROR(__xludf.DUMMYFUNCTION("""COMPUTED_VALUE"""),"-")</f>
        <v>-</v>
      </c>
    </row>
    <row r="188">
      <c r="A188" s="21" t="str">
        <f>IFERROR(__xludf.DUMMYFUNCTION("""COMPUTED_VALUE"""),"Hoppip")</f>
        <v>Hoppip</v>
      </c>
      <c r="B188" s="22" t="str">
        <f>IFERROR(__xludf.DUMMYFUNCTION("""COMPUTED_VALUE"""),"-")</f>
        <v>-</v>
      </c>
      <c r="C188" s="23" t="str">
        <f>IFERROR(__xludf.DUMMYFUNCTION("""COMPUTED_VALUE"""),"https://imgur.com/a/xTyMEaj")</f>
        <v>https://imgur.com/a/xTyMEaj</v>
      </c>
      <c r="D188" s="11" t="str">
        <f>IFERROR(__xludf.DUMMYFUNCTION("""COMPUTED_VALUE"""),"-")</f>
        <v>-</v>
      </c>
    </row>
    <row r="189">
      <c r="A189" s="21" t="str">
        <f>IFERROR(__xludf.DUMMYFUNCTION("""COMPUTED_VALUE"""),"Skiploom")</f>
        <v>Skiploom</v>
      </c>
      <c r="B189" s="22" t="str">
        <f>IFERROR(__xludf.DUMMYFUNCTION("""COMPUTED_VALUE"""),"-")</f>
        <v>-</v>
      </c>
      <c r="C189" s="23" t="str">
        <f>IFERROR(__xludf.DUMMYFUNCTION("""COMPUTED_VALUE"""),"https://imgur.com/a/ourpstD")</f>
        <v>https://imgur.com/a/ourpstD</v>
      </c>
      <c r="D189" s="11" t="str">
        <f>IFERROR(__xludf.DUMMYFUNCTION("""COMPUTED_VALUE"""),"-")</f>
        <v>-</v>
      </c>
    </row>
    <row r="190">
      <c r="A190" s="21" t="str">
        <f>IFERROR(__xludf.DUMMYFUNCTION("""COMPUTED_VALUE"""),"Jumpluff")</f>
        <v>Jumpluff</v>
      </c>
      <c r="B190" s="22" t="str">
        <f>IFERROR(__xludf.DUMMYFUNCTION("""COMPUTED_VALUE"""),"-")</f>
        <v>-</v>
      </c>
      <c r="C190" s="23" t="str">
        <f>IFERROR(__xludf.DUMMYFUNCTION("""COMPUTED_VALUE"""),"https://imgur.com/a/zyv2Y81")</f>
        <v>https://imgur.com/a/zyv2Y81</v>
      </c>
      <c r="D190" s="11" t="str">
        <f>IFERROR(__xludf.DUMMYFUNCTION("""COMPUTED_VALUE"""),"-")</f>
        <v>-</v>
      </c>
    </row>
    <row r="191">
      <c r="A191" s="21" t="str">
        <f>IFERROR(__xludf.DUMMYFUNCTION("""COMPUTED_VALUE"""),"Aipom")</f>
        <v>Aipom</v>
      </c>
      <c r="B191" s="22" t="str">
        <f>IFERROR(__xludf.DUMMYFUNCTION("""COMPUTED_VALUE"""),"-")</f>
        <v>-</v>
      </c>
      <c r="C191" s="35" t="str">
        <f>IFERROR(__xludf.DUMMYFUNCTION("""COMPUTED_VALUE"""),"Direita de Mahogany")</f>
        <v>Direita de Mahogany</v>
      </c>
      <c r="D191" s="11" t="str">
        <f>IFERROR(__xludf.DUMMYFUNCTION("""COMPUTED_VALUE"""),"-")</f>
        <v>-</v>
      </c>
    </row>
    <row r="192">
      <c r="A192" s="21" t="str">
        <f>IFERROR(__xludf.DUMMYFUNCTION("""COMPUTED_VALUE"""),"Sunkern")</f>
        <v>Sunkern</v>
      </c>
      <c r="B192" s="22" t="str">
        <f>IFERROR(__xludf.DUMMYFUNCTION("""COMPUTED_VALUE"""),"-")</f>
        <v>-</v>
      </c>
      <c r="C192" s="35" t="str">
        <f>IFERROR(__xludf.DUMMYFUNCTION("""COMPUTED_VALUE"""),"Nordeste de Olivine")</f>
        <v>Nordeste de Olivine</v>
      </c>
      <c r="D192" s="11" t="str">
        <f>IFERROR(__xludf.DUMMYFUNCTION("""COMPUTED_VALUE"""),"-")</f>
        <v>-</v>
      </c>
    </row>
    <row r="193">
      <c r="A193" s="21" t="str">
        <f>IFERROR(__xludf.DUMMYFUNCTION("""COMPUTED_VALUE"""),"Sunflora")</f>
        <v>Sunflora</v>
      </c>
      <c r="B193" s="22" t="str">
        <f>IFERROR(__xludf.DUMMYFUNCTION("""COMPUTED_VALUE"""),"-")</f>
        <v>-</v>
      </c>
      <c r="C193" s="23" t="str">
        <f>IFERROR(__xludf.DUMMYFUNCTION("""COMPUTED_VALUE"""),"https://imgur.com/a/EpRy5tT")</f>
        <v>https://imgur.com/a/EpRy5tT</v>
      </c>
      <c r="D193" s="11" t="str">
        <f>IFERROR(__xludf.DUMMYFUNCTION("""COMPUTED_VALUE"""),"-")</f>
        <v>-</v>
      </c>
    </row>
    <row r="194">
      <c r="A194" s="21" t="str">
        <f>IFERROR(__xludf.DUMMYFUNCTION("""COMPUTED_VALUE"""),"Yanma")</f>
        <v>Yanma</v>
      </c>
      <c r="B194" s="22" t="str">
        <f>IFERROR(__xludf.DUMMYFUNCTION("""COMPUTED_VALUE"""),"-")</f>
        <v>-</v>
      </c>
      <c r="C194" s="23" t="str">
        <f>IFERROR(__xludf.DUMMYFUNCTION("""COMPUTED_VALUE"""),"https://imgur.com/a/0GZB0Pc")</f>
        <v>https://imgur.com/a/0GZB0Pc</v>
      </c>
      <c r="D194" s="11" t="str">
        <f>IFERROR(__xludf.DUMMYFUNCTION("""COMPUTED_VALUE"""),"-")</f>
        <v>-</v>
      </c>
    </row>
    <row r="195">
      <c r="A195" s="21" t="str">
        <f>IFERROR(__xludf.DUMMYFUNCTION("""COMPUTED_VALUE"""),"Wooper")</f>
        <v>Wooper</v>
      </c>
      <c r="B195" s="22" t="str">
        <f>IFERROR(__xludf.DUMMYFUNCTION("""COMPUTED_VALUE"""),"-")</f>
        <v>-</v>
      </c>
      <c r="C195" s="23" t="str">
        <f>IFERROR(__xludf.DUMMYFUNCTION("""COMPUTED_VALUE"""),"https://imgur.com/a/zU19ndv")</f>
        <v>https://imgur.com/a/zU19ndv</v>
      </c>
      <c r="D195" s="11" t="str">
        <f>IFERROR(__xludf.DUMMYFUNCTION("""COMPUTED_VALUE"""),"-")</f>
        <v>-</v>
      </c>
    </row>
    <row r="196">
      <c r="A196" s="21" t="str">
        <f>IFERROR(__xludf.DUMMYFUNCTION("""COMPUTED_VALUE"""),"Quagsire")</f>
        <v>Quagsire</v>
      </c>
      <c r="B196" s="23" t="str">
        <f>IFERROR(__xludf.DUMMYFUNCTION("""COMPUTED_VALUE"""),"https://imgur.com/a/mXj9hj8")</f>
        <v>https://imgur.com/a/mXj9hj8</v>
      </c>
      <c r="C196" s="23" t="str">
        <f>IFERROR(__xludf.DUMMYFUNCTION("""COMPUTED_VALUE"""),"https://imgur.com/a/RYNQ8l0")</f>
        <v>https://imgur.com/a/RYNQ8l0</v>
      </c>
      <c r="D196" s="11" t="str">
        <f>IFERROR(__xludf.DUMMYFUNCTION("""COMPUTED_VALUE"""),"-")</f>
        <v>-</v>
      </c>
    </row>
    <row r="197">
      <c r="A197" s="21" t="str">
        <f>IFERROR(__xludf.DUMMYFUNCTION("""COMPUTED_VALUE"""),"Espeon")</f>
        <v>Espeon</v>
      </c>
      <c r="B197" s="15" t="str">
        <f>IFERROR(__xludf.DUMMYFUNCTION("""COMPUTED_VALUE"""),"https://imgur.com/a/CkBSqXN")</f>
        <v>https://imgur.com/a/CkBSqXN</v>
      </c>
      <c r="C197" s="35" t="str">
        <f>IFERROR(__xludf.DUMMYFUNCTION("""COMPUTED_VALUE"""),"-")</f>
        <v>-</v>
      </c>
      <c r="D197" s="11" t="str">
        <f>IFERROR(__xludf.DUMMYFUNCTION("""COMPUTED_VALUE"""),"-")</f>
        <v>-</v>
      </c>
    </row>
    <row r="198">
      <c r="A198" s="21" t="str">
        <f>IFERROR(__xludf.DUMMYFUNCTION("""COMPUTED_VALUE"""),"Umbreon")</f>
        <v>Umbreon</v>
      </c>
      <c r="B198" s="15" t="str">
        <f>IFERROR(__xludf.DUMMYFUNCTION("""COMPUTED_VALUE"""),"https://imgur.com/a/CkBSqXN")</f>
        <v>https://imgur.com/a/CkBSqXN</v>
      </c>
      <c r="C198" s="35" t="str">
        <f>IFERROR(__xludf.DUMMYFUNCTION("""COMPUTED_VALUE"""),"-")</f>
        <v>-</v>
      </c>
      <c r="D198" s="11" t="str">
        <f>IFERROR(__xludf.DUMMYFUNCTION("""COMPUTED_VALUE"""),"-")</f>
        <v>-</v>
      </c>
    </row>
    <row r="199">
      <c r="A199" s="21" t="str">
        <f>IFERROR(__xludf.DUMMYFUNCTION("""COMPUTED_VALUE"""),"Murkrow")</f>
        <v>Murkrow</v>
      </c>
      <c r="B199" s="22" t="str">
        <f>IFERROR(__xludf.DUMMYFUNCTION("""COMPUTED_VALUE"""),"-")</f>
        <v>-</v>
      </c>
      <c r="C199" s="23" t="str">
        <f>IFERROR(__xludf.DUMMYFUNCTION("""COMPUTED_VALUE"""),"https://imgur.com/a/jYvUp9l")</f>
        <v>https://imgur.com/a/jYvUp9l</v>
      </c>
      <c r="D199" s="11" t="str">
        <f>IFERROR(__xludf.DUMMYFUNCTION("""COMPUTED_VALUE"""),"-")</f>
        <v>-</v>
      </c>
    </row>
    <row r="200">
      <c r="A200" s="21" t="str">
        <f>IFERROR(__xludf.DUMMYFUNCTION("""COMPUTED_VALUE"""),"Slowking")</f>
        <v>Slowking</v>
      </c>
      <c r="B200" s="15" t="str">
        <f>IFERROR(__xludf.DUMMYFUNCTION("""COMPUTED_VALUE"""),"https://imgur.com/a/XUZFbv9")</f>
        <v>https://imgur.com/a/XUZFbv9</v>
      </c>
      <c r="C200" s="23" t="str">
        <f>IFERROR(__xludf.DUMMYFUNCTION("""COMPUTED_VALUE"""),"https://imgur.com/a/XUZFbv9")</f>
        <v>https://imgur.com/a/XUZFbv9</v>
      </c>
      <c r="D200" s="11" t="str">
        <f>IFERROR(__xludf.DUMMYFUNCTION("""COMPUTED_VALUE"""),"-")</f>
        <v>-</v>
      </c>
    </row>
    <row r="201">
      <c r="A201" s="21" t="str">
        <f>IFERROR(__xludf.DUMMYFUNCTION("""COMPUTED_VALUE"""),"Misdreavus")</f>
        <v>Misdreavus</v>
      </c>
      <c r="B201" s="15" t="str">
        <f>IFERROR(__xludf.DUMMYFUNCTION("""COMPUTED_VALUE"""),"https://imgur.com/a/xfYPzTw")</f>
        <v>https://imgur.com/a/xfYPzTw</v>
      </c>
      <c r="C201" s="23" t="str">
        <f>IFERROR(__xludf.DUMMYFUNCTION("""COMPUTED_VALUE"""),"https://youtu.be/zipnyzf5caE")</f>
        <v>https://youtu.be/zipnyzf5caE</v>
      </c>
      <c r="D201" s="11" t="str">
        <f>IFERROR(__xludf.DUMMYFUNCTION("""COMPUTED_VALUE"""),"-")</f>
        <v>-</v>
      </c>
    </row>
    <row r="202">
      <c r="A202" s="21" t="str">
        <f>IFERROR(__xludf.DUMMYFUNCTION("""COMPUTED_VALUE"""),"Unown")</f>
        <v>Unown</v>
      </c>
      <c r="B202" s="22" t="str">
        <f>IFERROR(__xludf.DUMMYFUNCTION("""COMPUTED_VALUE"""),"-")</f>
        <v>-</v>
      </c>
      <c r="C202" s="35" t="str">
        <f>IFERROR(__xludf.DUMMYFUNCTION("""COMPUTED_VALUE"""),"-")</f>
        <v>-</v>
      </c>
      <c r="D202" s="11" t="str">
        <f>IFERROR(__xludf.DUMMYFUNCTION("""COMPUTED_VALUE"""),"-")</f>
        <v>-</v>
      </c>
    </row>
    <row r="203">
      <c r="A203" s="21" t="str">
        <f>IFERROR(__xludf.DUMMYFUNCTION("""COMPUTED_VALUE"""),"Wobbuffet")</f>
        <v>Wobbuffet</v>
      </c>
      <c r="B203" s="15" t="str">
        <f>IFERROR(__xludf.DUMMYFUNCTION("""COMPUTED_VALUE"""),"https://imgur.com/a/ZlGOsvk")</f>
        <v>https://imgur.com/a/ZlGOsvk</v>
      </c>
      <c r="C203" s="23" t="str">
        <f>IFERROR(__xludf.DUMMYFUNCTION("""COMPUTED_VALUE"""),"https://imgur.com/a/l7MbVV5")</f>
        <v>https://imgur.com/a/l7MbVV5</v>
      </c>
      <c r="D203" s="11" t="str">
        <f>IFERROR(__xludf.DUMMYFUNCTION("""COMPUTED_VALUE"""),"-")</f>
        <v>-</v>
      </c>
    </row>
    <row r="204">
      <c r="A204" s="21" t="str">
        <f>IFERROR(__xludf.DUMMYFUNCTION("""COMPUTED_VALUE"""),"Girafarig")</f>
        <v>Girafarig</v>
      </c>
      <c r="B204" s="23" t="str">
        <f>IFERROR(__xludf.DUMMYFUNCTION("""COMPUTED_VALUE"""),"https://imgur.com/a/6m4rkdL")</f>
        <v>https://imgur.com/a/6m4rkdL</v>
      </c>
      <c r="C204" s="23" t="str">
        <f>IFERROR(__xludf.DUMMYFUNCTION("""COMPUTED_VALUE"""),"https://imgur.com/a/ZlGOsvk")</f>
        <v>https://imgur.com/a/ZlGOsvk</v>
      </c>
      <c r="D204" s="11" t="str">
        <f>IFERROR(__xludf.DUMMYFUNCTION("""COMPUTED_VALUE"""),"-")</f>
        <v>-</v>
      </c>
    </row>
    <row r="205">
      <c r="A205" s="21" t="str">
        <f>IFERROR(__xludf.DUMMYFUNCTION("""COMPUTED_VALUE"""),"Pineco")</f>
        <v>Pineco</v>
      </c>
      <c r="B205" s="22" t="str">
        <f>IFERROR(__xludf.DUMMYFUNCTION("""COMPUTED_VALUE"""),"-")</f>
        <v>-</v>
      </c>
      <c r="C205" s="23" t="str">
        <f>IFERROR(__xludf.DUMMYFUNCTION("""COMPUTED_VALUE"""),"https://imgur.com/a/AgaCXsX")</f>
        <v>https://imgur.com/a/AgaCXsX</v>
      </c>
      <c r="D205" s="11" t="str">
        <f>IFERROR(__xludf.DUMMYFUNCTION("""COMPUTED_VALUE"""),"-")</f>
        <v>-</v>
      </c>
    </row>
    <row r="206">
      <c r="A206" s="21" t="str">
        <f>IFERROR(__xludf.DUMMYFUNCTION("""COMPUTED_VALUE"""),"Forretress")</f>
        <v>Forretress</v>
      </c>
      <c r="B206" s="22" t="str">
        <f>IFERROR(__xludf.DUMMYFUNCTION("""COMPUTED_VALUE"""),"-")</f>
        <v>-</v>
      </c>
      <c r="C206" s="23" t="str">
        <f>IFERROR(__xludf.DUMMYFUNCTION("""COMPUTED_VALUE"""),"https://imgur.com/a/X4CH3uc")</f>
        <v>https://imgur.com/a/X4CH3uc</v>
      </c>
      <c r="D206" s="11" t="str">
        <f>IFERROR(__xludf.DUMMYFUNCTION("""COMPUTED_VALUE"""),"-")</f>
        <v>-</v>
      </c>
    </row>
    <row r="207">
      <c r="A207" s="21" t="str">
        <f>IFERROR(__xludf.DUMMYFUNCTION("""COMPUTED_VALUE"""),"Dunsparce")</f>
        <v>Dunsparce</v>
      </c>
      <c r="B207" s="22" t="str">
        <f>IFERROR(__xludf.DUMMYFUNCTION("""COMPUTED_VALUE"""),"-")</f>
        <v>-</v>
      </c>
      <c r="C207" s="35" t="str">
        <f>IFERROR(__xludf.DUMMYFUNCTION("""COMPUTED_VALUE"""),"Direita de Mahogany")</f>
        <v>Direita de Mahogany</v>
      </c>
      <c r="D207" s="11" t="str">
        <f>IFERROR(__xludf.DUMMYFUNCTION("""COMPUTED_VALUE"""),"-")</f>
        <v>-</v>
      </c>
    </row>
    <row r="208">
      <c r="A208" s="21" t="str">
        <f>IFERROR(__xludf.DUMMYFUNCTION("""COMPUTED_VALUE"""),"Gligar")</f>
        <v>Gligar</v>
      </c>
      <c r="B208" s="22" t="str">
        <f>IFERROR(__xludf.DUMMYFUNCTION("""COMPUTED_VALUE"""),"-")</f>
        <v>-</v>
      </c>
      <c r="C208" s="23" t="str">
        <f>IFERROR(__xludf.DUMMYFUNCTION("""COMPUTED_VALUE"""),"https://imgur.com/a/wljXV9h")</f>
        <v>https://imgur.com/a/wljXV9h</v>
      </c>
      <c r="D208" s="11" t="str">
        <f>IFERROR(__xludf.DUMMYFUNCTION("""COMPUTED_VALUE"""),"-")</f>
        <v>-</v>
      </c>
    </row>
    <row r="209">
      <c r="A209" s="21" t="str">
        <f>IFERROR(__xludf.DUMMYFUNCTION("""COMPUTED_VALUE"""),"Steelix")</f>
        <v>Steelix</v>
      </c>
      <c r="B209" s="15" t="str">
        <f>IFERROR(__xludf.DUMMYFUNCTION("""COMPUTED_VALUE"""),"https://imgur.com/a/GWp5vC7")</f>
        <v>https://imgur.com/a/GWp5vC7</v>
      </c>
      <c r="C209" s="23" t="str">
        <f>IFERROR(__xludf.DUMMYFUNCTION("""COMPUTED_VALUE"""),"https://imgur.com/a/HDUZnBJ")</f>
        <v>https://imgur.com/a/HDUZnBJ</v>
      </c>
      <c r="D209" s="11" t="str">
        <f>IFERROR(__xludf.DUMMYFUNCTION("""COMPUTED_VALUE"""),"-")</f>
        <v>-</v>
      </c>
    </row>
    <row r="210">
      <c r="A210" s="21" t="str">
        <f>IFERROR(__xludf.DUMMYFUNCTION("""COMPUTED_VALUE"""),"Snubbull")</f>
        <v>Snubbull</v>
      </c>
      <c r="B210" s="22" t="str">
        <f>IFERROR(__xludf.DUMMYFUNCTION("""COMPUTED_VALUE"""),"-")</f>
        <v>-</v>
      </c>
      <c r="C210" s="23" t="str">
        <f>IFERROR(__xludf.DUMMYFUNCTION("""COMPUTED_VALUE"""),"https://imgur.com/a/i2zVgop")</f>
        <v>https://imgur.com/a/i2zVgop</v>
      </c>
      <c r="D210" s="11" t="str">
        <f>IFERROR(__xludf.DUMMYFUNCTION("""COMPUTED_VALUE"""),"-")</f>
        <v>-</v>
      </c>
    </row>
    <row r="211">
      <c r="A211" s="21" t="str">
        <f>IFERROR(__xludf.DUMMYFUNCTION("""COMPUTED_VALUE"""),"Granbull")</f>
        <v>Granbull</v>
      </c>
      <c r="B211" s="23" t="str">
        <f>IFERROR(__xludf.DUMMYFUNCTION("""COMPUTED_VALUE"""),"https://imgur.com/a/ubd3F1A")</f>
        <v>https://imgur.com/a/ubd3F1A</v>
      </c>
      <c r="C211" s="23" t="str">
        <f>IFERROR(__xludf.DUMMYFUNCTION("""COMPUTED_VALUE"""),"https://imgur.com/a/6k6J7No")</f>
        <v>https://imgur.com/a/6k6J7No</v>
      </c>
      <c r="D211" s="11" t="str">
        <f>IFERROR(__xludf.DUMMYFUNCTION("""COMPUTED_VALUE"""),"-")</f>
        <v>-</v>
      </c>
    </row>
    <row r="212">
      <c r="A212" s="21" t="str">
        <f>IFERROR(__xludf.DUMMYFUNCTION("""COMPUTED_VALUE"""),"Qwilfish")</f>
        <v>Qwilfish</v>
      </c>
      <c r="B212" s="48" t="str">
        <f>IFERROR(__xludf.DUMMYFUNCTION("""COMPUTED_VALUE"""),"https://imgur.com/a/TqFuygf")</f>
        <v>https://imgur.com/a/TqFuygf</v>
      </c>
      <c r="C212" s="23" t="str">
        <f>IFERROR(__xludf.DUMMYFUNCTION("""COMPUTED_VALUE"""),"https://imgur.com/a/fmnPze7")</f>
        <v>https://imgur.com/a/fmnPze7</v>
      </c>
      <c r="D212" s="11" t="str">
        <f>IFERROR(__xludf.DUMMYFUNCTION("""COMPUTED_VALUE"""),"-")</f>
        <v>-</v>
      </c>
    </row>
    <row r="213">
      <c r="A213" s="21" t="str">
        <f>IFERROR(__xludf.DUMMYFUNCTION("""COMPUTED_VALUE"""),"Scizor")</f>
        <v>Scizor</v>
      </c>
      <c r="B213" s="15" t="str">
        <f>IFERROR(__xludf.DUMMYFUNCTION("""COMPUTED_VALUE"""),"https://imgur.com/a/TXJL5sM")</f>
        <v>https://imgur.com/a/TXJL5sM</v>
      </c>
      <c r="C213" s="35" t="str">
        <f>IFERROR(__xludf.DUMMYFUNCTION("""COMPUTED_VALUE"""),"-")</f>
        <v>-</v>
      </c>
      <c r="D213" s="15" t="str">
        <f>IFERROR(__xludf.DUMMYFUNCTION("""COMPUTED_VALUE"""),"https://imgur.com/a/wFcUcVR")</f>
        <v>https://imgur.com/a/wFcUcVR</v>
      </c>
    </row>
    <row r="214">
      <c r="A214" s="21" t="str">
        <f>IFERROR(__xludf.DUMMYFUNCTION("""COMPUTED_VALUE"""),"Shuckle")</f>
        <v>Shuckle</v>
      </c>
      <c r="B214" s="22" t="str">
        <f>IFERROR(__xludf.DUMMYFUNCTION("""COMPUTED_VALUE"""),"-")</f>
        <v>-</v>
      </c>
      <c r="C214" s="23" t="str">
        <f>IFERROR(__xludf.DUMMYFUNCTION("""COMPUTED_VALUE"""),"https://imgur.com/a/jom11IM")</f>
        <v>https://imgur.com/a/jom11IM</v>
      </c>
      <c r="D214" s="11" t="str">
        <f>IFERROR(__xludf.DUMMYFUNCTION("""COMPUTED_VALUE"""),"-")</f>
        <v>-</v>
      </c>
    </row>
    <row r="215">
      <c r="A215" s="21" t="str">
        <f>IFERROR(__xludf.DUMMYFUNCTION("""COMPUTED_VALUE"""),"Heracross")</f>
        <v>Heracross</v>
      </c>
      <c r="B215" s="23" t="str">
        <f>IFERROR(__xludf.DUMMYFUNCTION("""COMPUTED_VALUE"""),"https://imgur.com/a/Cpi5yCV")</f>
        <v>https://imgur.com/a/Cpi5yCV</v>
      </c>
      <c r="C215" s="23" t="str">
        <f>IFERROR(__xludf.DUMMYFUNCTION("""COMPUTED_VALUE"""),"https://imgur.com/a/zRWr3Ry")</f>
        <v>https://imgur.com/a/zRWr3Ry</v>
      </c>
      <c r="D215" s="11" t="str">
        <f>IFERROR(__xludf.DUMMYFUNCTION("""COMPUTED_VALUE"""),"-")</f>
        <v>-</v>
      </c>
    </row>
    <row r="216">
      <c r="A216" s="21" t="str">
        <f>IFERROR(__xludf.DUMMYFUNCTION("""COMPUTED_VALUE"""),"Sneasel")</f>
        <v>Sneasel</v>
      </c>
      <c r="B216" s="22" t="str">
        <f>IFERROR(__xludf.DUMMYFUNCTION("""COMPUTED_VALUE"""),"-")</f>
        <v>-</v>
      </c>
      <c r="C216" s="35" t="str">
        <f>IFERROR(__xludf.DUMMYFUNCTION("""COMPUTED_VALUE"""),"Andando Norte do CP de Blackthorn")</f>
        <v>Andando Norte do CP de Blackthorn</v>
      </c>
      <c r="D216" s="11" t="str">
        <f>IFERROR(__xludf.DUMMYFUNCTION("""COMPUTED_VALUE"""),"-")</f>
        <v>-</v>
      </c>
    </row>
    <row r="217">
      <c r="A217" s="21" t="str">
        <f>IFERROR(__xludf.DUMMYFUNCTION("""COMPUTED_VALUE"""),"Teddiursa")</f>
        <v>Teddiursa</v>
      </c>
      <c r="B217" s="22" t="str">
        <f>IFERROR(__xludf.DUMMYFUNCTION("""COMPUTED_VALUE"""),"-")</f>
        <v>-</v>
      </c>
      <c r="C217" s="23" t="str">
        <f>IFERROR(__xludf.DUMMYFUNCTION("""COMPUTED_VALUE"""),"https://imgur.com/a/K1wNTv6")</f>
        <v>https://imgur.com/a/K1wNTv6</v>
      </c>
      <c r="D217" s="11" t="str">
        <f>IFERROR(__xludf.DUMMYFUNCTION("""COMPUTED_VALUE"""),"-")</f>
        <v>-</v>
      </c>
    </row>
    <row r="218">
      <c r="A218" s="21" t="str">
        <f>IFERROR(__xludf.DUMMYFUNCTION("""COMPUTED_VALUE"""),"Ursaring")</f>
        <v>Ursaring</v>
      </c>
      <c r="B218" s="15" t="str">
        <f>IFERROR(__xludf.DUMMYFUNCTION("""COMPUTED_VALUE"""),"https://imgur.com/a/nBXkwSw")</f>
        <v>https://imgur.com/a/nBXkwSw</v>
      </c>
      <c r="C218" s="23" t="str">
        <f>IFERROR(__xludf.DUMMYFUNCTION("""COMPUTED_VALUE"""),"https://imgur.com/a/K1wNTv6")</f>
        <v>https://imgur.com/a/K1wNTv6</v>
      </c>
      <c r="D218" s="11" t="str">
        <f>IFERROR(__xludf.DUMMYFUNCTION("""COMPUTED_VALUE"""),"-")</f>
        <v>-</v>
      </c>
    </row>
    <row r="219">
      <c r="A219" s="21" t="str">
        <f>IFERROR(__xludf.DUMMYFUNCTION("""COMPUTED_VALUE"""),"Slugma")</f>
        <v>Slugma</v>
      </c>
      <c r="B219" s="22" t="str">
        <f>IFERROR(__xludf.DUMMYFUNCTION("""COMPUTED_VALUE"""),"-")</f>
        <v>-</v>
      </c>
      <c r="C219" s="23" t="str">
        <f>IFERROR(__xludf.DUMMYFUNCTION("""COMPUTED_VALUE"""),"https://imgur.com/a/PjJgh5m")</f>
        <v>https://imgur.com/a/PjJgh5m</v>
      </c>
      <c r="D219" s="11" t="str">
        <f>IFERROR(__xludf.DUMMYFUNCTION("""COMPUTED_VALUE"""),"-")</f>
        <v>-</v>
      </c>
    </row>
    <row r="220">
      <c r="A220" s="21" t="str">
        <f>IFERROR(__xludf.DUMMYFUNCTION("""COMPUTED_VALUE"""),"Magcargo")</f>
        <v>Magcargo</v>
      </c>
      <c r="B220" s="15" t="str">
        <f>IFERROR(__xludf.DUMMYFUNCTION("""COMPUTED_VALUE"""),"https://imgur.com/a/PjJgh5m")</f>
        <v>https://imgur.com/a/PjJgh5m</v>
      </c>
      <c r="C220" s="23" t="str">
        <f>IFERROR(__xludf.DUMMYFUNCTION("""COMPUTED_VALUE"""),"https://imgur.com/a/FSCg92Z")</f>
        <v>https://imgur.com/a/FSCg92Z</v>
      </c>
      <c r="D220" s="11" t="str">
        <f>IFERROR(__xludf.DUMMYFUNCTION("""COMPUTED_VALUE"""),"-")</f>
        <v>-</v>
      </c>
    </row>
    <row r="221">
      <c r="A221" s="21" t="str">
        <f>IFERROR(__xludf.DUMMYFUNCTION("""COMPUTED_VALUE"""),"Swinub")</f>
        <v>Swinub</v>
      </c>
      <c r="B221" s="22" t="str">
        <f>IFERROR(__xludf.DUMMYFUNCTION("""COMPUTED_VALUE"""),"-")</f>
        <v>-</v>
      </c>
      <c r="C221" s="35" t="str">
        <f>IFERROR(__xludf.DUMMYFUNCTION("""COMPUTED_VALUE"""),"Andando Norte do CP de Blackthorn")</f>
        <v>Andando Norte do CP de Blackthorn</v>
      </c>
      <c r="D221" s="11" t="str">
        <f>IFERROR(__xludf.DUMMYFUNCTION("""COMPUTED_VALUE"""),"-")</f>
        <v>-</v>
      </c>
    </row>
    <row r="222">
      <c r="A222" s="21" t="str">
        <f>IFERROR(__xludf.DUMMYFUNCTION("""COMPUTED_VALUE"""),"Piloswine")</f>
        <v>Piloswine</v>
      </c>
      <c r="B222" s="23" t="str">
        <f>IFERROR(__xludf.DUMMYFUNCTION("""COMPUTED_VALUE"""),"https://imgur.com/a/f5KRTsE")</f>
        <v>https://imgur.com/a/f5KRTsE</v>
      </c>
      <c r="C222" s="23" t="str">
        <f>IFERROR(__xludf.DUMMYFUNCTION("""COMPUTED_VALUE"""),"https://imgur.com/a/VfulNAF")</f>
        <v>https://imgur.com/a/VfulNAF</v>
      </c>
      <c r="D222" s="11" t="str">
        <f>IFERROR(__xludf.DUMMYFUNCTION("""COMPUTED_VALUE"""),"-")</f>
        <v>-</v>
      </c>
    </row>
    <row r="223">
      <c r="A223" s="21" t="str">
        <f>IFERROR(__xludf.DUMMYFUNCTION("""COMPUTED_VALUE"""),"Corsola")</f>
        <v>Corsola</v>
      </c>
      <c r="B223" s="22" t="str">
        <f>IFERROR(__xludf.DUMMYFUNCTION("""COMPUTED_VALUE"""),"-")</f>
        <v>-</v>
      </c>
      <c r="C223" s="23" t="str">
        <f>IFERROR(__xludf.DUMMYFUNCTION("""COMPUTED_VALUE"""),"https://imgur.com/a/SBsknJ7")</f>
        <v>https://imgur.com/a/SBsknJ7</v>
      </c>
      <c r="D223" s="11" t="str">
        <f>IFERROR(__xludf.DUMMYFUNCTION("""COMPUTED_VALUE"""),"-")</f>
        <v>-</v>
      </c>
    </row>
    <row r="224">
      <c r="A224" s="21" t="str">
        <f>IFERROR(__xludf.DUMMYFUNCTION("""COMPUTED_VALUE"""),"Remoraid")</f>
        <v>Remoraid</v>
      </c>
      <c r="B224" s="22" t="str">
        <f>IFERROR(__xludf.DUMMYFUNCTION("""COMPUTED_VALUE"""),"-")</f>
        <v>-</v>
      </c>
      <c r="C224" s="23" t="str">
        <f>IFERROR(__xludf.DUMMYFUNCTION("""COMPUTED_VALUE"""),"https://imgur.com/a/SBsknJ7")</f>
        <v>https://imgur.com/a/SBsknJ7</v>
      </c>
      <c r="D224" s="11" t="str">
        <f>IFERROR(__xludf.DUMMYFUNCTION("""COMPUTED_VALUE"""),"-")</f>
        <v>-</v>
      </c>
    </row>
    <row r="225">
      <c r="A225" s="21" t="str">
        <f>IFERROR(__xludf.DUMMYFUNCTION("""COMPUTED_VALUE"""),"Octillery")</f>
        <v>Octillery</v>
      </c>
      <c r="B225" s="22" t="str">
        <f>IFERROR(__xludf.DUMMYFUNCTION("""COMPUTED_VALUE"""),"-")</f>
        <v>-</v>
      </c>
      <c r="C225" s="23" t="str">
        <f>IFERROR(__xludf.DUMMYFUNCTION("""COMPUTED_VALUE"""),"https://imgur.com/a/SBsknJ7")</f>
        <v>https://imgur.com/a/SBsknJ7</v>
      </c>
      <c r="D225" s="11" t="str">
        <f>IFERROR(__xludf.DUMMYFUNCTION("""COMPUTED_VALUE"""),"-")</f>
        <v>-</v>
      </c>
    </row>
    <row r="226">
      <c r="A226" s="21" t="str">
        <f>IFERROR(__xludf.DUMMYFUNCTION("""COMPUTED_VALUE"""),"Delibird")</f>
        <v>Delibird</v>
      </c>
      <c r="B226" s="22" t="str">
        <f>IFERROR(__xludf.DUMMYFUNCTION("""COMPUTED_VALUE"""),"-")</f>
        <v>-</v>
      </c>
      <c r="C226" s="23" t="str">
        <f>IFERROR(__xludf.DUMMYFUNCTION("""COMPUTED_VALUE"""),"https://imgur.com/a/EDtI5vP")</f>
        <v>https://imgur.com/a/EDtI5vP</v>
      </c>
      <c r="D226" s="11" t="str">
        <f>IFERROR(__xludf.DUMMYFUNCTION("""COMPUTED_VALUE"""),"-")</f>
        <v>-</v>
      </c>
    </row>
    <row r="227">
      <c r="A227" s="21" t="str">
        <f>IFERROR(__xludf.DUMMYFUNCTION("""COMPUTED_VALUE"""),"Mantine")</f>
        <v>Mantine</v>
      </c>
      <c r="B227" s="15" t="str">
        <f>IFERROR(__xludf.DUMMYFUNCTION("""COMPUTED_VALUE"""),"https://imgur.com/a/H98mIzg")</f>
        <v>https://imgur.com/a/H98mIzg</v>
      </c>
      <c r="C227" s="23" t="str">
        <f>IFERROR(__xludf.DUMMYFUNCTION("""COMPUTED_VALUE"""),"https://imgur.com/a/SBsknJ7")</f>
        <v>https://imgur.com/a/SBsknJ7</v>
      </c>
      <c r="D227" s="11" t="str">
        <f>IFERROR(__xludf.DUMMYFUNCTION("""COMPUTED_VALUE"""),"-")</f>
        <v>-</v>
      </c>
    </row>
    <row r="228">
      <c r="A228" s="21" t="str">
        <f>IFERROR(__xludf.DUMMYFUNCTION("""COMPUTED_VALUE"""),"Skarmory")</f>
        <v>Skarmory</v>
      </c>
      <c r="B228" s="15" t="str">
        <f>IFERROR(__xludf.DUMMYFUNCTION("""COMPUTED_VALUE"""),"https://imgur.com/a/otQbKEE")</f>
        <v>https://imgur.com/a/otQbKEE</v>
      </c>
      <c r="C228" s="23" t="str">
        <f>IFERROR(__xludf.DUMMYFUNCTION("""COMPUTED_VALUE"""),"https://imgur.com/a/EBb46PO")</f>
        <v>https://imgur.com/a/EBb46PO</v>
      </c>
      <c r="D228" s="11" t="str">
        <f>IFERROR(__xludf.DUMMYFUNCTION("""COMPUTED_VALUE"""),"-")</f>
        <v>-</v>
      </c>
    </row>
    <row r="229">
      <c r="A229" s="21" t="str">
        <f>IFERROR(__xludf.DUMMYFUNCTION("""COMPUTED_VALUE"""),"Houndour")</f>
        <v>Houndour</v>
      </c>
      <c r="B229" s="22" t="str">
        <f>IFERROR(__xludf.DUMMYFUNCTION("""COMPUTED_VALUE"""),"-")</f>
        <v>-</v>
      </c>
      <c r="C229" s="23" t="str">
        <f>IFERROR(__xludf.DUMMYFUNCTION("""COMPUTED_VALUE"""),"https://imgur.com/a/PjJgh5m")</f>
        <v>https://imgur.com/a/PjJgh5m</v>
      </c>
      <c r="D229" s="11" t="str">
        <f>IFERROR(__xludf.DUMMYFUNCTION("""COMPUTED_VALUE"""),"-")</f>
        <v>-</v>
      </c>
    </row>
    <row r="230">
      <c r="A230" s="21" t="str">
        <f>IFERROR(__xludf.DUMMYFUNCTION("""COMPUTED_VALUE"""),"Houndoom")</f>
        <v>Houndoom</v>
      </c>
      <c r="B230" s="15" t="str">
        <f>IFERROR(__xludf.DUMMYFUNCTION("""COMPUTED_VALUE"""),"https://imgur.com/a/kUQvKbL")</f>
        <v>https://imgur.com/a/kUQvKbL</v>
      </c>
      <c r="C230" s="23" t="str">
        <f>IFERROR(__xludf.DUMMYFUNCTION("""COMPUTED_VALUE"""),"https://imgur.com/a/MjvZQ35")</f>
        <v>https://imgur.com/a/MjvZQ35</v>
      </c>
      <c r="D230" s="11" t="str">
        <f>IFERROR(__xludf.DUMMYFUNCTION("""COMPUTED_VALUE"""),"-")</f>
        <v>-</v>
      </c>
    </row>
    <row r="231">
      <c r="A231" s="21" t="str">
        <f>IFERROR(__xludf.DUMMYFUNCTION("""COMPUTED_VALUE"""),"Kingdra")</f>
        <v>Kingdra</v>
      </c>
      <c r="B231" s="15" t="str">
        <f>IFERROR(__xludf.DUMMYFUNCTION("""COMPUTED_VALUE"""),"https://imgur.com/a/W6HZl3X")</f>
        <v>https://imgur.com/a/W6HZl3X</v>
      </c>
      <c r="C231" s="35" t="str">
        <f>IFERROR(__xludf.DUMMYFUNCTION("""COMPUTED_VALUE"""),"-")</f>
        <v>-</v>
      </c>
      <c r="D231" s="11" t="str">
        <f>IFERROR(__xludf.DUMMYFUNCTION("""COMPUTED_VALUE"""),"-")</f>
        <v>-</v>
      </c>
    </row>
    <row r="232">
      <c r="A232" s="21" t="str">
        <f>IFERROR(__xludf.DUMMYFUNCTION("""COMPUTED_VALUE"""),"Phanpy")</f>
        <v>Phanpy</v>
      </c>
      <c r="B232" s="22" t="str">
        <f>IFERROR(__xludf.DUMMYFUNCTION("""COMPUTED_VALUE"""),"-")</f>
        <v>-</v>
      </c>
      <c r="C232" s="35" t="str">
        <f>IFERROR(__xludf.DUMMYFUNCTION("""COMPUTED_VALUE"""),"Esquerda de Cianwood")</f>
        <v>Esquerda de Cianwood</v>
      </c>
      <c r="D232" s="11" t="str">
        <f>IFERROR(__xludf.DUMMYFUNCTION("""COMPUTED_VALUE"""),"-")</f>
        <v>-</v>
      </c>
    </row>
    <row r="233">
      <c r="A233" s="21" t="str">
        <f>IFERROR(__xludf.DUMMYFUNCTION("""COMPUTED_VALUE"""),"Donphan")</f>
        <v>Donphan</v>
      </c>
      <c r="B233" s="23" t="str">
        <f>IFERROR(__xludf.DUMMYFUNCTION("""COMPUTED_VALUE"""),"https://imgur.com/a/70P2Qxv")</f>
        <v>https://imgur.com/a/70P2Qxv</v>
      </c>
      <c r="C233" s="23" t="str">
        <f>IFERROR(__xludf.DUMMYFUNCTION("""COMPUTED_VALUE"""),"https://imgur.com/a/DKLY2JN")</f>
        <v>https://imgur.com/a/DKLY2JN</v>
      </c>
      <c r="D233" s="11" t="str">
        <f>IFERROR(__xludf.DUMMYFUNCTION("""COMPUTED_VALUE"""),"-")</f>
        <v>-</v>
      </c>
    </row>
    <row r="234">
      <c r="A234" s="21" t="str">
        <f>IFERROR(__xludf.DUMMYFUNCTION("""COMPUTED_VALUE"""),"Porygon2")</f>
        <v>Porygon2</v>
      </c>
      <c r="B234" s="22" t="str">
        <f>IFERROR(__xludf.DUMMYFUNCTION("""COMPUTED_VALUE"""),"-")</f>
        <v>-</v>
      </c>
      <c r="C234" s="35" t="str">
        <f>IFERROR(__xludf.DUMMYFUNCTION("""COMPUTED_VALUE"""),"-")</f>
        <v>-</v>
      </c>
      <c r="D234" s="11" t="str">
        <f>IFERROR(__xludf.DUMMYFUNCTION("""COMPUTED_VALUE"""),"-")</f>
        <v>-</v>
      </c>
    </row>
    <row r="235">
      <c r="A235" s="21" t="str">
        <f>IFERROR(__xludf.DUMMYFUNCTION("""COMPUTED_VALUE"""),"Stantler")</f>
        <v>Stantler</v>
      </c>
      <c r="B235" s="22" t="str">
        <f>IFERROR(__xludf.DUMMYFUNCTION("""COMPUTED_VALUE"""),"-")</f>
        <v>-</v>
      </c>
      <c r="C235" s="35" t="str">
        <f>IFERROR(__xludf.DUMMYFUNCTION("""COMPUTED_VALUE"""),"Norte de Olivine")</f>
        <v>Norte de Olivine</v>
      </c>
      <c r="D235" s="11" t="str">
        <f>IFERROR(__xludf.DUMMYFUNCTION("""COMPUTED_VALUE"""),"-")</f>
        <v>-</v>
      </c>
    </row>
    <row r="236">
      <c r="A236" s="21" t="str">
        <f>IFERROR(__xludf.DUMMYFUNCTION("""COMPUTED_VALUE"""),"Smeargle")</f>
        <v>Smeargle</v>
      </c>
      <c r="B236" s="15" t="str">
        <f>IFERROR(__xludf.DUMMYFUNCTION("""COMPUTED_VALUE"""),"https://imgur.com/a/vlWgMyH")</f>
        <v>https://imgur.com/a/vlWgMyH</v>
      </c>
      <c r="C236" s="35" t="str">
        <f>IFERROR(__xludf.DUMMYFUNCTION("""COMPUTED_VALUE"""),"-")</f>
        <v>-</v>
      </c>
      <c r="D236" s="11" t="str">
        <f>IFERROR(__xludf.DUMMYFUNCTION("""COMPUTED_VALUE"""),"-")</f>
        <v>-</v>
      </c>
    </row>
    <row r="237">
      <c r="A237" s="21" t="str">
        <f>IFERROR(__xludf.DUMMYFUNCTION("""COMPUTED_VALUE"""),"Tyrogue")</f>
        <v>Tyrogue</v>
      </c>
      <c r="B237" s="22" t="str">
        <f>IFERROR(__xludf.DUMMYFUNCTION("""COMPUTED_VALUE"""),"-")</f>
        <v>-</v>
      </c>
      <c r="C237" s="35" t="str">
        <f>IFERROR(__xludf.DUMMYFUNCTION("""COMPUTED_VALUE"""),"Sul de Cherrygrove")</f>
        <v>Sul de Cherrygrove</v>
      </c>
      <c r="D237" s="11" t="str">
        <f>IFERROR(__xludf.DUMMYFUNCTION("""COMPUTED_VALUE"""),"-")</f>
        <v>-</v>
      </c>
    </row>
    <row r="238">
      <c r="A238" s="21" t="str">
        <f>IFERROR(__xludf.DUMMYFUNCTION("""COMPUTED_VALUE"""),"Hitmontop")</f>
        <v>Hitmontop</v>
      </c>
      <c r="B238" s="23" t="str">
        <f>IFERROR(__xludf.DUMMYFUNCTION("""COMPUTED_VALUE"""),"https://imgur.com/a/30cn4iq")</f>
        <v>https://imgur.com/a/30cn4iq</v>
      </c>
      <c r="C238" s="35" t="str">
        <f>IFERROR(__xludf.DUMMYFUNCTION("""COMPUTED_VALUE"""),"Sul de Cherrygrove")</f>
        <v>Sul de Cherrygrove</v>
      </c>
      <c r="D238" s="11" t="str">
        <f>IFERROR(__xludf.DUMMYFUNCTION("""COMPUTED_VALUE"""),"-")</f>
        <v>-</v>
      </c>
    </row>
    <row r="239">
      <c r="A239" s="21" t="str">
        <f>IFERROR(__xludf.DUMMYFUNCTION("""COMPUTED_VALUE"""),"Smoochum")</f>
        <v>Smoochum</v>
      </c>
      <c r="B239" s="22" t="str">
        <f>IFERROR(__xludf.DUMMYFUNCTION("""COMPUTED_VALUE"""),"-")</f>
        <v>-</v>
      </c>
      <c r="C239" s="35" t="str">
        <f>IFERROR(__xludf.DUMMYFUNCTION("""COMPUTED_VALUE"""),"Ilha de gelo sudeste de Kanto")</f>
        <v>Ilha de gelo sudeste de Kanto</v>
      </c>
      <c r="D239" s="11" t="str">
        <f>IFERROR(__xludf.DUMMYFUNCTION("""COMPUTED_VALUE"""),"-")</f>
        <v>-</v>
      </c>
    </row>
    <row r="240">
      <c r="A240" s="21" t="str">
        <f>IFERROR(__xludf.DUMMYFUNCTION("""COMPUTED_VALUE"""),"Elekid")</f>
        <v>Elekid</v>
      </c>
      <c r="B240" s="22" t="str">
        <f>IFERROR(__xludf.DUMMYFUNCTION("""COMPUTED_VALUE"""),"-")</f>
        <v>-</v>
      </c>
      <c r="C240" s="35" t="str">
        <f>IFERROR(__xludf.DUMMYFUNCTION("""COMPUTED_VALUE"""),"Direita de Ecruteak")</f>
        <v>Direita de Ecruteak</v>
      </c>
      <c r="D240" s="11" t="str">
        <f>IFERROR(__xludf.DUMMYFUNCTION("""COMPUTED_VALUE"""),"-")</f>
        <v>-</v>
      </c>
    </row>
    <row r="241">
      <c r="A241" s="21" t="str">
        <f>IFERROR(__xludf.DUMMYFUNCTION("""COMPUTED_VALUE"""),"Magby")</f>
        <v>Magby</v>
      </c>
      <c r="B241" s="22" t="str">
        <f>IFERROR(__xludf.DUMMYFUNCTION("""COMPUTED_VALUE"""),"-")</f>
        <v>-</v>
      </c>
      <c r="C241" s="23" t="str">
        <f>IFERROR(__xludf.DUMMYFUNCTION("""COMPUTED_VALUE"""),"https://imgur.com/a/kShgmOK")</f>
        <v>https://imgur.com/a/kShgmOK</v>
      </c>
      <c r="D241" s="11" t="str">
        <f>IFERROR(__xludf.DUMMYFUNCTION("""COMPUTED_VALUE"""),"-")</f>
        <v>-</v>
      </c>
    </row>
    <row r="242">
      <c r="A242" s="21" t="str">
        <f>IFERROR(__xludf.DUMMYFUNCTION("""COMPUTED_VALUE"""),"Miltank")</f>
        <v>Miltank</v>
      </c>
      <c r="B242" s="23" t="str">
        <f>IFERROR(__xludf.DUMMYFUNCTION("""COMPUTED_VALUE"""),"https://imgur.com/a/doQnA6i")</f>
        <v>https://imgur.com/a/doQnA6i</v>
      </c>
      <c r="C242" s="23" t="str">
        <f>IFERROR(__xludf.DUMMYFUNCTION("""COMPUTED_VALUE"""),"https://imgur.com/a/xxiIVMq")</f>
        <v>https://imgur.com/a/xxiIVMq</v>
      </c>
      <c r="D242" s="11" t="str">
        <f>IFERROR(__xludf.DUMMYFUNCTION("""COMPUTED_VALUE"""),"-")</f>
        <v>-</v>
      </c>
    </row>
    <row r="243">
      <c r="A243" s="21" t="str">
        <f>IFERROR(__xludf.DUMMYFUNCTION("""COMPUTED_VALUE"""),"Blissey")</f>
        <v>Blissey</v>
      </c>
      <c r="B243" s="22" t="str">
        <f>IFERROR(__xludf.DUMMYFUNCTION("""COMPUTED_VALUE"""),"-")</f>
        <v>-</v>
      </c>
      <c r="C243" s="35" t="str">
        <f>IFERROR(__xludf.DUMMYFUNCTION("""COMPUTED_VALUE"""),"-")</f>
        <v>-</v>
      </c>
      <c r="D243" s="11" t="str">
        <f>IFERROR(__xludf.DUMMYFUNCTION("""COMPUTED_VALUE"""),"-")</f>
        <v>-</v>
      </c>
    </row>
    <row r="244">
      <c r="A244" s="21" t="str">
        <f>IFERROR(__xludf.DUMMYFUNCTION("""COMPUTED_VALUE"""),"Raikou")</f>
        <v>Raikou</v>
      </c>
      <c r="B244" s="22" t="str">
        <f>IFERROR(__xludf.DUMMYFUNCTION("""COMPUTED_VALUE"""),"-")</f>
        <v>-</v>
      </c>
      <c r="C244" s="35" t="str">
        <f>IFERROR(__xludf.DUMMYFUNCTION("""COMPUTED_VALUE"""),"-")</f>
        <v>-</v>
      </c>
      <c r="D244" s="11" t="str">
        <f>IFERROR(__xludf.DUMMYFUNCTION("""COMPUTED_VALUE"""),"-")</f>
        <v>-</v>
      </c>
    </row>
    <row r="245">
      <c r="A245" s="21" t="str">
        <f>IFERROR(__xludf.DUMMYFUNCTION("""COMPUTED_VALUE"""),"Entei")</f>
        <v>Entei</v>
      </c>
      <c r="B245" s="22" t="str">
        <f>IFERROR(__xludf.DUMMYFUNCTION("""COMPUTED_VALUE"""),"-")</f>
        <v>-</v>
      </c>
      <c r="C245" s="35" t="str">
        <f>IFERROR(__xludf.DUMMYFUNCTION("""COMPUTED_VALUE"""),"-")</f>
        <v>-</v>
      </c>
      <c r="D245" s="11" t="str">
        <f>IFERROR(__xludf.DUMMYFUNCTION("""COMPUTED_VALUE"""),"-")</f>
        <v>-</v>
      </c>
    </row>
    <row r="246">
      <c r="A246" s="21" t="str">
        <f>IFERROR(__xludf.DUMMYFUNCTION("""COMPUTED_VALUE"""),"Suicune")</f>
        <v>Suicune</v>
      </c>
      <c r="B246" s="22" t="str">
        <f>IFERROR(__xludf.DUMMYFUNCTION("""COMPUTED_VALUE"""),"-")</f>
        <v>-</v>
      </c>
      <c r="C246" s="35" t="str">
        <f>IFERROR(__xludf.DUMMYFUNCTION("""COMPUTED_VALUE"""),"-")</f>
        <v>-</v>
      </c>
      <c r="D246" s="11" t="str">
        <f>IFERROR(__xludf.DUMMYFUNCTION("""COMPUTED_VALUE"""),"-")</f>
        <v>-</v>
      </c>
    </row>
    <row r="247">
      <c r="A247" s="21" t="str">
        <f>IFERROR(__xludf.DUMMYFUNCTION("""COMPUTED_VALUE"""),"Larvitar")</f>
        <v>Larvitar</v>
      </c>
      <c r="B247" s="22" t="str">
        <f>IFERROR(__xludf.DUMMYFUNCTION("""COMPUTED_VALUE"""),"-")</f>
        <v>-</v>
      </c>
      <c r="C247" s="23" t="str">
        <f>IFERROR(__xludf.DUMMYFUNCTION("""COMPUTED_VALUE"""),"https://imgur.com/a/SJntAUa")</f>
        <v>https://imgur.com/a/SJntAUa</v>
      </c>
      <c r="D247" s="11" t="str">
        <f>IFERROR(__xludf.DUMMYFUNCTION("""COMPUTED_VALUE"""),"-")</f>
        <v>-</v>
      </c>
    </row>
    <row r="248">
      <c r="A248" s="21" t="str">
        <f>IFERROR(__xludf.DUMMYFUNCTION("""COMPUTED_VALUE"""),"Pupitar")</f>
        <v>Pupitar</v>
      </c>
      <c r="B248" s="15" t="str">
        <f>IFERROR(__xludf.DUMMYFUNCTION("""COMPUTED_VALUE"""),"https://imgur.com/a/SJntAUa")</f>
        <v>https://imgur.com/a/SJntAUa</v>
      </c>
      <c r="C248" s="23" t="str">
        <f>IFERROR(__xludf.DUMMYFUNCTION("""COMPUTED_VALUE"""),"https://imgur.com/a/SJntAUa")</f>
        <v>https://imgur.com/a/SJntAUa</v>
      </c>
      <c r="D248" s="11" t="str">
        <f>IFERROR(__xludf.DUMMYFUNCTION("""COMPUTED_VALUE"""),"-")</f>
        <v>-</v>
      </c>
    </row>
    <row r="249">
      <c r="A249" s="21" t="str">
        <f>IFERROR(__xludf.DUMMYFUNCTION("""COMPUTED_VALUE"""),"Tyranitar")</f>
        <v>Tyranitar</v>
      </c>
      <c r="B249" s="15" t="str">
        <f>IFERROR(__xludf.DUMMYFUNCTION("""COMPUTED_VALUE"""),"https://imgur.com/a/oEyaCY3")</f>
        <v>https://imgur.com/a/oEyaCY3</v>
      </c>
      <c r="C249" s="35" t="str">
        <f>IFERROR(__xludf.DUMMYFUNCTION("""COMPUTED_VALUE"""),"-")</f>
        <v>-</v>
      </c>
      <c r="D249" s="15" t="str">
        <f>IFERROR(__xludf.DUMMYFUNCTION("""COMPUTED_VALUE"""),"https://imgur.com/a/wFcUcVR")</f>
        <v>https://imgur.com/a/wFcUcVR</v>
      </c>
    </row>
    <row r="250">
      <c r="A250" s="21" t="str">
        <f>IFERROR(__xludf.DUMMYFUNCTION("""COMPUTED_VALUE"""),"Lugia")</f>
        <v>Lugia</v>
      </c>
      <c r="B250" s="22" t="str">
        <f>IFERROR(__xludf.DUMMYFUNCTION("""COMPUTED_VALUE"""),"-")</f>
        <v>-</v>
      </c>
      <c r="C250" s="35" t="str">
        <f>IFERROR(__xludf.DUMMYFUNCTION("""COMPUTED_VALUE"""),"-")</f>
        <v>-</v>
      </c>
      <c r="D250" s="11" t="str">
        <f>IFERROR(__xludf.DUMMYFUNCTION("""COMPUTED_VALUE"""),"-")</f>
        <v>-</v>
      </c>
    </row>
    <row r="251">
      <c r="A251" s="21" t="str">
        <f>IFERROR(__xludf.DUMMYFUNCTION("""COMPUTED_VALUE"""),"Ho-oh")</f>
        <v>Ho-oh</v>
      </c>
      <c r="B251" s="22" t="str">
        <f>IFERROR(__xludf.DUMMYFUNCTION("""COMPUTED_VALUE"""),"-")</f>
        <v>-</v>
      </c>
      <c r="C251" s="35" t="str">
        <f>IFERROR(__xludf.DUMMYFUNCTION("""COMPUTED_VALUE"""),"-")</f>
        <v>-</v>
      </c>
      <c r="D251" s="11" t="str">
        <f>IFERROR(__xludf.DUMMYFUNCTION("""COMPUTED_VALUE"""),"-")</f>
        <v>-</v>
      </c>
    </row>
    <row r="252">
      <c r="A252" s="21" t="str">
        <f>IFERROR(__xludf.DUMMYFUNCTION("""COMPUTED_VALUE"""),"Celebi")</f>
        <v>Celebi</v>
      </c>
      <c r="B252" s="22" t="str">
        <f>IFERROR(__xludf.DUMMYFUNCTION("""COMPUTED_VALUE"""),"-")</f>
        <v>-</v>
      </c>
      <c r="C252" s="35" t="str">
        <f>IFERROR(__xludf.DUMMYFUNCTION("""COMPUTED_VALUE"""),"-")</f>
        <v>-</v>
      </c>
      <c r="D252" s="11" t="str">
        <f>IFERROR(__xludf.DUMMYFUNCTION("""COMPUTED_VALUE"""),"-")</f>
        <v>-</v>
      </c>
    </row>
    <row r="253">
      <c r="A253" s="21" t="str">
        <f>IFERROR(__xludf.DUMMYFUNCTION("""COMPUTED_VALUE"""),"Treecko")</f>
        <v>Treecko</v>
      </c>
      <c r="B253" s="22" t="str">
        <f>IFERROR(__xludf.DUMMYFUNCTION("""COMPUTED_VALUE"""),"-")</f>
        <v>-</v>
      </c>
      <c r="C253" s="11" t="str">
        <f>IFERROR(__xludf.DUMMYFUNCTION("""COMPUTED_VALUE"""),"-")</f>
        <v>-</v>
      </c>
      <c r="D253" s="15" t="str">
        <f>IFERROR(__xludf.DUMMYFUNCTION("""COMPUTED_VALUE"""),"https://imgur.com/a/QwRNjsJ")</f>
        <v>https://imgur.com/a/QwRNjsJ</v>
      </c>
    </row>
    <row r="254">
      <c r="A254" s="21" t="str">
        <f>IFERROR(__xludf.DUMMYFUNCTION("""COMPUTED_VALUE"""),"Grovyle")</f>
        <v>Grovyle</v>
      </c>
      <c r="B254" s="22" t="str">
        <f>IFERROR(__xludf.DUMMYFUNCTION("""COMPUTED_VALUE"""),"-")</f>
        <v>-</v>
      </c>
      <c r="C254" s="11" t="str">
        <f>IFERROR(__xludf.DUMMYFUNCTION("""COMPUTED_VALUE"""),"-")</f>
        <v>-</v>
      </c>
      <c r="D254" s="15" t="str">
        <f>IFERROR(__xludf.DUMMYFUNCTION("""COMPUTED_VALUE"""),"https://imgur.com/a/plu4yw9")</f>
        <v>https://imgur.com/a/plu4yw9</v>
      </c>
    </row>
    <row r="255">
      <c r="A255" s="21" t="str">
        <f>IFERROR(__xludf.DUMMYFUNCTION("""COMPUTED_VALUE"""),"Sceptile")</f>
        <v>Sceptile</v>
      </c>
      <c r="B255" s="22" t="str">
        <f>IFERROR(__xludf.DUMMYFUNCTION("""COMPUTED_VALUE"""),"-")</f>
        <v>-</v>
      </c>
      <c r="C255" s="11" t="str">
        <f>IFERROR(__xludf.DUMMYFUNCTION("""COMPUTED_VALUE"""),"-")</f>
        <v>-</v>
      </c>
      <c r="D255" s="15" t="str">
        <f>IFERROR(__xludf.DUMMYFUNCTION("""COMPUTED_VALUE"""),"https://imgur.com/a/0NfZ1UB")</f>
        <v>https://imgur.com/a/0NfZ1UB</v>
      </c>
    </row>
    <row r="256">
      <c r="A256" s="21" t="str">
        <f>IFERROR(__xludf.DUMMYFUNCTION("""COMPUTED_VALUE"""),"Torchic")</f>
        <v>Torchic</v>
      </c>
      <c r="B256" s="22" t="str">
        <f>IFERROR(__xludf.DUMMYFUNCTION("""COMPUTED_VALUE"""),"-")</f>
        <v>-</v>
      </c>
      <c r="C256" s="11" t="str">
        <f>IFERROR(__xludf.DUMMYFUNCTION("""COMPUTED_VALUE"""),"-")</f>
        <v>-</v>
      </c>
      <c r="D256" s="15" t="str">
        <f>IFERROR(__xludf.DUMMYFUNCTION("""COMPUTED_VALUE"""),"https://imgur.com/a/H8eBhUD")</f>
        <v>https://imgur.com/a/H8eBhUD</v>
      </c>
    </row>
    <row r="257">
      <c r="A257" s="21" t="str">
        <f>IFERROR(__xludf.DUMMYFUNCTION("""COMPUTED_VALUE"""),"Combusken")</f>
        <v>Combusken</v>
      </c>
      <c r="B257" s="22" t="str">
        <f>IFERROR(__xludf.DUMMYFUNCTION("""COMPUTED_VALUE"""),"-")</f>
        <v>-</v>
      </c>
      <c r="C257" s="11" t="str">
        <f>IFERROR(__xludf.DUMMYFUNCTION("""COMPUTED_VALUE"""),"-")</f>
        <v>-</v>
      </c>
      <c r="D257" s="15" t="str">
        <f>IFERROR(__xludf.DUMMYFUNCTION("""COMPUTED_VALUE"""),"https://imgur.com/a/WaCvBxT")</f>
        <v>https://imgur.com/a/WaCvBxT</v>
      </c>
    </row>
    <row r="258">
      <c r="A258" s="21" t="str">
        <f>IFERROR(__xludf.DUMMYFUNCTION("""COMPUTED_VALUE"""),"Blaziken")</f>
        <v>Blaziken</v>
      </c>
      <c r="B258" s="22" t="str">
        <f>IFERROR(__xludf.DUMMYFUNCTION("""COMPUTED_VALUE"""),"-")</f>
        <v>-</v>
      </c>
      <c r="C258" s="11" t="str">
        <f>IFERROR(__xludf.DUMMYFUNCTION("""COMPUTED_VALUE"""),"-")</f>
        <v>-</v>
      </c>
      <c r="D258" s="15" t="str">
        <f>IFERROR(__xludf.DUMMYFUNCTION("""COMPUTED_VALUE"""),"https://imgur.com/a/Z1blUfu")</f>
        <v>https://imgur.com/a/Z1blUfu</v>
      </c>
    </row>
    <row r="259">
      <c r="A259" s="21" t="str">
        <f>IFERROR(__xludf.DUMMYFUNCTION("""COMPUTED_VALUE"""),"Mudkip")</f>
        <v>Mudkip</v>
      </c>
      <c r="B259" s="22" t="str">
        <f>IFERROR(__xludf.DUMMYFUNCTION("""COMPUTED_VALUE"""),"-")</f>
        <v>-</v>
      </c>
      <c r="C259" s="11" t="str">
        <f>IFERROR(__xludf.DUMMYFUNCTION("""COMPUTED_VALUE"""),"-")</f>
        <v>-</v>
      </c>
      <c r="D259" s="15" t="str">
        <f>IFERROR(__xludf.DUMMYFUNCTION("""COMPUTED_VALUE"""),"https://imgur.com/a/sZjLUro")</f>
        <v>https://imgur.com/a/sZjLUro</v>
      </c>
    </row>
    <row r="260">
      <c r="A260" s="21" t="str">
        <f>IFERROR(__xludf.DUMMYFUNCTION("""COMPUTED_VALUE"""),"Marshtomp")</f>
        <v>Marshtomp</v>
      </c>
      <c r="B260" s="22" t="str">
        <f>IFERROR(__xludf.DUMMYFUNCTION("""COMPUTED_VALUE"""),"-")</f>
        <v>-</v>
      </c>
      <c r="C260" s="11" t="str">
        <f>IFERROR(__xludf.DUMMYFUNCTION("""COMPUTED_VALUE"""),"-")</f>
        <v>-</v>
      </c>
      <c r="D260" s="15" t="str">
        <f>IFERROR(__xludf.DUMMYFUNCTION("""COMPUTED_VALUE"""),"https://imgur.com/a/7Nmijrk")</f>
        <v>https://imgur.com/a/7Nmijrk</v>
      </c>
    </row>
    <row r="261">
      <c r="A261" s="21" t="str">
        <f>IFERROR(__xludf.DUMMYFUNCTION("""COMPUTED_VALUE"""),"Swampert")</f>
        <v>Swampert</v>
      </c>
      <c r="B261" s="22" t="str">
        <f>IFERROR(__xludf.DUMMYFUNCTION("""COMPUTED_VALUE"""),"-")</f>
        <v>-</v>
      </c>
      <c r="C261" s="11" t="str">
        <f>IFERROR(__xludf.DUMMYFUNCTION("""COMPUTED_VALUE"""),"-")</f>
        <v>-</v>
      </c>
      <c r="D261" s="15" t="str">
        <f>IFERROR(__xludf.DUMMYFUNCTION("""COMPUTED_VALUE"""),"https://imgur.com/a/ZZR9q3t")</f>
        <v>https://imgur.com/a/ZZR9q3t</v>
      </c>
    </row>
    <row r="262">
      <c r="A262" s="21" t="str">
        <f>IFERROR(__xludf.DUMMYFUNCTION("""COMPUTED_VALUE"""),"Poochyena")</f>
        <v>Poochyena</v>
      </c>
      <c r="B262" s="22" t="str">
        <f>IFERROR(__xludf.DUMMYFUNCTION("""COMPUTED_VALUE"""),"-")</f>
        <v>-</v>
      </c>
      <c r="C262" s="11" t="str">
        <f>IFERROR(__xludf.DUMMYFUNCTION("""COMPUTED_VALUE"""),"-")</f>
        <v>-</v>
      </c>
      <c r="D262" s="15" t="str">
        <f>IFERROR(__xludf.DUMMYFUNCTION("""COMPUTED_VALUE"""),"https://imgur.com/a/AV1brbq")</f>
        <v>https://imgur.com/a/AV1brbq</v>
      </c>
    </row>
    <row r="263">
      <c r="A263" s="21" t="str">
        <f>IFERROR(__xludf.DUMMYFUNCTION("""COMPUTED_VALUE"""),"Mightyena")</f>
        <v>Mightyena</v>
      </c>
      <c r="B263" s="22" t="str">
        <f>IFERROR(__xludf.DUMMYFUNCTION("""COMPUTED_VALUE"""),"-")</f>
        <v>-</v>
      </c>
      <c r="C263" s="11" t="str">
        <f>IFERROR(__xludf.DUMMYFUNCTION("""COMPUTED_VALUE"""),"-")</f>
        <v>-</v>
      </c>
      <c r="D263" s="15" t="str">
        <f>IFERROR(__xludf.DUMMYFUNCTION("""COMPUTED_VALUE"""),"https://imgur.com/a/TtFAFi8")</f>
        <v>https://imgur.com/a/TtFAFi8</v>
      </c>
    </row>
    <row r="264">
      <c r="A264" s="21" t="str">
        <f>IFERROR(__xludf.DUMMYFUNCTION("""COMPUTED_VALUE"""),"Zigzagoon")</f>
        <v>Zigzagoon</v>
      </c>
      <c r="B264" s="22" t="str">
        <f>IFERROR(__xludf.DUMMYFUNCTION("""COMPUTED_VALUE"""),"-")</f>
        <v>-</v>
      </c>
      <c r="C264" s="11" t="str">
        <f>IFERROR(__xludf.DUMMYFUNCTION("""COMPUTED_VALUE"""),"-")</f>
        <v>-</v>
      </c>
      <c r="D264" s="15" t="str">
        <f>IFERROR(__xludf.DUMMYFUNCTION("""COMPUTED_VALUE"""),"https://imgur.com/a/WBUCnKo")</f>
        <v>https://imgur.com/a/WBUCnKo</v>
      </c>
    </row>
    <row r="265">
      <c r="A265" s="21" t="str">
        <f>IFERROR(__xludf.DUMMYFUNCTION("""COMPUTED_VALUE"""),"Linoone")</f>
        <v>Linoone</v>
      </c>
      <c r="B265" s="22" t="str">
        <f>IFERROR(__xludf.DUMMYFUNCTION("""COMPUTED_VALUE"""),"-")</f>
        <v>-</v>
      </c>
      <c r="C265" s="11" t="str">
        <f>IFERROR(__xludf.DUMMYFUNCTION("""COMPUTED_VALUE"""),"-")</f>
        <v>-</v>
      </c>
      <c r="D265" s="15" t="str">
        <f>IFERROR(__xludf.DUMMYFUNCTION("""COMPUTED_VALUE"""),"https://imgur.com/a/OZ3NIfX")</f>
        <v>https://imgur.com/a/OZ3NIfX</v>
      </c>
    </row>
    <row r="266">
      <c r="A266" s="21" t="str">
        <f>IFERROR(__xludf.DUMMYFUNCTION("""COMPUTED_VALUE"""),"Wurmple")</f>
        <v>Wurmple</v>
      </c>
      <c r="B266" s="22" t="str">
        <f>IFERROR(__xludf.DUMMYFUNCTION("""COMPUTED_VALUE"""),"-")</f>
        <v>-</v>
      </c>
      <c r="C266" s="11" t="str">
        <f>IFERROR(__xludf.DUMMYFUNCTION("""COMPUTED_VALUE"""),"-")</f>
        <v>-</v>
      </c>
      <c r="D266" s="15" t="str">
        <f>IFERROR(__xludf.DUMMYFUNCTION("""COMPUTED_VALUE"""),"https://imgur.com/a/EPQWSoP")</f>
        <v>https://imgur.com/a/EPQWSoP</v>
      </c>
    </row>
    <row r="267">
      <c r="A267" s="21" t="str">
        <f>IFERROR(__xludf.DUMMYFUNCTION("""COMPUTED_VALUE"""),"Silcoon")</f>
        <v>Silcoon</v>
      </c>
      <c r="B267" s="22" t="str">
        <f>IFERROR(__xludf.DUMMYFUNCTION("""COMPUTED_VALUE"""),"-")</f>
        <v>-</v>
      </c>
      <c r="C267" s="11" t="str">
        <f>IFERROR(__xludf.DUMMYFUNCTION("""COMPUTED_VALUE"""),"-")</f>
        <v>-</v>
      </c>
      <c r="D267" s="15" t="str">
        <f>IFERROR(__xludf.DUMMYFUNCTION("""COMPUTED_VALUE"""),"https://imgur.com/a/EPQWSoP")</f>
        <v>https://imgur.com/a/EPQWSoP</v>
      </c>
    </row>
    <row r="268">
      <c r="A268" s="21" t="str">
        <f>IFERROR(__xludf.DUMMYFUNCTION("""COMPUTED_VALUE"""),"Beautifly")</f>
        <v>Beautifly</v>
      </c>
      <c r="B268" s="22" t="str">
        <f>IFERROR(__xludf.DUMMYFUNCTION("""COMPUTED_VALUE"""),"-")</f>
        <v>-</v>
      </c>
      <c r="C268" s="11" t="str">
        <f>IFERROR(__xludf.DUMMYFUNCTION("""COMPUTED_VALUE"""),"-")</f>
        <v>-</v>
      </c>
      <c r="D268" s="15" t="str">
        <f>IFERROR(__xludf.DUMMYFUNCTION("""COMPUTED_VALUE"""),"https://imgur.com/a/vePSZZs")</f>
        <v>https://imgur.com/a/vePSZZs</v>
      </c>
    </row>
    <row r="269">
      <c r="A269" s="21" t="str">
        <f>IFERROR(__xludf.DUMMYFUNCTION("""COMPUTED_VALUE"""),"Cascoon")</f>
        <v>Cascoon</v>
      </c>
      <c r="B269" s="22" t="str">
        <f>IFERROR(__xludf.DUMMYFUNCTION("""COMPUTED_VALUE"""),"-")</f>
        <v>-</v>
      </c>
      <c r="C269" s="11" t="str">
        <f>IFERROR(__xludf.DUMMYFUNCTION("""COMPUTED_VALUE"""),"-")</f>
        <v>-</v>
      </c>
      <c r="D269" s="15" t="str">
        <f>IFERROR(__xludf.DUMMYFUNCTION("""COMPUTED_VALUE"""),"https://imgur.com/a/EPQWSoP")</f>
        <v>https://imgur.com/a/EPQWSoP</v>
      </c>
    </row>
    <row r="270">
      <c r="A270" s="21" t="str">
        <f>IFERROR(__xludf.DUMMYFUNCTION("""COMPUTED_VALUE"""),"Dustox")</f>
        <v>Dustox</v>
      </c>
      <c r="B270" s="22" t="str">
        <f>IFERROR(__xludf.DUMMYFUNCTION("""COMPUTED_VALUE"""),"-")</f>
        <v>-</v>
      </c>
      <c r="C270" s="11" t="str">
        <f>IFERROR(__xludf.DUMMYFUNCTION("""COMPUTED_VALUE"""),"-")</f>
        <v>-</v>
      </c>
      <c r="D270" s="15" t="str">
        <f>IFERROR(__xludf.DUMMYFUNCTION("""COMPUTED_VALUE"""),"https://imgur.com/a/aa8JVeg")</f>
        <v>https://imgur.com/a/aa8JVeg</v>
      </c>
    </row>
    <row r="271">
      <c r="A271" s="21" t="str">
        <f>IFERROR(__xludf.DUMMYFUNCTION("""COMPUTED_VALUE"""),"Lotad")</f>
        <v>Lotad</v>
      </c>
      <c r="B271" s="22" t="str">
        <f>IFERROR(__xludf.DUMMYFUNCTION("""COMPUTED_VALUE"""),"-")</f>
        <v>-</v>
      </c>
      <c r="C271" s="11" t="str">
        <f>IFERROR(__xludf.DUMMYFUNCTION("""COMPUTED_VALUE"""),"-")</f>
        <v>-</v>
      </c>
      <c r="D271" s="15" t="str">
        <f>IFERROR(__xludf.DUMMYFUNCTION("""COMPUTED_VALUE"""),"https://imgur.com/a/H3DeAbj")</f>
        <v>https://imgur.com/a/H3DeAbj</v>
      </c>
    </row>
    <row r="272">
      <c r="A272" s="21" t="str">
        <f>IFERROR(__xludf.DUMMYFUNCTION("""COMPUTED_VALUE"""),"Lombre")</f>
        <v>Lombre</v>
      </c>
      <c r="B272" s="22" t="str">
        <f>IFERROR(__xludf.DUMMYFUNCTION("""COMPUTED_VALUE"""),"-")</f>
        <v>-</v>
      </c>
      <c r="C272" s="11" t="str">
        <f>IFERROR(__xludf.DUMMYFUNCTION("""COMPUTED_VALUE"""),"-")</f>
        <v>-</v>
      </c>
      <c r="D272" s="15" t="str">
        <f>IFERROR(__xludf.DUMMYFUNCTION("""COMPUTED_VALUE"""),"https://imgur.com/a/UH76hUF")</f>
        <v>https://imgur.com/a/UH76hUF</v>
      </c>
    </row>
    <row r="273">
      <c r="A273" s="21" t="str">
        <f>IFERROR(__xludf.DUMMYFUNCTION("""COMPUTED_VALUE"""),"Ludicolo")</f>
        <v>Ludicolo</v>
      </c>
      <c r="B273" s="22" t="str">
        <f>IFERROR(__xludf.DUMMYFUNCTION("""COMPUTED_VALUE"""),"-")</f>
        <v>-</v>
      </c>
      <c r="C273" s="11" t="str">
        <f>IFERROR(__xludf.DUMMYFUNCTION("""COMPUTED_VALUE"""),"-")</f>
        <v>-</v>
      </c>
      <c r="D273" s="15" t="str">
        <f>IFERROR(__xludf.DUMMYFUNCTION("""COMPUTED_VALUE"""),"https://imgur.com/a/uSuyBkT")</f>
        <v>https://imgur.com/a/uSuyBkT</v>
      </c>
    </row>
    <row r="274">
      <c r="A274" s="21" t="str">
        <f>IFERROR(__xludf.DUMMYFUNCTION("""COMPUTED_VALUE"""),"Seedot")</f>
        <v>Seedot</v>
      </c>
      <c r="B274" s="22" t="str">
        <f>IFERROR(__xludf.DUMMYFUNCTION("""COMPUTED_VALUE"""),"-")</f>
        <v>-</v>
      </c>
      <c r="C274" s="11" t="str">
        <f>IFERROR(__xludf.DUMMYFUNCTION("""COMPUTED_VALUE"""),"-")</f>
        <v>-</v>
      </c>
      <c r="D274" s="15" t="str">
        <f>IFERROR(__xludf.DUMMYFUNCTION("""COMPUTED_VALUE"""),"https://imgur.com/a/ddPPOJp")</f>
        <v>https://imgur.com/a/ddPPOJp</v>
      </c>
    </row>
    <row r="275">
      <c r="A275" s="21" t="str">
        <f>IFERROR(__xludf.DUMMYFUNCTION("""COMPUTED_VALUE"""),"Nuzleaf")</f>
        <v>Nuzleaf</v>
      </c>
      <c r="B275" s="22" t="str">
        <f>IFERROR(__xludf.DUMMYFUNCTION("""COMPUTED_VALUE"""),"-")</f>
        <v>-</v>
      </c>
      <c r="C275" s="11" t="str">
        <f>IFERROR(__xludf.DUMMYFUNCTION("""COMPUTED_VALUE"""),"-")</f>
        <v>-</v>
      </c>
      <c r="D275" s="15" t="str">
        <f>IFERROR(__xludf.DUMMYFUNCTION("""COMPUTED_VALUE"""),"https://imgur.com/a/BlSbyDr")</f>
        <v>https://imgur.com/a/BlSbyDr</v>
      </c>
    </row>
    <row r="276">
      <c r="A276" s="21" t="str">
        <f>IFERROR(__xludf.DUMMYFUNCTION("""COMPUTED_VALUE"""),"Shiftry")</f>
        <v>Shiftry</v>
      </c>
      <c r="B276" s="22" t="str">
        <f>IFERROR(__xludf.DUMMYFUNCTION("""COMPUTED_VALUE"""),"-")</f>
        <v>-</v>
      </c>
      <c r="C276" s="11" t="str">
        <f>IFERROR(__xludf.DUMMYFUNCTION("""COMPUTED_VALUE"""),"-")</f>
        <v>-</v>
      </c>
      <c r="D276" s="15" t="str">
        <f>IFERROR(__xludf.DUMMYFUNCTION("""COMPUTED_VALUE"""),"https://imgur.com/a/d9DZYAm")</f>
        <v>https://imgur.com/a/d9DZYAm</v>
      </c>
    </row>
    <row r="277">
      <c r="A277" s="21" t="str">
        <f>IFERROR(__xludf.DUMMYFUNCTION("""COMPUTED_VALUE"""),"Taillow")</f>
        <v>Taillow</v>
      </c>
      <c r="B277" s="22" t="str">
        <f>IFERROR(__xludf.DUMMYFUNCTION("""COMPUTED_VALUE"""),"-")</f>
        <v>-</v>
      </c>
      <c r="C277" s="11" t="str">
        <f>IFERROR(__xludf.DUMMYFUNCTION("""COMPUTED_VALUE"""),"-")</f>
        <v>-</v>
      </c>
      <c r="D277" s="15" t="str">
        <f>IFERROR(__xludf.DUMMYFUNCTION("""COMPUTED_VALUE"""),"https://imgur.com/a/PywbkCI")</f>
        <v>https://imgur.com/a/PywbkCI</v>
      </c>
    </row>
    <row r="278">
      <c r="A278" s="21" t="str">
        <f>IFERROR(__xludf.DUMMYFUNCTION("""COMPUTED_VALUE"""),"Swellow")</f>
        <v>Swellow</v>
      </c>
      <c r="B278" s="22" t="str">
        <f>IFERROR(__xludf.DUMMYFUNCTION("""COMPUTED_VALUE"""),"-")</f>
        <v>-</v>
      </c>
      <c r="C278" s="11" t="str">
        <f>IFERROR(__xludf.DUMMYFUNCTION("""COMPUTED_VALUE"""),"-")</f>
        <v>-</v>
      </c>
      <c r="D278" s="15" t="str">
        <f>IFERROR(__xludf.DUMMYFUNCTION("""COMPUTED_VALUE"""),"https://imgur.com/a/zWjp1is")</f>
        <v>https://imgur.com/a/zWjp1is</v>
      </c>
    </row>
    <row r="279">
      <c r="A279" s="21" t="str">
        <f>IFERROR(__xludf.DUMMYFUNCTION("""COMPUTED_VALUE"""),"Wingull")</f>
        <v>Wingull</v>
      </c>
      <c r="B279" s="22" t="str">
        <f>IFERROR(__xludf.DUMMYFUNCTION("""COMPUTED_VALUE"""),"-")</f>
        <v>-</v>
      </c>
      <c r="C279" s="11" t="str">
        <f>IFERROR(__xludf.DUMMYFUNCTION("""COMPUTED_VALUE"""),"-")</f>
        <v>-</v>
      </c>
      <c r="D279" s="15" t="str">
        <f>IFERROR(__xludf.DUMMYFUNCTION("""COMPUTED_VALUE"""),"https://imgur.com/a/mQzmvVE")</f>
        <v>https://imgur.com/a/mQzmvVE</v>
      </c>
    </row>
    <row r="280">
      <c r="A280" s="21" t="str">
        <f>IFERROR(__xludf.DUMMYFUNCTION("""COMPUTED_VALUE"""),"Pelipper")</f>
        <v>Pelipper</v>
      </c>
      <c r="B280" s="22" t="str">
        <f>IFERROR(__xludf.DUMMYFUNCTION("""COMPUTED_VALUE"""),"-")</f>
        <v>-</v>
      </c>
      <c r="C280" s="11" t="str">
        <f>IFERROR(__xludf.DUMMYFUNCTION("""COMPUTED_VALUE"""),"-")</f>
        <v>-</v>
      </c>
      <c r="D280" s="15" t="str">
        <f>IFERROR(__xludf.DUMMYFUNCTION("""COMPUTED_VALUE"""),"https://imgur.com/a/9ny4RTg")</f>
        <v>https://imgur.com/a/9ny4RTg</v>
      </c>
    </row>
    <row r="281">
      <c r="A281" s="21" t="str">
        <f>IFERROR(__xludf.DUMMYFUNCTION("""COMPUTED_VALUE"""),"Ralts")</f>
        <v>Ralts</v>
      </c>
      <c r="B281" s="22" t="str">
        <f>IFERROR(__xludf.DUMMYFUNCTION("""COMPUTED_VALUE"""),"-")</f>
        <v>-</v>
      </c>
      <c r="C281" s="11" t="str">
        <f>IFERROR(__xludf.DUMMYFUNCTION("""COMPUTED_VALUE"""),"-")</f>
        <v>-</v>
      </c>
      <c r="D281" s="15" t="str">
        <f>IFERROR(__xludf.DUMMYFUNCTION("""COMPUTED_VALUE"""),"https://imgur.com/a/HeG92xQ")</f>
        <v>https://imgur.com/a/HeG92xQ</v>
      </c>
    </row>
    <row r="282">
      <c r="A282" s="21" t="str">
        <f>IFERROR(__xludf.DUMMYFUNCTION("""COMPUTED_VALUE"""),"Kirlia")</f>
        <v>Kirlia</v>
      </c>
      <c r="B282" s="22" t="str">
        <f>IFERROR(__xludf.DUMMYFUNCTION("""COMPUTED_VALUE"""),"-")</f>
        <v>-</v>
      </c>
      <c r="C282" s="11" t="str">
        <f>IFERROR(__xludf.DUMMYFUNCTION("""COMPUTED_VALUE"""),"-")</f>
        <v>-</v>
      </c>
      <c r="D282" s="15" t="str">
        <f>IFERROR(__xludf.DUMMYFUNCTION("""COMPUTED_VALUE"""),"https://imgur.com/a/Duh5van")</f>
        <v>https://imgur.com/a/Duh5van</v>
      </c>
    </row>
    <row r="283">
      <c r="A283" s="21" t="str">
        <f>IFERROR(__xludf.DUMMYFUNCTION("""COMPUTED_VALUE"""),"Gardevoir")</f>
        <v>Gardevoir</v>
      </c>
      <c r="B283" s="22" t="str">
        <f>IFERROR(__xludf.DUMMYFUNCTION("""COMPUTED_VALUE"""),"-")</f>
        <v>-</v>
      </c>
      <c r="C283" s="11" t="str">
        <f>IFERROR(__xludf.DUMMYFUNCTION("""COMPUTED_VALUE"""),"-")</f>
        <v>-</v>
      </c>
      <c r="D283" s="15" t="str">
        <f>IFERROR(__xludf.DUMMYFUNCTION("""COMPUTED_VALUE"""),"https://imgur.com/a/Duh5van")</f>
        <v>https://imgur.com/a/Duh5van</v>
      </c>
    </row>
    <row r="284">
      <c r="A284" s="21" t="str">
        <f>IFERROR(__xludf.DUMMYFUNCTION("""COMPUTED_VALUE"""),"Surskit")</f>
        <v>Surskit</v>
      </c>
      <c r="B284" s="22" t="str">
        <f>IFERROR(__xludf.DUMMYFUNCTION("""COMPUTED_VALUE"""),"-")</f>
        <v>-</v>
      </c>
      <c r="C284" s="11" t="str">
        <f>IFERROR(__xludf.DUMMYFUNCTION("""COMPUTED_VALUE"""),"-")</f>
        <v>-</v>
      </c>
      <c r="D284" s="15" t="str">
        <f>IFERROR(__xludf.DUMMYFUNCTION("""COMPUTED_VALUE"""),"https://imgur.com/a/hupWoKE")</f>
        <v>https://imgur.com/a/hupWoKE</v>
      </c>
    </row>
    <row r="285">
      <c r="A285" s="21" t="str">
        <f>IFERROR(__xludf.DUMMYFUNCTION("""COMPUTED_VALUE"""),"Masquerain")</f>
        <v>Masquerain</v>
      </c>
      <c r="B285" s="22" t="str">
        <f>IFERROR(__xludf.DUMMYFUNCTION("""COMPUTED_VALUE"""),"-")</f>
        <v>-</v>
      </c>
      <c r="C285" s="11" t="str">
        <f>IFERROR(__xludf.DUMMYFUNCTION("""COMPUTED_VALUE"""),"-")</f>
        <v>-</v>
      </c>
      <c r="D285" s="15" t="str">
        <f>IFERROR(__xludf.DUMMYFUNCTION("""COMPUTED_VALUE"""),"https://imgur.com/a/A6mD163")</f>
        <v>https://imgur.com/a/A6mD163</v>
      </c>
    </row>
    <row r="286">
      <c r="A286" s="21" t="str">
        <f>IFERROR(__xludf.DUMMYFUNCTION("""COMPUTED_VALUE"""),"Shroomish")</f>
        <v>Shroomish</v>
      </c>
      <c r="B286" s="22" t="str">
        <f>IFERROR(__xludf.DUMMYFUNCTION("""COMPUTED_VALUE"""),"-")</f>
        <v>-</v>
      </c>
      <c r="C286" s="11" t="str">
        <f>IFERROR(__xludf.DUMMYFUNCTION("""COMPUTED_VALUE"""),"-")</f>
        <v>-</v>
      </c>
      <c r="D286" s="15" t="str">
        <f>IFERROR(__xludf.DUMMYFUNCTION("""COMPUTED_VALUE"""),"https://imgur.com/a/ASbhmgA")</f>
        <v>https://imgur.com/a/ASbhmgA</v>
      </c>
    </row>
    <row r="287">
      <c r="A287" s="21" t="str">
        <f>IFERROR(__xludf.DUMMYFUNCTION("""COMPUTED_VALUE"""),"Breloom")</f>
        <v>Breloom</v>
      </c>
      <c r="B287" s="22" t="str">
        <f>IFERROR(__xludf.DUMMYFUNCTION("""COMPUTED_VALUE"""),"-")</f>
        <v>-</v>
      </c>
      <c r="C287" s="11" t="str">
        <f>IFERROR(__xludf.DUMMYFUNCTION("""COMPUTED_VALUE"""),"-")</f>
        <v>-</v>
      </c>
      <c r="D287" s="15" t="str">
        <f>IFERROR(__xludf.DUMMYFUNCTION("""COMPUTED_VALUE"""),"https://imgur.com/a/xkbItkt")</f>
        <v>https://imgur.com/a/xkbItkt</v>
      </c>
    </row>
    <row r="288">
      <c r="A288" s="21" t="str">
        <f>IFERROR(__xludf.DUMMYFUNCTION("""COMPUTED_VALUE"""),"Slakoth")</f>
        <v>Slakoth</v>
      </c>
      <c r="B288" s="22" t="str">
        <f>IFERROR(__xludf.DUMMYFUNCTION("""COMPUTED_VALUE"""),"-")</f>
        <v>-</v>
      </c>
      <c r="C288" s="11" t="str">
        <f>IFERROR(__xludf.DUMMYFUNCTION("""COMPUTED_VALUE"""),"-")</f>
        <v>-</v>
      </c>
      <c r="D288" s="15" t="str">
        <f>IFERROR(__xludf.DUMMYFUNCTION("""COMPUTED_VALUE"""),"https://imgur.com/a/ISjWYSS")</f>
        <v>https://imgur.com/a/ISjWYSS</v>
      </c>
    </row>
    <row r="289">
      <c r="A289" s="21" t="str">
        <f>IFERROR(__xludf.DUMMYFUNCTION("""COMPUTED_VALUE"""),"Vigoroth")</f>
        <v>Vigoroth</v>
      </c>
      <c r="B289" s="22" t="str">
        <f>IFERROR(__xludf.DUMMYFUNCTION("""COMPUTED_VALUE"""),"-")</f>
        <v>-</v>
      </c>
      <c r="C289" s="11" t="str">
        <f>IFERROR(__xludf.DUMMYFUNCTION("""COMPUTED_VALUE"""),"-")</f>
        <v>-</v>
      </c>
      <c r="D289" s="15" t="str">
        <f>IFERROR(__xludf.DUMMYFUNCTION("""COMPUTED_VALUE"""),"https://imgur.com/a/zBv5poV")</f>
        <v>https://imgur.com/a/zBv5poV</v>
      </c>
    </row>
    <row r="290">
      <c r="A290" s="21" t="str">
        <f>IFERROR(__xludf.DUMMYFUNCTION("""COMPUTED_VALUE"""),"Slaking")</f>
        <v>Slaking</v>
      </c>
      <c r="B290" s="22" t="str">
        <f>IFERROR(__xludf.DUMMYFUNCTION("""COMPUTED_VALUE"""),"-")</f>
        <v>-</v>
      </c>
      <c r="C290" s="11" t="str">
        <f>IFERROR(__xludf.DUMMYFUNCTION("""COMPUTED_VALUE"""),"-")</f>
        <v>-</v>
      </c>
      <c r="D290" s="15" t="str">
        <f>IFERROR(__xludf.DUMMYFUNCTION("""COMPUTED_VALUE"""),"https://imgur.com/a/JFAXd2m")</f>
        <v>https://imgur.com/a/JFAXd2m</v>
      </c>
    </row>
    <row r="291">
      <c r="A291" s="21" t="str">
        <f>IFERROR(__xludf.DUMMYFUNCTION("""COMPUTED_VALUE"""),"Nincada")</f>
        <v>Nincada</v>
      </c>
      <c r="B291" s="22" t="str">
        <f>IFERROR(__xludf.DUMMYFUNCTION("""COMPUTED_VALUE"""),"-")</f>
        <v>-</v>
      </c>
      <c r="C291" s="11" t="str">
        <f>IFERROR(__xludf.DUMMYFUNCTION("""COMPUTED_VALUE"""),"-")</f>
        <v>-</v>
      </c>
      <c r="D291" s="15" t="str">
        <f>IFERROR(__xludf.DUMMYFUNCTION("""COMPUTED_VALUE"""),"https://imgur.com/a/lbHpkKV")</f>
        <v>https://imgur.com/a/lbHpkKV</v>
      </c>
    </row>
    <row r="292">
      <c r="A292" s="21" t="str">
        <f>IFERROR(__xludf.DUMMYFUNCTION("""COMPUTED_VALUE"""),"Ninjask")</f>
        <v>Ninjask</v>
      </c>
      <c r="B292" s="22" t="str">
        <f>IFERROR(__xludf.DUMMYFUNCTION("""COMPUTED_VALUE"""),"-")</f>
        <v>-</v>
      </c>
      <c r="C292" s="11" t="str">
        <f>IFERROR(__xludf.DUMMYFUNCTION("""COMPUTED_VALUE"""),"-")</f>
        <v>-</v>
      </c>
      <c r="D292" s="15" t="str">
        <f>IFERROR(__xludf.DUMMYFUNCTION("""COMPUTED_VALUE"""),"https://imgur.com/a/J42Cek5")</f>
        <v>https://imgur.com/a/J42Cek5</v>
      </c>
    </row>
    <row r="293">
      <c r="A293" s="21" t="str">
        <f>IFERROR(__xludf.DUMMYFUNCTION("""COMPUTED_VALUE"""),"Shedinja")</f>
        <v>Shedinja</v>
      </c>
      <c r="B293" s="22" t="str">
        <f>IFERROR(__xludf.DUMMYFUNCTION("""COMPUTED_VALUE"""),"-")</f>
        <v>-</v>
      </c>
      <c r="C293" s="11" t="str">
        <f>IFERROR(__xludf.DUMMYFUNCTION("""COMPUTED_VALUE"""),"-")</f>
        <v>-</v>
      </c>
      <c r="D293" s="15" t="str">
        <f>IFERROR(__xludf.DUMMYFUNCTION("""COMPUTED_VALUE"""),"https://imgur.com/a/LUgy00h")</f>
        <v>https://imgur.com/a/LUgy00h</v>
      </c>
    </row>
    <row r="294">
      <c r="A294" s="21" t="str">
        <f>IFERROR(__xludf.DUMMYFUNCTION("""COMPUTED_VALUE"""),"Whismur")</f>
        <v>Whismur</v>
      </c>
      <c r="B294" s="22" t="str">
        <f>IFERROR(__xludf.DUMMYFUNCTION("""COMPUTED_VALUE"""),"-")</f>
        <v>-</v>
      </c>
      <c r="C294" s="11" t="str">
        <f>IFERROR(__xludf.DUMMYFUNCTION("""COMPUTED_VALUE"""),"-")</f>
        <v>-</v>
      </c>
      <c r="D294" s="15" t="str">
        <f>IFERROR(__xludf.DUMMYFUNCTION("""COMPUTED_VALUE"""),"https://imgur.com/a/UOLx5iS")</f>
        <v>https://imgur.com/a/UOLx5iS</v>
      </c>
    </row>
    <row r="295">
      <c r="A295" s="21" t="str">
        <f>IFERROR(__xludf.DUMMYFUNCTION("""COMPUTED_VALUE"""),"Loudred")</f>
        <v>Loudred</v>
      </c>
      <c r="B295" s="22" t="str">
        <f>IFERROR(__xludf.DUMMYFUNCTION("""COMPUTED_VALUE"""),"-")</f>
        <v>-</v>
      </c>
      <c r="C295" s="11" t="str">
        <f>IFERROR(__xludf.DUMMYFUNCTION("""COMPUTED_VALUE"""),"-")</f>
        <v>-</v>
      </c>
      <c r="D295" s="15" t="str">
        <f>IFERROR(__xludf.DUMMYFUNCTION("""COMPUTED_VALUE"""),"https://imgur.com/a/9hx1oWG")</f>
        <v>https://imgur.com/a/9hx1oWG</v>
      </c>
    </row>
    <row r="296">
      <c r="A296" s="21" t="str">
        <f>IFERROR(__xludf.DUMMYFUNCTION("""COMPUTED_VALUE"""),"Exploud")</f>
        <v>Exploud</v>
      </c>
      <c r="B296" s="22" t="str">
        <f>IFERROR(__xludf.DUMMYFUNCTION("""COMPUTED_VALUE"""),"-")</f>
        <v>-</v>
      </c>
      <c r="C296" s="11" t="str">
        <f>IFERROR(__xludf.DUMMYFUNCTION("""COMPUTED_VALUE"""),"-")</f>
        <v>-</v>
      </c>
      <c r="D296" s="15" t="str">
        <f>IFERROR(__xludf.DUMMYFUNCTION("""COMPUTED_VALUE"""),"https://imgur.com/a/WTFRBwz")</f>
        <v>https://imgur.com/a/WTFRBwz</v>
      </c>
    </row>
    <row r="297">
      <c r="A297" s="21" t="str">
        <f>IFERROR(__xludf.DUMMYFUNCTION("""COMPUTED_VALUE"""),"Makuhita")</f>
        <v>Makuhita</v>
      </c>
      <c r="B297" s="22" t="str">
        <f>IFERROR(__xludf.DUMMYFUNCTION("""COMPUTED_VALUE"""),"-")</f>
        <v>-</v>
      </c>
      <c r="C297" s="11" t="str">
        <f>IFERROR(__xludf.DUMMYFUNCTION("""COMPUTED_VALUE"""),"-")</f>
        <v>-</v>
      </c>
      <c r="D297" s="15" t="str">
        <f>IFERROR(__xludf.DUMMYFUNCTION("""COMPUTED_VALUE"""),"https://imgur.com/a/aTDa0zK")</f>
        <v>https://imgur.com/a/aTDa0zK</v>
      </c>
    </row>
    <row r="298">
      <c r="A298" s="21" t="str">
        <f>IFERROR(__xludf.DUMMYFUNCTION("""COMPUTED_VALUE"""),"Hariyama")</f>
        <v>Hariyama</v>
      </c>
      <c r="B298" s="22" t="str">
        <f>IFERROR(__xludf.DUMMYFUNCTION("""COMPUTED_VALUE"""),"-")</f>
        <v>-</v>
      </c>
      <c r="C298" s="11" t="str">
        <f>IFERROR(__xludf.DUMMYFUNCTION("""COMPUTED_VALUE"""),"-")</f>
        <v>-</v>
      </c>
      <c r="D298" s="15" t="str">
        <f>IFERROR(__xludf.DUMMYFUNCTION("""COMPUTED_VALUE"""),"https://imgur.com/a/ywTJuVx")</f>
        <v>https://imgur.com/a/ywTJuVx</v>
      </c>
    </row>
    <row r="299">
      <c r="A299" s="21" t="str">
        <f>IFERROR(__xludf.DUMMYFUNCTION("""COMPUTED_VALUE"""),"Azurill")</f>
        <v>Azurill</v>
      </c>
      <c r="B299" s="22" t="str">
        <f>IFERROR(__xludf.DUMMYFUNCTION("""COMPUTED_VALUE"""),"-")</f>
        <v>-</v>
      </c>
      <c r="C299" s="11" t="str">
        <f>IFERROR(__xludf.DUMMYFUNCTION("""COMPUTED_VALUE"""),"-")</f>
        <v>-</v>
      </c>
      <c r="D299" s="15" t="str">
        <f>IFERROR(__xludf.DUMMYFUNCTION("""COMPUTED_VALUE"""),"https://imgur.com/a/GKSI8P8")</f>
        <v>https://imgur.com/a/GKSI8P8</v>
      </c>
    </row>
    <row r="300">
      <c r="A300" s="21" t="str">
        <f>IFERROR(__xludf.DUMMYFUNCTION("""COMPUTED_VALUE"""),"Nosepass")</f>
        <v>Nosepass</v>
      </c>
      <c r="B300" s="22" t="str">
        <f>IFERROR(__xludf.DUMMYFUNCTION("""COMPUTED_VALUE"""),"-")</f>
        <v>-</v>
      </c>
      <c r="C300" s="11" t="str">
        <f>IFERROR(__xludf.DUMMYFUNCTION("""COMPUTED_VALUE"""),"-")</f>
        <v>-</v>
      </c>
      <c r="D300" s="15" t="str">
        <f>IFERROR(__xludf.DUMMYFUNCTION("""COMPUTED_VALUE"""),"https://imgur.com/a/idVWM4R")</f>
        <v>https://imgur.com/a/idVWM4R</v>
      </c>
    </row>
    <row r="301">
      <c r="A301" s="21" t="str">
        <f>IFERROR(__xludf.DUMMYFUNCTION("""COMPUTED_VALUE"""),"Skitty")</f>
        <v>Skitty</v>
      </c>
      <c r="B301" s="22" t="str">
        <f>IFERROR(__xludf.DUMMYFUNCTION("""COMPUTED_VALUE"""),"-")</f>
        <v>-</v>
      </c>
      <c r="C301" s="11" t="str">
        <f>IFERROR(__xludf.DUMMYFUNCTION("""COMPUTED_VALUE"""),"-")</f>
        <v>-</v>
      </c>
      <c r="D301" s="15" t="str">
        <f>IFERROR(__xludf.DUMMYFUNCTION("""COMPUTED_VALUE"""),"https://imgur.com/a/HXpaVFd")</f>
        <v>https://imgur.com/a/HXpaVFd</v>
      </c>
    </row>
    <row r="302">
      <c r="A302" s="21" t="str">
        <f>IFERROR(__xludf.DUMMYFUNCTION("""COMPUTED_VALUE"""),"Delcatty")</f>
        <v>Delcatty</v>
      </c>
      <c r="B302" s="22" t="str">
        <f>IFERROR(__xludf.DUMMYFUNCTION("""COMPUTED_VALUE"""),"-")</f>
        <v>-</v>
      </c>
      <c r="C302" s="11" t="str">
        <f>IFERROR(__xludf.DUMMYFUNCTION("""COMPUTED_VALUE"""),"-")</f>
        <v>-</v>
      </c>
      <c r="D302" s="15" t="str">
        <f>IFERROR(__xludf.DUMMYFUNCTION("""COMPUTED_VALUE"""),"https://imgur.com/a/PC3fNSZ")</f>
        <v>https://imgur.com/a/PC3fNSZ</v>
      </c>
    </row>
    <row r="303">
      <c r="A303" s="21" t="str">
        <f>IFERROR(__xludf.DUMMYFUNCTION("""COMPUTED_VALUE"""),"Sableye")</f>
        <v>Sableye</v>
      </c>
      <c r="B303" s="22" t="str">
        <f>IFERROR(__xludf.DUMMYFUNCTION("""COMPUTED_VALUE"""),"-")</f>
        <v>-</v>
      </c>
      <c r="C303" s="11" t="str">
        <f>IFERROR(__xludf.DUMMYFUNCTION("""COMPUTED_VALUE"""),"-")</f>
        <v>-</v>
      </c>
      <c r="D303" s="15" t="str">
        <f>IFERROR(__xludf.DUMMYFUNCTION("""COMPUTED_VALUE"""),"https://imgur.com/a/cI3PbPr")</f>
        <v>https://imgur.com/a/cI3PbPr</v>
      </c>
    </row>
    <row r="304">
      <c r="A304" s="21" t="str">
        <f>IFERROR(__xludf.DUMMYFUNCTION("""COMPUTED_VALUE"""),"Mawile")</f>
        <v>Mawile</v>
      </c>
      <c r="B304" s="22" t="str">
        <f>IFERROR(__xludf.DUMMYFUNCTION("""COMPUTED_VALUE"""),"-")</f>
        <v>-</v>
      </c>
      <c r="C304" s="11" t="str">
        <f>IFERROR(__xludf.DUMMYFUNCTION("""COMPUTED_VALUE"""),"-")</f>
        <v>-</v>
      </c>
      <c r="D304" s="15" t="str">
        <f>IFERROR(__xludf.DUMMYFUNCTION("""COMPUTED_VALUE"""),"https://imgur.com/a/odInvRR")</f>
        <v>https://imgur.com/a/odInvRR</v>
      </c>
    </row>
    <row r="305">
      <c r="A305" s="21" t="str">
        <f>IFERROR(__xludf.DUMMYFUNCTION("""COMPUTED_VALUE"""),"Aron")</f>
        <v>Aron</v>
      </c>
      <c r="B305" s="22" t="str">
        <f>IFERROR(__xludf.DUMMYFUNCTION("""COMPUTED_VALUE"""),"-")</f>
        <v>-</v>
      </c>
      <c r="C305" s="11" t="str">
        <f>IFERROR(__xludf.DUMMYFUNCTION("""COMPUTED_VALUE"""),"-")</f>
        <v>-</v>
      </c>
      <c r="D305" s="15" t="str">
        <f>IFERROR(__xludf.DUMMYFUNCTION("""COMPUTED_VALUE"""),"https://imgur.com/a/dsmbUWE")</f>
        <v>https://imgur.com/a/dsmbUWE</v>
      </c>
    </row>
    <row r="306">
      <c r="A306" s="21" t="str">
        <f>IFERROR(__xludf.DUMMYFUNCTION("""COMPUTED_VALUE"""),"Lairon")</f>
        <v>Lairon</v>
      </c>
      <c r="B306" s="22" t="str">
        <f>IFERROR(__xludf.DUMMYFUNCTION("""COMPUTED_VALUE"""),"-")</f>
        <v>-</v>
      </c>
      <c r="C306" s="11" t="str">
        <f>IFERROR(__xludf.DUMMYFUNCTION("""COMPUTED_VALUE"""),"-")</f>
        <v>-</v>
      </c>
      <c r="D306" s="15" t="str">
        <f>IFERROR(__xludf.DUMMYFUNCTION("""COMPUTED_VALUE"""),"https://imgur.com/a/6drUaI7")</f>
        <v>https://imgur.com/a/6drUaI7</v>
      </c>
    </row>
    <row r="307">
      <c r="A307" s="21" t="str">
        <f>IFERROR(__xludf.DUMMYFUNCTION("""COMPUTED_VALUE"""),"Aggron")</f>
        <v>Aggron</v>
      </c>
      <c r="B307" s="22" t="str">
        <f>IFERROR(__xludf.DUMMYFUNCTION("""COMPUTED_VALUE"""),"-")</f>
        <v>-</v>
      </c>
      <c r="C307" s="11" t="str">
        <f>IFERROR(__xludf.DUMMYFUNCTION("""COMPUTED_VALUE"""),"-")</f>
        <v>-</v>
      </c>
      <c r="D307" s="15" t="str">
        <f>IFERROR(__xludf.DUMMYFUNCTION("""COMPUTED_VALUE"""),"https://imgur.com/a/cJndpSb")</f>
        <v>https://imgur.com/a/cJndpSb</v>
      </c>
    </row>
    <row r="308">
      <c r="A308" s="21" t="str">
        <f>IFERROR(__xludf.DUMMYFUNCTION("""COMPUTED_VALUE"""),"Meditite")</f>
        <v>Meditite</v>
      </c>
      <c r="B308" s="22" t="str">
        <f>IFERROR(__xludf.DUMMYFUNCTION("""COMPUTED_VALUE"""),"-")</f>
        <v>-</v>
      </c>
      <c r="C308" s="11" t="str">
        <f>IFERROR(__xludf.DUMMYFUNCTION("""COMPUTED_VALUE"""),"-")</f>
        <v>-</v>
      </c>
      <c r="D308" s="15" t="str">
        <f>IFERROR(__xludf.DUMMYFUNCTION("""COMPUTED_VALUE"""),"https://imgur.com/a/0irrv1r")</f>
        <v>https://imgur.com/a/0irrv1r</v>
      </c>
    </row>
    <row r="309">
      <c r="A309" s="21" t="str">
        <f>IFERROR(__xludf.DUMMYFUNCTION("""COMPUTED_VALUE"""),"Medicham")</f>
        <v>Medicham</v>
      </c>
      <c r="B309" s="22" t="str">
        <f>IFERROR(__xludf.DUMMYFUNCTION("""COMPUTED_VALUE"""),"-")</f>
        <v>-</v>
      </c>
      <c r="C309" s="11" t="str">
        <f>IFERROR(__xludf.DUMMYFUNCTION("""COMPUTED_VALUE"""),"-")</f>
        <v>-</v>
      </c>
      <c r="D309" s="15" t="str">
        <f>IFERROR(__xludf.DUMMYFUNCTION("""COMPUTED_VALUE"""),"https://imgur.com/a/0irrv1r")</f>
        <v>https://imgur.com/a/0irrv1r</v>
      </c>
    </row>
    <row r="310">
      <c r="A310" s="21" t="str">
        <f>IFERROR(__xludf.DUMMYFUNCTION("""COMPUTED_VALUE"""),"Electrike")</f>
        <v>Electrike</v>
      </c>
      <c r="B310" s="22" t="str">
        <f>IFERROR(__xludf.DUMMYFUNCTION("""COMPUTED_VALUE"""),"-")</f>
        <v>-</v>
      </c>
      <c r="C310" s="11" t="str">
        <f>IFERROR(__xludf.DUMMYFUNCTION("""COMPUTED_VALUE"""),"-")</f>
        <v>-</v>
      </c>
      <c r="D310" s="15" t="str">
        <f>IFERROR(__xludf.DUMMYFUNCTION("""COMPUTED_VALUE"""),"https://imgur.com/a/WJui6MS")</f>
        <v>https://imgur.com/a/WJui6MS</v>
      </c>
    </row>
    <row r="311">
      <c r="A311" s="21" t="str">
        <f>IFERROR(__xludf.DUMMYFUNCTION("""COMPUTED_VALUE"""),"Manectric")</f>
        <v>Manectric</v>
      </c>
      <c r="B311" s="22" t="str">
        <f>IFERROR(__xludf.DUMMYFUNCTION("""COMPUTED_VALUE"""),"-")</f>
        <v>-</v>
      </c>
      <c r="C311" s="11" t="str">
        <f>IFERROR(__xludf.DUMMYFUNCTION("""COMPUTED_VALUE"""),"-")</f>
        <v>-</v>
      </c>
      <c r="D311" s="15" t="str">
        <f>IFERROR(__xludf.DUMMYFUNCTION("""COMPUTED_VALUE"""),"https://imgur.com/a/OoNfzDJ")</f>
        <v>https://imgur.com/a/OoNfzDJ</v>
      </c>
    </row>
    <row r="312">
      <c r="A312" s="21" t="str">
        <f>IFERROR(__xludf.DUMMYFUNCTION("""COMPUTED_VALUE"""),"Plusle")</f>
        <v>Plusle</v>
      </c>
      <c r="B312" s="22" t="str">
        <f>IFERROR(__xludf.DUMMYFUNCTION("""COMPUTED_VALUE"""),"-")</f>
        <v>-</v>
      </c>
      <c r="C312" s="11" t="str">
        <f>IFERROR(__xludf.DUMMYFUNCTION("""COMPUTED_VALUE"""),"-")</f>
        <v>-</v>
      </c>
      <c r="D312" s="15" t="str">
        <f>IFERROR(__xludf.DUMMYFUNCTION("""COMPUTED_VALUE"""),"https://imgur.com/a/6gftpgd")</f>
        <v>https://imgur.com/a/6gftpgd</v>
      </c>
    </row>
    <row r="313">
      <c r="A313" s="21" t="str">
        <f>IFERROR(__xludf.DUMMYFUNCTION("""COMPUTED_VALUE"""),"Minun")</f>
        <v>Minun</v>
      </c>
      <c r="B313" s="22" t="str">
        <f>IFERROR(__xludf.DUMMYFUNCTION("""COMPUTED_VALUE"""),"-")</f>
        <v>-</v>
      </c>
      <c r="C313" s="11" t="str">
        <f>IFERROR(__xludf.DUMMYFUNCTION("""COMPUTED_VALUE"""),"-")</f>
        <v>-</v>
      </c>
      <c r="D313" s="15" t="str">
        <f>IFERROR(__xludf.DUMMYFUNCTION("""COMPUTED_VALUE"""),"https://imgur.com/a/6gftpgd")</f>
        <v>https://imgur.com/a/6gftpgd</v>
      </c>
    </row>
    <row r="314">
      <c r="A314" s="21" t="str">
        <f>IFERROR(__xludf.DUMMYFUNCTION("""COMPUTED_VALUE"""),"Volbeat")</f>
        <v>Volbeat</v>
      </c>
      <c r="B314" s="22" t="str">
        <f>IFERROR(__xludf.DUMMYFUNCTION("""COMPUTED_VALUE"""),"-")</f>
        <v>-</v>
      </c>
      <c r="C314" s="11" t="str">
        <f>IFERROR(__xludf.DUMMYFUNCTION("""COMPUTED_VALUE"""),"-")</f>
        <v>-</v>
      </c>
      <c r="D314" s="15" t="str">
        <f>IFERROR(__xludf.DUMMYFUNCTION("""COMPUTED_VALUE"""),"https://imgur.com/a/WCp8TTD")</f>
        <v>https://imgur.com/a/WCp8TTD</v>
      </c>
    </row>
    <row r="315">
      <c r="A315" s="21" t="str">
        <f>IFERROR(__xludf.DUMMYFUNCTION("""COMPUTED_VALUE"""),"Illumise")</f>
        <v>Illumise</v>
      </c>
      <c r="B315" s="22" t="str">
        <f>IFERROR(__xludf.DUMMYFUNCTION("""COMPUTED_VALUE"""),"-")</f>
        <v>-</v>
      </c>
      <c r="C315" s="11" t="str">
        <f>IFERROR(__xludf.DUMMYFUNCTION("""COMPUTED_VALUE"""),"-")</f>
        <v>-</v>
      </c>
      <c r="D315" s="15" t="str">
        <f>IFERROR(__xludf.DUMMYFUNCTION("""COMPUTED_VALUE"""),"https://imgur.com/a/WCp8TTD")</f>
        <v>https://imgur.com/a/WCp8TTD</v>
      </c>
    </row>
    <row r="316">
      <c r="A316" s="21" t="str">
        <f>IFERROR(__xludf.DUMMYFUNCTION("""COMPUTED_VALUE"""),"Roselia")</f>
        <v>Roselia</v>
      </c>
      <c r="B316" s="22" t="str">
        <f>IFERROR(__xludf.DUMMYFUNCTION("""COMPUTED_VALUE"""),"-")</f>
        <v>-</v>
      </c>
      <c r="C316" s="11" t="str">
        <f>IFERROR(__xludf.DUMMYFUNCTION("""COMPUTED_VALUE"""),"-")</f>
        <v>-</v>
      </c>
      <c r="D316" s="15" t="str">
        <f>IFERROR(__xludf.DUMMYFUNCTION("""COMPUTED_VALUE"""),"https://imgur.com/a/Dv4T5af")</f>
        <v>https://imgur.com/a/Dv4T5af</v>
      </c>
    </row>
    <row r="317">
      <c r="A317" s="21" t="str">
        <f>IFERROR(__xludf.DUMMYFUNCTION("""COMPUTED_VALUE"""),"Gulpin")</f>
        <v>Gulpin</v>
      </c>
      <c r="B317" s="22" t="str">
        <f>IFERROR(__xludf.DUMMYFUNCTION("""COMPUTED_VALUE"""),"-")</f>
        <v>-</v>
      </c>
      <c r="C317" s="11" t="str">
        <f>IFERROR(__xludf.DUMMYFUNCTION("""COMPUTED_VALUE"""),"-")</f>
        <v>-</v>
      </c>
      <c r="D317" s="15" t="str">
        <f>IFERROR(__xludf.DUMMYFUNCTION("""COMPUTED_VALUE"""),"https://imgur.com/a/OZOu6rY")</f>
        <v>https://imgur.com/a/OZOu6rY</v>
      </c>
    </row>
    <row r="318">
      <c r="A318" s="21" t="str">
        <f>IFERROR(__xludf.DUMMYFUNCTION("""COMPUTED_VALUE"""),"Swalot")</f>
        <v>Swalot</v>
      </c>
      <c r="B318" s="22" t="str">
        <f>IFERROR(__xludf.DUMMYFUNCTION("""COMPUTED_VALUE"""),"-")</f>
        <v>-</v>
      </c>
      <c r="C318" s="11" t="str">
        <f>IFERROR(__xludf.DUMMYFUNCTION("""COMPUTED_VALUE"""),"-")</f>
        <v>-</v>
      </c>
      <c r="D318" s="15" t="str">
        <f>IFERROR(__xludf.DUMMYFUNCTION("""COMPUTED_VALUE"""),"https://imgur.com/a/CVYjLFv")</f>
        <v>https://imgur.com/a/CVYjLFv</v>
      </c>
    </row>
    <row r="319">
      <c r="A319" s="21" t="str">
        <f>IFERROR(__xludf.DUMMYFUNCTION("""COMPUTED_VALUE"""),"Carvanha")</f>
        <v>Carvanha</v>
      </c>
      <c r="B319" s="22" t="str">
        <f>IFERROR(__xludf.DUMMYFUNCTION("""COMPUTED_VALUE"""),"-")</f>
        <v>-</v>
      </c>
      <c r="C319" s="11" t="str">
        <f>IFERROR(__xludf.DUMMYFUNCTION("""COMPUTED_VALUE"""),"-")</f>
        <v>-</v>
      </c>
      <c r="D319" s="15" t="str">
        <f>IFERROR(__xludf.DUMMYFUNCTION("""COMPUTED_VALUE"""),"https://imgur.com/a/waSih15")</f>
        <v>https://imgur.com/a/waSih15</v>
      </c>
    </row>
    <row r="320">
      <c r="A320" s="21" t="str">
        <f>IFERROR(__xludf.DUMMYFUNCTION("""COMPUTED_VALUE"""),"Sharpedo")</f>
        <v>Sharpedo</v>
      </c>
      <c r="B320" s="22" t="str">
        <f>IFERROR(__xludf.DUMMYFUNCTION("""COMPUTED_VALUE"""),"-")</f>
        <v>-</v>
      </c>
      <c r="C320" s="11" t="str">
        <f>IFERROR(__xludf.DUMMYFUNCTION("""COMPUTED_VALUE"""),"-")</f>
        <v>-</v>
      </c>
      <c r="D320" s="15" t="str">
        <f>IFERROR(__xludf.DUMMYFUNCTION("""COMPUTED_VALUE"""),"https://imgur.com/a/xEQLyNo")</f>
        <v>https://imgur.com/a/xEQLyNo</v>
      </c>
    </row>
    <row r="321">
      <c r="A321" s="21" t="str">
        <f>IFERROR(__xludf.DUMMYFUNCTION("""COMPUTED_VALUE"""),"Wailmer")</f>
        <v>Wailmer</v>
      </c>
      <c r="B321" s="22" t="str">
        <f>IFERROR(__xludf.DUMMYFUNCTION("""COMPUTED_VALUE"""),"-")</f>
        <v>-</v>
      </c>
      <c r="C321" s="11" t="str">
        <f>IFERROR(__xludf.DUMMYFUNCTION("""COMPUTED_VALUE"""),"-")</f>
        <v>-</v>
      </c>
      <c r="D321" s="15" t="str">
        <f>IFERROR(__xludf.DUMMYFUNCTION("""COMPUTED_VALUE"""),"https://imgur.com/a/2m6nCb5")</f>
        <v>https://imgur.com/a/2m6nCb5</v>
      </c>
    </row>
    <row r="322">
      <c r="A322" s="21" t="str">
        <f>IFERROR(__xludf.DUMMYFUNCTION("""COMPUTED_VALUE"""),"Wailord")</f>
        <v>Wailord</v>
      </c>
      <c r="B322" s="22" t="str">
        <f>IFERROR(__xludf.DUMMYFUNCTION("""COMPUTED_VALUE"""),"-")</f>
        <v>-</v>
      </c>
      <c r="C322" s="11" t="str">
        <f>IFERROR(__xludf.DUMMYFUNCTION("""COMPUTED_VALUE"""),"-")</f>
        <v>-</v>
      </c>
      <c r="D322" s="15" t="str">
        <f>IFERROR(__xludf.DUMMYFUNCTION("""COMPUTED_VALUE"""),"https://imgur.com/a/2m6nCb5")</f>
        <v>https://imgur.com/a/2m6nCb5</v>
      </c>
    </row>
    <row r="323">
      <c r="A323" s="21" t="str">
        <f>IFERROR(__xludf.DUMMYFUNCTION("""COMPUTED_VALUE"""),"Numel")</f>
        <v>Numel</v>
      </c>
      <c r="B323" s="22" t="str">
        <f>IFERROR(__xludf.DUMMYFUNCTION("""COMPUTED_VALUE"""),"-")</f>
        <v>-</v>
      </c>
      <c r="C323" s="11" t="str">
        <f>IFERROR(__xludf.DUMMYFUNCTION("""COMPUTED_VALUE"""),"-")</f>
        <v>-</v>
      </c>
      <c r="D323" s="15" t="str">
        <f>IFERROR(__xludf.DUMMYFUNCTION("""COMPUTED_VALUE"""),"https://imgur.com/a/oweq0Ji")</f>
        <v>https://imgur.com/a/oweq0Ji</v>
      </c>
    </row>
    <row r="324">
      <c r="A324" s="21" t="str">
        <f>IFERROR(__xludf.DUMMYFUNCTION("""COMPUTED_VALUE"""),"Camerupt")</f>
        <v>Camerupt</v>
      </c>
      <c r="B324" s="22" t="str">
        <f>IFERROR(__xludf.DUMMYFUNCTION("""COMPUTED_VALUE"""),"-")</f>
        <v>-</v>
      </c>
      <c r="C324" s="11" t="str">
        <f>IFERROR(__xludf.DUMMYFUNCTION("""COMPUTED_VALUE"""),"-")</f>
        <v>-</v>
      </c>
      <c r="D324" s="15" t="str">
        <f>IFERROR(__xludf.DUMMYFUNCTION("""COMPUTED_VALUE"""),"https://imgur.com/a/a8pfzjH")</f>
        <v>https://imgur.com/a/a8pfzjH</v>
      </c>
    </row>
    <row r="325">
      <c r="A325" s="21" t="str">
        <f>IFERROR(__xludf.DUMMYFUNCTION("""COMPUTED_VALUE"""),"Torkoal")</f>
        <v>Torkoal</v>
      </c>
      <c r="B325" s="22" t="str">
        <f>IFERROR(__xludf.DUMMYFUNCTION("""COMPUTED_VALUE"""),"-")</f>
        <v>-</v>
      </c>
      <c r="C325" s="11" t="str">
        <f>IFERROR(__xludf.DUMMYFUNCTION("""COMPUTED_VALUE"""),"-")</f>
        <v>-</v>
      </c>
      <c r="D325" s="15" t="str">
        <f>IFERROR(__xludf.DUMMYFUNCTION("""COMPUTED_VALUE"""),"https://imgur.com/a/KBxrXSg")</f>
        <v>https://imgur.com/a/KBxrXSg</v>
      </c>
    </row>
    <row r="326">
      <c r="A326" s="21" t="str">
        <f>IFERROR(__xludf.DUMMYFUNCTION("""COMPUTED_VALUE"""),"Spoink")</f>
        <v>Spoink</v>
      </c>
      <c r="B326" s="22" t="str">
        <f>IFERROR(__xludf.DUMMYFUNCTION("""COMPUTED_VALUE"""),"-")</f>
        <v>-</v>
      </c>
      <c r="C326" s="11" t="str">
        <f>IFERROR(__xludf.DUMMYFUNCTION("""COMPUTED_VALUE"""),"-")</f>
        <v>-</v>
      </c>
      <c r="D326" s="15" t="str">
        <f>IFERROR(__xludf.DUMMYFUNCTION("""COMPUTED_VALUE"""),"https://imgur.com/a/TGgvFue")</f>
        <v>https://imgur.com/a/TGgvFue</v>
      </c>
    </row>
    <row r="327">
      <c r="A327" s="21" t="str">
        <f>IFERROR(__xludf.DUMMYFUNCTION("""COMPUTED_VALUE"""),"Grumpig")</f>
        <v>Grumpig</v>
      </c>
      <c r="B327" s="22" t="str">
        <f>IFERROR(__xludf.DUMMYFUNCTION("""COMPUTED_VALUE"""),"-")</f>
        <v>-</v>
      </c>
      <c r="C327" s="11" t="str">
        <f>IFERROR(__xludf.DUMMYFUNCTION("""COMPUTED_VALUE"""),"-")</f>
        <v>-</v>
      </c>
      <c r="D327" s="15" t="str">
        <f>IFERROR(__xludf.DUMMYFUNCTION("""COMPUTED_VALUE"""),"https://imgur.com/a/sL7iPRj")</f>
        <v>https://imgur.com/a/sL7iPRj</v>
      </c>
    </row>
    <row r="328">
      <c r="A328" s="21" t="str">
        <f>IFERROR(__xludf.DUMMYFUNCTION("""COMPUTED_VALUE"""),"Spinda")</f>
        <v>Spinda</v>
      </c>
      <c r="B328" s="22" t="str">
        <f>IFERROR(__xludf.DUMMYFUNCTION("""COMPUTED_VALUE"""),"-")</f>
        <v>-</v>
      </c>
      <c r="C328" s="11" t="str">
        <f>IFERROR(__xludf.DUMMYFUNCTION("""COMPUTED_VALUE"""),"-")</f>
        <v>-</v>
      </c>
      <c r="D328" s="15" t="str">
        <f>IFERROR(__xludf.DUMMYFUNCTION("""COMPUTED_VALUE"""),"https://imgur.com/a/seJsd66")</f>
        <v>https://imgur.com/a/seJsd66</v>
      </c>
    </row>
    <row r="329">
      <c r="A329" s="21" t="str">
        <f>IFERROR(__xludf.DUMMYFUNCTION("""COMPUTED_VALUE"""),"Trapinch")</f>
        <v>Trapinch</v>
      </c>
      <c r="B329" s="22" t="str">
        <f>IFERROR(__xludf.DUMMYFUNCTION("""COMPUTED_VALUE"""),"-")</f>
        <v>-</v>
      </c>
      <c r="C329" s="11" t="str">
        <f>IFERROR(__xludf.DUMMYFUNCTION("""COMPUTED_VALUE"""),"-")</f>
        <v>-</v>
      </c>
      <c r="D329" s="15" t="str">
        <f>IFERROR(__xludf.DUMMYFUNCTION("""COMPUTED_VALUE"""),"https://imgur.com/a/jDK1dA0")</f>
        <v>https://imgur.com/a/jDK1dA0</v>
      </c>
    </row>
    <row r="330">
      <c r="A330" s="21" t="str">
        <f>IFERROR(__xludf.DUMMYFUNCTION("""COMPUTED_VALUE"""),"Vibrava")</f>
        <v>Vibrava</v>
      </c>
      <c r="B330" s="22" t="str">
        <f>IFERROR(__xludf.DUMMYFUNCTION("""COMPUTED_VALUE"""),"-")</f>
        <v>-</v>
      </c>
      <c r="C330" s="11" t="str">
        <f>IFERROR(__xludf.DUMMYFUNCTION("""COMPUTED_VALUE"""),"-")</f>
        <v>-</v>
      </c>
      <c r="D330" s="15" t="str">
        <f>IFERROR(__xludf.DUMMYFUNCTION("""COMPUTED_VALUE"""),"https://imgur.com/a/OAkNAlc")</f>
        <v>https://imgur.com/a/OAkNAlc</v>
      </c>
    </row>
    <row r="331">
      <c r="A331" s="21" t="str">
        <f>IFERROR(__xludf.DUMMYFUNCTION("""COMPUTED_VALUE"""),"Flygon")</f>
        <v>Flygon</v>
      </c>
      <c r="B331" s="22" t="str">
        <f>IFERROR(__xludf.DUMMYFUNCTION("""COMPUTED_VALUE"""),"-")</f>
        <v>-</v>
      </c>
      <c r="C331" s="11" t="str">
        <f>IFERROR(__xludf.DUMMYFUNCTION("""COMPUTED_VALUE"""),"-")</f>
        <v>-</v>
      </c>
      <c r="D331" s="15" t="str">
        <f>IFERROR(__xludf.DUMMYFUNCTION("""COMPUTED_VALUE"""),"https://imgur.com/a/frxHhRk")</f>
        <v>https://imgur.com/a/frxHhRk</v>
      </c>
    </row>
    <row r="332">
      <c r="A332" s="21" t="str">
        <f>IFERROR(__xludf.DUMMYFUNCTION("""COMPUTED_VALUE"""),"Cacnea")</f>
        <v>Cacnea</v>
      </c>
      <c r="B332" s="22" t="str">
        <f>IFERROR(__xludf.DUMMYFUNCTION("""COMPUTED_VALUE"""),"-")</f>
        <v>-</v>
      </c>
      <c r="C332" s="11" t="str">
        <f>IFERROR(__xludf.DUMMYFUNCTION("""COMPUTED_VALUE"""),"-")</f>
        <v>-</v>
      </c>
      <c r="D332" s="15" t="str">
        <f>IFERROR(__xludf.DUMMYFUNCTION("""COMPUTED_VALUE"""),"https://imgur.com/a/hoA3sFt")</f>
        <v>https://imgur.com/a/hoA3sFt</v>
      </c>
    </row>
    <row r="333">
      <c r="A333" s="21" t="str">
        <f>IFERROR(__xludf.DUMMYFUNCTION("""COMPUTED_VALUE"""),"Cacturne")</f>
        <v>Cacturne</v>
      </c>
      <c r="B333" s="22" t="str">
        <f>IFERROR(__xludf.DUMMYFUNCTION("""COMPUTED_VALUE"""),"-")</f>
        <v>-</v>
      </c>
      <c r="C333" s="11" t="str">
        <f>IFERROR(__xludf.DUMMYFUNCTION("""COMPUTED_VALUE"""),"-")</f>
        <v>-</v>
      </c>
      <c r="D333" s="15" t="str">
        <f>IFERROR(__xludf.DUMMYFUNCTION("""COMPUTED_VALUE"""),"https://imgur.com/a/DRfmDZB")</f>
        <v>https://imgur.com/a/DRfmDZB</v>
      </c>
    </row>
    <row r="334">
      <c r="A334" s="21" t="str">
        <f>IFERROR(__xludf.DUMMYFUNCTION("""COMPUTED_VALUE"""),"Swablu")</f>
        <v>Swablu</v>
      </c>
      <c r="B334" s="22" t="str">
        <f>IFERROR(__xludf.DUMMYFUNCTION("""COMPUTED_VALUE"""),"-")</f>
        <v>-</v>
      </c>
      <c r="C334" s="11" t="str">
        <f>IFERROR(__xludf.DUMMYFUNCTION("""COMPUTED_VALUE"""),"-")</f>
        <v>-</v>
      </c>
      <c r="D334" s="15" t="str">
        <f>IFERROR(__xludf.DUMMYFUNCTION("""COMPUTED_VALUE"""),"https://imgur.com/a/4BU3DIw")</f>
        <v>https://imgur.com/a/4BU3DIw</v>
      </c>
    </row>
    <row r="335">
      <c r="A335" s="21" t="str">
        <f>IFERROR(__xludf.DUMMYFUNCTION("""COMPUTED_VALUE"""),"Altaria")</f>
        <v>Altaria</v>
      </c>
      <c r="B335" s="22" t="str">
        <f>IFERROR(__xludf.DUMMYFUNCTION("""COMPUTED_VALUE"""),"-")</f>
        <v>-</v>
      </c>
      <c r="C335" s="11" t="str">
        <f>IFERROR(__xludf.DUMMYFUNCTION("""COMPUTED_VALUE"""),"-")</f>
        <v>-</v>
      </c>
      <c r="D335" s="15" t="str">
        <f>IFERROR(__xludf.DUMMYFUNCTION("""COMPUTED_VALUE"""),"https://imgur.com/a/4BU3DIw")</f>
        <v>https://imgur.com/a/4BU3DIw</v>
      </c>
    </row>
    <row r="336">
      <c r="A336" s="21" t="str">
        <f>IFERROR(__xludf.DUMMYFUNCTION("""COMPUTED_VALUE"""),"Zangoose")</f>
        <v>Zangoose</v>
      </c>
      <c r="B336" s="22" t="str">
        <f>IFERROR(__xludf.DUMMYFUNCTION("""COMPUTED_VALUE"""),"-")</f>
        <v>-</v>
      </c>
      <c r="C336" s="11" t="str">
        <f>IFERROR(__xludf.DUMMYFUNCTION("""COMPUTED_VALUE"""),"-")</f>
        <v>-</v>
      </c>
      <c r="D336" s="15" t="str">
        <f>IFERROR(__xludf.DUMMYFUNCTION("""COMPUTED_VALUE"""),"https://imgur.com/a/NfMKEg7")</f>
        <v>https://imgur.com/a/NfMKEg7</v>
      </c>
    </row>
    <row r="337">
      <c r="A337" s="21" t="str">
        <f>IFERROR(__xludf.DUMMYFUNCTION("""COMPUTED_VALUE"""),"Seviper")</f>
        <v>Seviper</v>
      </c>
      <c r="B337" s="22" t="str">
        <f>IFERROR(__xludf.DUMMYFUNCTION("""COMPUTED_VALUE"""),"-")</f>
        <v>-</v>
      </c>
      <c r="C337" s="11" t="str">
        <f>IFERROR(__xludf.DUMMYFUNCTION("""COMPUTED_VALUE"""),"-")</f>
        <v>-</v>
      </c>
      <c r="D337" s="15" t="str">
        <f>IFERROR(__xludf.DUMMYFUNCTION("""COMPUTED_VALUE"""),"https://imgur.com/a/l3lliRe")</f>
        <v>https://imgur.com/a/l3lliRe</v>
      </c>
    </row>
    <row r="338">
      <c r="A338" s="21" t="str">
        <f>IFERROR(__xludf.DUMMYFUNCTION("""COMPUTED_VALUE"""),"Lunatone")</f>
        <v>Lunatone</v>
      </c>
      <c r="B338" s="22" t="str">
        <f>IFERROR(__xludf.DUMMYFUNCTION("""COMPUTED_VALUE"""),"-")</f>
        <v>-</v>
      </c>
      <c r="C338" s="11" t="str">
        <f>IFERROR(__xludf.DUMMYFUNCTION("""COMPUTED_VALUE"""),"-")</f>
        <v>-</v>
      </c>
      <c r="D338" s="15" t="str">
        <f>IFERROR(__xludf.DUMMYFUNCTION("""COMPUTED_VALUE"""),"https://imgur.com/a/NUmiPTH")</f>
        <v>https://imgur.com/a/NUmiPTH</v>
      </c>
    </row>
    <row r="339">
      <c r="A339" s="21" t="str">
        <f>IFERROR(__xludf.DUMMYFUNCTION("""COMPUTED_VALUE"""),"Solrock")</f>
        <v>Solrock</v>
      </c>
      <c r="B339" s="22" t="str">
        <f>IFERROR(__xludf.DUMMYFUNCTION("""COMPUTED_VALUE"""),"-")</f>
        <v>-</v>
      </c>
      <c r="C339" s="11" t="str">
        <f>IFERROR(__xludf.DUMMYFUNCTION("""COMPUTED_VALUE"""),"-")</f>
        <v>-</v>
      </c>
      <c r="D339" s="15" t="str">
        <f>IFERROR(__xludf.DUMMYFUNCTION("""COMPUTED_VALUE"""),"https://imgur.com/a/eWSLlta")</f>
        <v>https://imgur.com/a/eWSLlta</v>
      </c>
    </row>
    <row r="340">
      <c r="A340" s="21" t="str">
        <f>IFERROR(__xludf.DUMMYFUNCTION("""COMPUTED_VALUE"""),"Barboach")</f>
        <v>Barboach</v>
      </c>
      <c r="B340" s="22" t="str">
        <f>IFERROR(__xludf.DUMMYFUNCTION("""COMPUTED_VALUE"""),"-")</f>
        <v>-</v>
      </c>
      <c r="C340" s="11" t="str">
        <f>IFERROR(__xludf.DUMMYFUNCTION("""COMPUTED_VALUE"""),"-")</f>
        <v>-</v>
      </c>
      <c r="D340" s="15" t="str">
        <f>IFERROR(__xludf.DUMMYFUNCTION("""COMPUTED_VALUE"""),"https://imgur.com/a/pCVvQWa")</f>
        <v>https://imgur.com/a/pCVvQWa</v>
      </c>
    </row>
    <row r="341">
      <c r="A341" s="21" t="str">
        <f>IFERROR(__xludf.DUMMYFUNCTION("""COMPUTED_VALUE"""),"Whiscash")</f>
        <v>Whiscash</v>
      </c>
      <c r="B341" s="22" t="str">
        <f>IFERROR(__xludf.DUMMYFUNCTION("""COMPUTED_VALUE"""),"-")</f>
        <v>-</v>
      </c>
      <c r="C341" s="11" t="str">
        <f>IFERROR(__xludf.DUMMYFUNCTION("""COMPUTED_VALUE"""),"-")</f>
        <v>-</v>
      </c>
      <c r="D341" s="15" t="str">
        <f>IFERROR(__xludf.DUMMYFUNCTION("""COMPUTED_VALUE"""),"https://imgur.com/a/AfWRHhd")</f>
        <v>https://imgur.com/a/AfWRHhd</v>
      </c>
    </row>
    <row r="342">
      <c r="A342" s="21" t="str">
        <f>IFERROR(__xludf.DUMMYFUNCTION("""COMPUTED_VALUE"""),"Corphish")</f>
        <v>Corphish</v>
      </c>
      <c r="B342" s="22" t="str">
        <f>IFERROR(__xludf.DUMMYFUNCTION("""COMPUTED_VALUE"""),"-")</f>
        <v>-</v>
      </c>
      <c r="C342" s="11" t="str">
        <f>IFERROR(__xludf.DUMMYFUNCTION("""COMPUTED_VALUE"""),"-")</f>
        <v>-</v>
      </c>
      <c r="D342" s="15" t="str">
        <f>IFERROR(__xludf.DUMMYFUNCTION("""COMPUTED_VALUE"""),"https://imgur.com/a/5Ljg7sC")</f>
        <v>https://imgur.com/a/5Ljg7sC</v>
      </c>
    </row>
    <row r="343">
      <c r="A343" s="21" t="str">
        <f>IFERROR(__xludf.DUMMYFUNCTION("""COMPUTED_VALUE"""),"Crawdaunt")</f>
        <v>Crawdaunt</v>
      </c>
      <c r="B343" s="22" t="str">
        <f>IFERROR(__xludf.DUMMYFUNCTION("""COMPUTED_VALUE"""),"-")</f>
        <v>-</v>
      </c>
      <c r="C343" s="11" t="str">
        <f>IFERROR(__xludf.DUMMYFUNCTION("""COMPUTED_VALUE"""),"-")</f>
        <v>-</v>
      </c>
      <c r="D343" s="15" t="str">
        <f>IFERROR(__xludf.DUMMYFUNCTION("""COMPUTED_VALUE"""),"https://imgur.com/a/5Ljg7sC")</f>
        <v>https://imgur.com/a/5Ljg7sC</v>
      </c>
    </row>
    <row r="344">
      <c r="A344" s="21" t="str">
        <f>IFERROR(__xludf.DUMMYFUNCTION("""COMPUTED_VALUE"""),"Baltoy")</f>
        <v>Baltoy</v>
      </c>
      <c r="B344" s="22" t="str">
        <f>IFERROR(__xludf.DUMMYFUNCTION("""COMPUTED_VALUE"""),"-")</f>
        <v>-</v>
      </c>
      <c r="C344" s="11" t="str">
        <f>IFERROR(__xludf.DUMMYFUNCTION("""COMPUTED_VALUE"""),"-")</f>
        <v>-</v>
      </c>
      <c r="D344" s="15" t="str">
        <f>IFERROR(__xludf.DUMMYFUNCTION("""COMPUTED_VALUE"""),"https://imgur.com/a/8EPyq93")</f>
        <v>https://imgur.com/a/8EPyq93</v>
      </c>
    </row>
    <row r="345">
      <c r="A345" s="21" t="str">
        <f>IFERROR(__xludf.DUMMYFUNCTION("""COMPUTED_VALUE"""),"Claydol")</f>
        <v>Claydol</v>
      </c>
      <c r="B345" s="22" t="str">
        <f>IFERROR(__xludf.DUMMYFUNCTION("""COMPUTED_VALUE"""),"-")</f>
        <v>-</v>
      </c>
      <c r="C345" s="11" t="str">
        <f>IFERROR(__xludf.DUMMYFUNCTION("""COMPUTED_VALUE"""),"-")</f>
        <v>-</v>
      </c>
      <c r="D345" s="15" t="str">
        <f>IFERROR(__xludf.DUMMYFUNCTION("""COMPUTED_VALUE"""),"https://imgur.com/a/FaZB45d")</f>
        <v>https://imgur.com/a/FaZB45d</v>
      </c>
    </row>
    <row r="346">
      <c r="A346" s="21" t="str">
        <f>IFERROR(__xludf.DUMMYFUNCTION("""COMPUTED_VALUE"""),"Lileep")</f>
        <v>Lileep</v>
      </c>
      <c r="B346" s="22" t="str">
        <f>IFERROR(__xludf.DUMMYFUNCTION("""COMPUTED_VALUE"""),"-")</f>
        <v>-</v>
      </c>
      <c r="C346" s="11" t="str">
        <f>IFERROR(__xludf.DUMMYFUNCTION("""COMPUTED_VALUE"""),"-")</f>
        <v>-</v>
      </c>
      <c r="D346" s="11" t="str">
        <f>IFERROR(__xludf.DUMMYFUNCTION("""COMPUTED_VALUE"""),"-")</f>
        <v>-</v>
      </c>
    </row>
    <row r="347">
      <c r="A347" s="21" t="str">
        <f>IFERROR(__xludf.DUMMYFUNCTION("""COMPUTED_VALUE"""),"Cradily")</f>
        <v>Cradily</v>
      </c>
      <c r="B347" s="22" t="str">
        <f>IFERROR(__xludf.DUMMYFUNCTION("""COMPUTED_VALUE"""),"-")</f>
        <v>-</v>
      </c>
      <c r="C347" s="11" t="str">
        <f>IFERROR(__xludf.DUMMYFUNCTION("""COMPUTED_VALUE"""),"-")</f>
        <v>-</v>
      </c>
      <c r="D347" s="15" t="str">
        <f>IFERROR(__xludf.DUMMYFUNCTION("""COMPUTED_VALUE"""),"https://imgur.com/a/zziX3N4")</f>
        <v>https://imgur.com/a/zziX3N4</v>
      </c>
    </row>
    <row r="348">
      <c r="A348" s="21" t="str">
        <f>IFERROR(__xludf.DUMMYFUNCTION("""COMPUTED_VALUE"""),"Anorith")</f>
        <v>Anorith</v>
      </c>
      <c r="B348" s="22" t="str">
        <f>IFERROR(__xludf.DUMMYFUNCTION("""COMPUTED_VALUE"""),"-")</f>
        <v>-</v>
      </c>
      <c r="C348" s="11" t="str">
        <f>IFERROR(__xludf.DUMMYFUNCTION("""COMPUTED_VALUE"""),"-")</f>
        <v>-</v>
      </c>
      <c r="D348" s="15" t="str">
        <f>IFERROR(__xludf.DUMMYFUNCTION("""COMPUTED_VALUE"""),"https://imgur.com/a/xG6MiHI")</f>
        <v>https://imgur.com/a/xG6MiHI</v>
      </c>
    </row>
    <row r="349">
      <c r="A349" s="21" t="str">
        <f>IFERROR(__xludf.DUMMYFUNCTION("""COMPUTED_VALUE"""),"Armaldo")</f>
        <v>Armaldo</v>
      </c>
      <c r="B349" s="22" t="str">
        <f>IFERROR(__xludf.DUMMYFUNCTION("""COMPUTED_VALUE"""),"-")</f>
        <v>-</v>
      </c>
      <c r="C349" s="11" t="str">
        <f>IFERROR(__xludf.DUMMYFUNCTION("""COMPUTED_VALUE"""),"-")</f>
        <v>-</v>
      </c>
      <c r="D349" s="15" t="str">
        <f>IFERROR(__xludf.DUMMYFUNCTION("""COMPUTED_VALUE"""),"https://imgur.com/a/xG6MiHI")</f>
        <v>https://imgur.com/a/xG6MiHI</v>
      </c>
    </row>
    <row r="350">
      <c r="A350" s="21" t="str">
        <f>IFERROR(__xludf.DUMMYFUNCTION("""COMPUTED_VALUE"""),"Feebas")</f>
        <v>Feebas</v>
      </c>
      <c r="B350" s="22" t="str">
        <f>IFERROR(__xludf.DUMMYFUNCTION("""COMPUTED_VALUE"""),"-")</f>
        <v>-</v>
      </c>
      <c r="C350" s="11" t="str">
        <f>IFERROR(__xludf.DUMMYFUNCTION("""COMPUTED_VALUE"""),"-")</f>
        <v>-</v>
      </c>
      <c r="D350" s="15" t="str">
        <f>IFERROR(__xludf.DUMMYFUNCTION("""COMPUTED_VALUE"""),"https://imgur.com/a/4Ovdko8")</f>
        <v>https://imgur.com/a/4Ovdko8</v>
      </c>
    </row>
    <row r="351">
      <c r="A351" s="21" t="str">
        <f>IFERROR(__xludf.DUMMYFUNCTION("""COMPUTED_VALUE"""),"Milotic")</f>
        <v>Milotic</v>
      </c>
      <c r="B351" s="22" t="str">
        <f>IFERROR(__xludf.DUMMYFUNCTION("""COMPUTED_VALUE"""),"-")</f>
        <v>-</v>
      </c>
      <c r="C351" s="11" t="str">
        <f>IFERROR(__xludf.DUMMYFUNCTION("""COMPUTED_VALUE"""),"-")</f>
        <v>-</v>
      </c>
      <c r="D351" s="15" t="str">
        <f>IFERROR(__xludf.DUMMYFUNCTION("""COMPUTED_VALUE"""),"https://imgur.com/a/4Ovdko8")</f>
        <v>https://imgur.com/a/4Ovdko8</v>
      </c>
    </row>
    <row r="352">
      <c r="A352" s="21" t="str">
        <f>IFERROR(__xludf.DUMMYFUNCTION("""COMPUTED_VALUE"""),"Castform")</f>
        <v>Castform</v>
      </c>
      <c r="B352" s="22" t="str">
        <f>IFERROR(__xludf.DUMMYFUNCTION("""COMPUTED_VALUE"""),"-")</f>
        <v>-</v>
      </c>
      <c r="C352" s="11" t="str">
        <f>IFERROR(__xludf.DUMMYFUNCTION("""COMPUTED_VALUE"""),"-")</f>
        <v>-</v>
      </c>
      <c r="D352" s="15" t="str">
        <f>IFERROR(__xludf.DUMMYFUNCTION("""COMPUTED_VALUE"""),"https://imgur.com/a/Ts9I3R9")</f>
        <v>https://imgur.com/a/Ts9I3R9</v>
      </c>
    </row>
    <row r="353">
      <c r="A353" s="21" t="str">
        <f>IFERROR(__xludf.DUMMYFUNCTION("""COMPUTED_VALUE"""),"Kecleon")</f>
        <v>Kecleon</v>
      </c>
      <c r="B353" s="22" t="str">
        <f>IFERROR(__xludf.DUMMYFUNCTION("""COMPUTED_VALUE"""),"-")</f>
        <v>-</v>
      </c>
      <c r="C353" s="11" t="str">
        <f>IFERROR(__xludf.DUMMYFUNCTION("""COMPUTED_VALUE"""),"-")</f>
        <v>-</v>
      </c>
      <c r="D353" s="15" t="str">
        <f>IFERROR(__xludf.DUMMYFUNCTION("""COMPUTED_VALUE"""),"https://imgur.com/a/8sxx7sN")</f>
        <v>https://imgur.com/a/8sxx7sN</v>
      </c>
    </row>
    <row r="354">
      <c r="A354" s="21" t="str">
        <f>IFERROR(__xludf.DUMMYFUNCTION("""COMPUTED_VALUE"""),"Shuppet")</f>
        <v>Shuppet</v>
      </c>
      <c r="B354" s="22" t="str">
        <f>IFERROR(__xludf.DUMMYFUNCTION("""COMPUTED_VALUE"""),"-")</f>
        <v>-</v>
      </c>
      <c r="C354" s="11" t="str">
        <f>IFERROR(__xludf.DUMMYFUNCTION("""COMPUTED_VALUE"""),"-")</f>
        <v>-</v>
      </c>
      <c r="D354" s="15" t="str">
        <f>IFERROR(__xludf.DUMMYFUNCTION("""COMPUTED_VALUE"""),"https://imgur.com/a/OahinY3")</f>
        <v>https://imgur.com/a/OahinY3</v>
      </c>
    </row>
    <row r="355">
      <c r="A355" s="21" t="str">
        <f>IFERROR(__xludf.DUMMYFUNCTION("""COMPUTED_VALUE"""),"Banette")</f>
        <v>Banette</v>
      </c>
      <c r="B355" s="22" t="str">
        <f>IFERROR(__xludf.DUMMYFUNCTION("""COMPUTED_VALUE"""),"-")</f>
        <v>-</v>
      </c>
      <c r="C355" s="11" t="str">
        <f>IFERROR(__xludf.DUMMYFUNCTION("""COMPUTED_VALUE"""),"-")</f>
        <v>-</v>
      </c>
      <c r="D355" s="15" t="str">
        <f>IFERROR(__xludf.DUMMYFUNCTION("""COMPUTED_VALUE"""),"https://imgur.com/a/JL6EoDR")</f>
        <v>https://imgur.com/a/JL6EoDR</v>
      </c>
    </row>
    <row r="356">
      <c r="A356" s="21" t="str">
        <f>IFERROR(__xludf.DUMMYFUNCTION("""COMPUTED_VALUE"""),"Duskull")</f>
        <v>Duskull</v>
      </c>
      <c r="B356" s="22" t="str">
        <f>IFERROR(__xludf.DUMMYFUNCTION("""COMPUTED_VALUE"""),"-")</f>
        <v>-</v>
      </c>
      <c r="C356" s="11" t="str">
        <f>IFERROR(__xludf.DUMMYFUNCTION("""COMPUTED_VALUE"""),"-")</f>
        <v>-</v>
      </c>
      <c r="D356" s="15" t="str">
        <f>IFERROR(__xludf.DUMMYFUNCTION("""COMPUTED_VALUE"""),"https://imgur.com/a/S4yJs5f")</f>
        <v>https://imgur.com/a/S4yJs5f</v>
      </c>
    </row>
    <row r="357">
      <c r="A357" s="21" t="str">
        <f>IFERROR(__xludf.DUMMYFUNCTION("""COMPUTED_VALUE"""),"Dusclops")</f>
        <v>Dusclops</v>
      </c>
      <c r="B357" s="22" t="str">
        <f>IFERROR(__xludf.DUMMYFUNCTION("""COMPUTED_VALUE"""),"-")</f>
        <v>-</v>
      </c>
      <c r="C357" s="11" t="str">
        <f>IFERROR(__xludf.DUMMYFUNCTION("""COMPUTED_VALUE"""),"-")</f>
        <v>-</v>
      </c>
      <c r="D357" s="15" t="str">
        <f>IFERROR(__xludf.DUMMYFUNCTION("""COMPUTED_VALUE"""),"https://imgur.com/a/625I8kI")</f>
        <v>https://imgur.com/a/625I8kI</v>
      </c>
    </row>
    <row r="358">
      <c r="A358" s="21" t="str">
        <f>IFERROR(__xludf.DUMMYFUNCTION("""COMPUTED_VALUE"""),"Tropius")</f>
        <v>Tropius</v>
      </c>
      <c r="B358" s="22" t="str">
        <f>IFERROR(__xludf.DUMMYFUNCTION("""COMPUTED_VALUE"""),"-")</f>
        <v>-</v>
      </c>
      <c r="C358" s="11" t="str">
        <f>IFERROR(__xludf.DUMMYFUNCTION("""COMPUTED_VALUE"""),"-")</f>
        <v>-</v>
      </c>
      <c r="D358" s="15" t="str">
        <f>IFERROR(__xludf.DUMMYFUNCTION("""COMPUTED_VALUE"""),"https://imgur.com/a/9vbSqES")</f>
        <v>https://imgur.com/a/9vbSqES</v>
      </c>
    </row>
    <row r="359">
      <c r="A359" s="21" t="str">
        <f>IFERROR(__xludf.DUMMYFUNCTION("""COMPUTED_VALUE"""),"Chimecho")</f>
        <v>Chimecho</v>
      </c>
      <c r="B359" s="22" t="str">
        <f>IFERROR(__xludf.DUMMYFUNCTION("""COMPUTED_VALUE"""),"-")</f>
        <v>-</v>
      </c>
      <c r="C359" s="11" t="str">
        <f>IFERROR(__xludf.DUMMYFUNCTION("""COMPUTED_VALUE"""),"-")</f>
        <v>-</v>
      </c>
      <c r="D359" s="15" t="str">
        <f>IFERROR(__xludf.DUMMYFUNCTION("""COMPUTED_VALUE"""),"https://imgur.com/a/SGKMzoy")</f>
        <v>https://imgur.com/a/SGKMzoy</v>
      </c>
    </row>
    <row r="360">
      <c r="A360" s="21" t="str">
        <f>IFERROR(__xludf.DUMMYFUNCTION("""COMPUTED_VALUE"""),"Absol")</f>
        <v>Absol</v>
      </c>
      <c r="B360" s="22" t="str">
        <f>IFERROR(__xludf.DUMMYFUNCTION("""COMPUTED_VALUE"""),"-")</f>
        <v>-</v>
      </c>
      <c r="C360" s="11" t="str">
        <f>IFERROR(__xludf.DUMMYFUNCTION("""COMPUTED_VALUE"""),"-")</f>
        <v>-</v>
      </c>
      <c r="D360" s="15" t="str">
        <f>IFERROR(__xludf.DUMMYFUNCTION("""COMPUTED_VALUE"""),"https://imgur.com/a/bKY4IH1")</f>
        <v>https://imgur.com/a/bKY4IH1</v>
      </c>
    </row>
    <row r="361">
      <c r="A361" s="21" t="str">
        <f>IFERROR(__xludf.DUMMYFUNCTION("""COMPUTED_VALUE"""),"Wynaut")</f>
        <v>Wynaut</v>
      </c>
      <c r="B361" s="22" t="str">
        <f>IFERROR(__xludf.DUMMYFUNCTION("""COMPUTED_VALUE"""),"-")</f>
        <v>-</v>
      </c>
      <c r="C361" s="11" t="str">
        <f>IFERROR(__xludf.DUMMYFUNCTION("""COMPUTED_VALUE"""),"-")</f>
        <v>-</v>
      </c>
      <c r="D361" s="15" t="str">
        <f>IFERROR(__xludf.DUMMYFUNCTION("""COMPUTED_VALUE"""),"https://imgur.com/a/P3Yij7o")</f>
        <v>https://imgur.com/a/P3Yij7o</v>
      </c>
    </row>
    <row r="362">
      <c r="A362" s="21" t="str">
        <f>IFERROR(__xludf.DUMMYFUNCTION("""COMPUTED_VALUE"""),"Snorunt")</f>
        <v>Snorunt</v>
      </c>
      <c r="B362" s="22" t="str">
        <f>IFERROR(__xludf.DUMMYFUNCTION("""COMPUTED_VALUE"""),"-")</f>
        <v>-</v>
      </c>
      <c r="C362" s="11" t="str">
        <f>IFERROR(__xludf.DUMMYFUNCTION("""COMPUTED_VALUE"""),"-")</f>
        <v>-</v>
      </c>
      <c r="D362" s="15" t="str">
        <f>IFERROR(__xludf.DUMMYFUNCTION("""COMPUTED_VALUE"""),"https://imgur.com/a/zoIbYgW")</f>
        <v>https://imgur.com/a/zoIbYgW</v>
      </c>
    </row>
    <row r="363">
      <c r="A363" s="21" t="str">
        <f>IFERROR(__xludf.DUMMYFUNCTION("""COMPUTED_VALUE"""),"Glalie")</f>
        <v>Glalie</v>
      </c>
      <c r="B363" s="22" t="str">
        <f>IFERROR(__xludf.DUMMYFUNCTION("""COMPUTED_VALUE"""),"-")</f>
        <v>-</v>
      </c>
      <c r="C363" s="11" t="str">
        <f>IFERROR(__xludf.DUMMYFUNCTION("""COMPUTED_VALUE"""),"-")</f>
        <v>-</v>
      </c>
      <c r="D363" s="15" t="str">
        <f>IFERROR(__xludf.DUMMYFUNCTION("""COMPUTED_VALUE"""),"https://imgur.com/a/zeIeMhU")</f>
        <v>https://imgur.com/a/zeIeMhU</v>
      </c>
    </row>
    <row r="364">
      <c r="A364" s="21" t="str">
        <f>IFERROR(__xludf.DUMMYFUNCTION("""COMPUTED_VALUE"""),"Spheal")</f>
        <v>Spheal</v>
      </c>
      <c r="B364" s="22" t="str">
        <f>IFERROR(__xludf.DUMMYFUNCTION("""COMPUTED_VALUE"""),"-")</f>
        <v>-</v>
      </c>
      <c r="C364" s="11" t="str">
        <f>IFERROR(__xludf.DUMMYFUNCTION("""COMPUTED_VALUE"""),"-")</f>
        <v>-</v>
      </c>
      <c r="D364" s="11"/>
    </row>
    <row r="365">
      <c r="A365" s="21" t="str">
        <f>IFERROR(__xludf.DUMMYFUNCTION("""COMPUTED_VALUE"""),"Sealeo")</f>
        <v>Sealeo</v>
      </c>
      <c r="B365" s="22" t="str">
        <f>IFERROR(__xludf.DUMMYFUNCTION("""COMPUTED_VALUE"""),"-")</f>
        <v>-</v>
      </c>
      <c r="C365" s="11" t="str">
        <f>IFERROR(__xludf.DUMMYFUNCTION("""COMPUTED_VALUE"""),"-")</f>
        <v>-</v>
      </c>
      <c r="D365" s="11"/>
    </row>
    <row r="366">
      <c r="A366" s="21" t="str">
        <f>IFERROR(__xludf.DUMMYFUNCTION("""COMPUTED_VALUE"""),"Walrein")</f>
        <v>Walrein</v>
      </c>
      <c r="B366" s="22" t="str">
        <f>IFERROR(__xludf.DUMMYFUNCTION("""COMPUTED_VALUE"""),"-")</f>
        <v>-</v>
      </c>
      <c r="C366" s="11" t="str">
        <f>IFERROR(__xludf.DUMMYFUNCTION("""COMPUTED_VALUE"""),"-")</f>
        <v>-</v>
      </c>
      <c r="D366" s="15" t="str">
        <f>IFERROR(__xludf.DUMMYFUNCTION("""COMPUTED_VALUE"""),"https://imgur.com/a/MtwwL6b")</f>
        <v>https://imgur.com/a/MtwwL6b</v>
      </c>
    </row>
    <row r="367">
      <c r="A367" s="21" t="str">
        <f>IFERROR(__xludf.DUMMYFUNCTION("""COMPUTED_VALUE"""),"Clamperl")</f>
        <v>Clamperl</v>
      </c>
      <c r="B367" s="22" t="str">
        <f>IFERROR(__xludf.DUMMYFUNCTION("""COMPUTED_VALUE"""),"-")</f>
        <v>-</v>
      </c>
      <c r="C367" s="11" t="str">
        <f>IFERROR(__xludf.DUMMYFUNCTION("""COMPUTED_VALUE"""),"-")</f>
        <v>-</v>
      </c>
      <c r="D367" s="15" t="str">
        <f>IFERROR(__xludf.DUMMYFUNCTION("""COMPUTED_VALUE"""),"https://imgur.com/a/3by4nDT")</f>
        <v>https://imgur.com/a/3by4nDT</v>
      </c>
    </row>
    <row r="368">
      <c r="A368" s="21" t="str">
        <f>IFERROR(__xludf.DUMMYFUNCTION("""COMPUTED_VALUE"""),"Huntail")</f>
        <v>Huntail</v>
      </c>
      <c r="B368" s="22" t="str">
        <f>IFERROR(__xludf.DUMMYFUNCTION("""COMPUTED_VALUE"""),"-")</f>
        <v>-</v>
      </c>
      <c r="C368" s="11" t="str">
        <f>IFERROR(__xludf.DUMMYFUNCTION("""COMPUTED_VALUE"""),"-")</f>
        <v>-</v>
      </c>
      <c r="D368" s="15" t="str">
        <f>IFERROR(__xludf.DUMMYFUNCTION("""COMPUTED_VALUE"""),"https://imgur.com/a/xi7IxsL")</f>
        <v>https://imgur.com/a/xi7IxsL</v>
      </c>
    </row>
    <row r="369">
      <c r="A369" s="21" t="str">
        <f>IFERROR(__xludf.DUMMYFUNCTION("""COMPUTED_VALUE"""),"Gorebyss")</f>
        <v>Gorebyss</v>
      </c>
      <c r="B369" s="22" t="str">
        <f>IFERROR(__xludf.DUMMYFUNCTION("""COMPUTED_VALUE"""),"-")</f>
        <v>-</v>
      </c>
      <c r="C369" s="11" t="str">
        <f>IFERROR(__xludf.DUMMYFUNCTION("""COMPUTED_VALUE"""),"-")</f>
        <v>-</v>
      </c>
      <c r="D369" s="15" t="str">
        <f>IFERROR(__xludf.DUMMYFUNCTION("""COMPUTED_VALUE"""),"https://imgur.com/a/dtnPZxU")</f>
        <v>https://imgur.com/a/dtnPZxU</v>
      </c>
    </row>
    <row r="370">
      <c r="A370" s="21" t="str">
        <f>IFERROR(__xludf.DUMMYFUNCTION("""COMPUTED_VALUE"""),"Relicanth")</f>
        <v>Relicanth</v>
      </c>
      <c r="B370" s="22" t="str">
        <f>IFERROR(__xludf.DUMMYFUNCTION("""COMPUTED_VALUE"""),"-")</f>
        <v>-</v>
      </c>
      <c r="C370" s="11" t="str">
        <f>IFERROR(__xludf.DUMMYFUNCTION("""COMPUTED_VALUE"""),"-")</f>
        <v>-</v>
      </c>
      <c r="D370" s="15" t="str">
        <f>IFERROR(__xludf.DUMMYFUNCTION("""COMPUTED_VALUE"""),"https://imgur.com/a/RVcmBFH")</f>
        <v>https://imgur.com/a/RVcmBFH</v>
      </c>
    </row>
    <row r="371">
      <c r="A371" s="21" t="str">
        <f>IFERROR(__xludf.DUMMYFUNCTION("""COMPUTED_VALUE"""),"Luvdisc")</f>
        <v>Luvdisc</v>
      </c>
      <c r="B371" s="22" t="str">
        <f>IFERROR(__xludf.DUMMYFUNCTION("""COMPUTED_VALUE"""),"-")</f>
        <v>-</v>
      </c>
      <c r="C371" s="11" t="str">
        <f>IFERROR(__xludf.DUMMYFUNCTION("""COMPUTED_VALUE"""),"-")</f>
        <v>-</v>
      </c>
      <c r="D371" s="15" t="str">
        <f>IFERROR(__xludf.DUMMYFUNCTION("""COMPUTED_VALUE"""),"https://imgur.com/a/HpHEs6t")</f>
        <v>https://imgur.com/a/HpHEs6t</v>
      </c>
    </row>
    <row r="372">
      <c r="A372" s="21" t="str">
        <f>IFERROR(__xludf.DUMMYFUNCTION("""COMPUTED_VALUE"""),"Bagon")</f>
        <v>Bagon</v>
      </c>
      <c r="B372" s="22" t="str">
        <f>IFERROR(__xludf.DUMMYFUNCTION("""COMPUTED_VALUE"""),"-")</f>
        <v>-</v>
      </c>
      <c r="C372" s="11" t="str">
        <f>IFERROR(__xludf.DUMMYFUNCTION("""COMPUTED_VALUE"""),"-")</f>
        <v>-</v>
      </c>
      <c r="D372" s="15" t="str">
        <f>IFERROR(__xludf.DUMMYFUNCTION("""COMPUTED_VALUE"""),"https://imgur.com/a/JWeTEEf")</f>
        <v>https://imgur.com/a/JWeTEEf</v>
      </c>
    </row>
    <row r="373">
      <c r="A373" s="21" t="str">
        <f>IFERROR(__xludf.DUMMYFUNCTION("""COMPUTED_VALUE"""),"Shelgon")</f>
        <v>Shelgon</v>
      </c>
      <c r="B373" s="22" t="str">
        <f>IFERROR(__xludf.DUMMYFUNCTION("""COMPUTED_VALUE"""),"-")</f>
        <v>-</v>
      </c>
      <c r="C373" s="11" t="str">
        <f>IFERROR(__xludf.DUMMYFUNCTION("""COMPUTED_VALUE"""),"-")</f>
        <v>-</v>
      </c>
      <c r="D373" s="15" t="str">
        <f>IFERROR(__xludf.DUMMYFUNCTION("""COMPUTED_VALUE"""),"https://imgur.com/a/x6vRELh")</f>
        <v>https://imgur.com/a/x6vRELh</v>
      </c>
    </row>
    <row r="374">
      <c r="A374" s="21" t="str">
        <f>IFERROR(__xludf.DUMMYFUNCTION("""COMPUTED_VALUE"""),"Salamence")</f>
        <v>Salamence</v>
      </c>
      <c r="B374" s="22" t="str">
        <f>IFERROR(__xludf.DUMMYFUNCTION("""COMPUTED_VALUE"""),"-")</f>
        <v>-</v>
      </c>
      <c r="C374" s="11" t="str">
        <f>IFERROR(__xludf.DUMMYFUNCTION("""COMPUTED_VALUE"""),"-")</f>
        <v>-</v>
      </c>
      <c r="D374" s="15" t="str">
        <f>IFERROR(__xludf.DUMMYFUNCTION("""COMPUTED_VALUE"""),"https://imgur.com/a/c60bAOF")</f>
        <v>https://imgur.com/a/c60bAOF</v>
      </c>
    </row>
    <row r="375">
      <c r="A375" s="21" t="str">
        <f>IFERROR(__xludf.DUMMYFUNCTION("""COMPUTED_VALUE"""),"Beldum")</f>
        <v>Beldum</v>
      </c>
      <c r="B375" s="22" t="str">
        <f>IFERROR(__xludf.DUMMYFUNCTION("""COMPUTED_VALUE"""),"-")</f>
        <v>-</v>
      </c>
      <c r="C375" s="11" t="str">
        <f>IFERROR(__xludf.DUMMYFUNCTION("""COMPUTED_VALUE"""),"-")</f>
        <v>-</v>
      </c>
      <c r="D375" s="15" t="str">
        <f>IFERROR(__xludf.DUMMYFUNCTION("""COMPUTED_VALUE"""),"https://imgur.com/a/rQJH8mB")</f>
        <v>https://imgur.com/a/rQJH8mB</v>
      </c>
    </row>
    <row r="376">
      <c r="A376" s="21" t="str">
        <f>IFERROR(__xludf.DUMMYFUNCTION("""COMPUTED_VALUE"""),"Metang")</f>
        <v>Metang</v>
      </c>
      <c r="B376" s="22" t="str">
        <f>IFERROR(__xludf.DUMMYFUNCTION("""COMPUTED_VALUE"""),"-")</f>
        <v>-</v>
      </c>
      <c r="C376" s="11" t="str">
        <f>IFERROR(__xludf.DUMMYFUNCTION("""COMPUTED_VALUE"""),"-")</f>
        <v>-</v>
      </c>
      <c r="D376" s="15" t="str">
        <f>IFERROR(__xludf.DUMMYFUNCTION("""COMPUTED_VALUE"""),"https://imgur.com/a/rQJH8mB")</f>
        <v>https://imgur.com/a/rQJH8mB</v>
      </c>
    </row>
    <row r="377">
      <c r="A377" s="21" t="str">
        <f>IFERROR(__xludf.DUMMYFUNCTION("""COMPUTED_VALUE"""),"Metagross")</f>
        <v>Metagross</v>
      </c>
      <c r="B377" s="22" t="str">
        <f>IFERROR(__xludf.DUMMYFUNCTION("""COMPUTED_VALUE"""),"-")</f>
        <v>-</v>
      </c>
      <c r="C377" s="11" t="str">
        <f>IFERROR(__xludf.DUMMYFUNCTION("""COMPUTED_VALUE"""),"-")</f>
        <v>-</v>
      </c>
      <c r="D377" s="15" t="str">
        <f>IFERROR(__xludf.DUMMYFUNCTION("""COMPUTED_VALUE"""),"https://imgur.com/a/rQJH8mB")</f>
        <v>https://imgur.com/a/rQJH8mB</v>
      </c>
    </row>
    <row r="378">
      <c r="A378" s="21" t="str">
        <f>IFERROR(__xludf.DUMMYFUNCTION("""COMPUTED_VALUE"""),"Regirock")</f>
        <v>Regirock</v>
      </c>
      <c r="B378" s="22" t="str">
        <f>IFERROR(__xludf.DUMMYFUNCTION("""COMPUTED_VALUE"""),"-")</f>
        <v>-</v>
      </c>
      <c r="C378" s="11" t="str">
        <f>IFERROR(__xludf.DUMMYFUNCTION("""COMPUTED_VALUE"""),"-")</f>
        <v>-</v>
      </c>
      <c r="D378" s="11" t="str">
        <f>IFERROR(__xludf.DUMMYFUNCTION("""COMPUTED_VALUE"""),"-")</f>
        <v>-</v>
      </c>
    </row>
    <row r="379">
      <c r="A379" s="21" t="str">
        <f>IFERROR(__xludf.DUMMYFUNCTION("""COMPUTED_VALUE"""),"Regice")</f>
        <v>Regice</v>
      </c>
      <c r="B379" s="22" t="str">
        <f>IFERROR(__xludf.DUMMYFUNCTION("""COMPUTED_VALUE"""),"-")</f>
        <v>-</v>
      </c>
      <c r="C379" s="11" t="str">
        <f>IFERROR(__xludf.DUMMYFUNCTION("""COMPUTED_VALUE"""),"-")</f>
        <v>-</v>
      </c>
      <c r="D379" s="11" t="str">
        <f>IFERROR(__xludf.DUMMYFUNCTION("""COMPUTED_VALUE"""),"-")</f>
        <v>-</v>
      </c>
    </row>
    <row r="380">
      <c r="A380" s="21" t="str">
        <f>IFERROR(__xludf.DUMMYFUNCTION("""COMPUTED_VALUE"""),"Registeel")</f>
        <v>Registeel</v>
      </c>
      <c r="B380" s="22" t="str">
        <f>IFERROR(__xludf.DUMMYFUNCTION("""COMPUTED_VALUE"""),"-")</f>
        <v>-</v>
      </c>
      <c r="C380" s="11" t="str">
        <f>IFERROR(__xludf.DUMMYFUNCTION("""COMPUTED_VALUE"""),"-")</f>
        <v>-</v>
      </c>
      <c r="D380" s="11" t="str">
        <f>IFERROR(__xludf.DUMMYFUNCTION("""COMPUTED_VALUE"""),"-")</f>
        <v>-</v>
      </c>
    </row>
    <row r="381">
      <c r="A381" s="21" t="str">
        <f>IFERROR(__xludf.DUMMYFUNCTION("""COMPUTED_VALUE"""),"Latios")</f>
        <v>Latios</v>
      </c>
      <c r="B381" s="22" t="str">
        <f>IFERROR(__xludf.DUMMYFUNCTION("""COMPUTED_VALUE"""),"-")</f>
        <v>-</v>
      </c>
      <c r="C381" s="11" t="str">
        <f>IFERROR(__xludf.DUMMYFUNCTION("""COMPUTED_VALUE"""),"-")</f>
        <v>-</v>
      </c>
      <c r="D381" s="11" t="str">
        <f>IFERROR(__xludf.DUMMYFUNCTION("""COMPUTED_VALUE"""),"-")</f>
        <v>-</v>
      </c>
    </row>
    <row r="382">
      <c r="A382" s="21" t="str">
        <f>IFERROR(__xludf.DUMMYFUNCTION("""COMPUTED_VALUE"""),"Latias")</f>
        <v>Latias</v>
      </c>
      <c r="B382" s="22" t="str">
        <f>IFERROR(__xludf.DUMMYFUNCTION("""COMPUTED_VALUE"""),"-")</f>
        <v>-</v>
      </c>
      <c r="C382" s="11" t="str">
        <f>IFERROR(__xludf.DUMMYFUNCTION("""COMPUTED_VALUE"""),"-")</f>
        <v>-</v>
      </c>
      <c r="D382" s="11" t="str">
        <f>IFERROR(__xludf.DUMMYFUNCTION("""COMPUTED_VALUE"""),"-")</f>
        <v>-</v>
      </c>
    </row>
    <row r="383">
      <c r="A383" s="21" t="str">
        <f>IFERROR(__xludf.DUMMYFUNCTION("""COMPUTED_VALUE"""),"Kyogre")</f>
        <v>Kyogre</v>
      </c>
      <c r="B383" s="22" t="str">
        <f>IFERROR(__xludf.DUMMYFUNCTION("""COMPUTED_VALUE"""),"-")</f>
        <v>-</v>
      </c>
      <c r="C383" s="11" t="str">
        <f>IFERROR(__xludf.DUMMYFUNCTION("""COMPUTED_VALUE"""),"-")</f>
        <v>-</v>
      </c>
      <c r="D383" s="11" t="str">
        <f>IFERROR(__xludf.DUMMYFUNCTION("""COMPUTED_VALUE"""),"-")</f>
        <v>-</v>
      </c>
    </row>
    <row r="384">
      <c r="A384" s="21" t="str">
        <f>IFERROR(__xludf.DUMMYFUNCTION("""COMPUTED_VALUE"""),"Groudon")</f>
        <v>Groudon</v>
      </c>
      <c r="B384" s="22" t="str">
        <f>IFERROR(__xludf.DUMMYFUNCTION("""COMPUTED_VALUE"""),"-")</f>
        <v>-</v>
      </c>
      <c r="C384" s="11" t="str">
        <f>IFERROR(__xludf.DUMMYFUNCTION("""COMPUTED_VALUE"""),"-")</f>
        <v>-</v>
      </c>
      <c r="D384" s="11" t="str">
        <f>IFERROR(__xludf.DUMMYFUNCTION("""COMPUTED_VALUE"""),"-")</f>
        <v>-</v>
      </c>
    </row>
    <row r="385">
      <c r="A385" s="21" t="str">
        <f>IFERROR(__xludf.DUMMYFUNCTION("""COMPUTED_VALUE"""),"Rayquaza")</f>
        <v>Rayquaza</v>
      </c>
      <c r="B385" s="22" t="str">
        <f>IFERROR(__xludf.DUMMYFUNCTION("""COMPUTED_VALUE"""),"-")</f>
        <v>-</v>
      </c>
      <c r="C385" s="11" t="str">
        <f>IFERROR(__xludf.DUMMYFUNCTION("""COMPUTED_VALUE"""),"-")</f>
        <v>-</v>
      </c>
      <c r="D385" s="11" t="str">
        <f>IFERROR(__xludf.DUMMYFUNCTION("""COMPUTED_VALUE"""),"-")</f>
        <v>-</v>
      </c>
    </row>
    <row r="386">
      <c r="A386" s="21" t="str">
        <f>IFERROR(__xludf.DUMMYFUNCTION("""COMPUTED_VALUE"""),"Jirachi")</f>
        <v>Jirachi</v>
      </c>
      <c r="B386" s="22" t="str">
        <f>IFERROR(__xludf.DUMMYFUNCTION("""COMPUTED_VALUE"""),"-")</f>
        <v>-</v>
      </c>
      <c r="C386" s="11" t="str">
        <f>IFERROR(__xludf.DUMMYFUNCTION("""COMPUTED_VALUE"""),"-")</f>
        <v>-</v>
      </c>
      <c r="D386" s="11" t="str">
        <f>IFERROR(__xludf.DUMMYFUNCTION("""COMPUTED_VALUE"""),"-")</f>
        <v>-</v>
      </c>
    </row>
    <row r="387">
      <c r="A387" s="21" t="str">
        <f>IFERROR(__xludf.DUMMYFUNCTION("""COMPUTED_VALUE"""),"Deoxys")</f>
        <v>Deoxys</v>
      </c>
      <c r="B387" s="22" t="str">
        <f>IFERROR(__xludf.DUMMYFUNCTION("""COMPUTED_VALUE"""),"-")</f>
        <v>-</v>
      </c>
      <c r="C387" s="11" t="str">
        <f>IFERROR(__xludf.DUMMYFUNCTION("""COMPUTED_VALUE"""),"-")</f>
        <v>-</v>
      </c>
      <c r="D387" s="11" t="str">
        <f>IFERROR(__xludf.DUMMYFUNCTION("""COMPUTED_VALUE"""),"-")</f>
        <v>-</v>
      </c>
    </row>
    <row r="388">
      <c r="A388" s="21" t="str">
        <f>IFERROR(__xludf.DUMMYFUNCTION("""COMPUTED_VALUE"""),"Turtwig")</f>
        <v>Turtwig</v>
      </c>
      <c r="B388" s="11" t="str">
        <f>IFERROR(__xludf.DUMMYFUNCTION("""COMPUTED_VALUE"""),"-")</f>
        <v>-</v>
      </c>
      <c r="C388" s="15" t="str">
        <f>IFERROR(__xludf.DUMMYFUNCTION("""COMPUTED_VALUE"""),"https://imgur.com/a/MqC3Zcx")</f>
        <v>https://imgur.com/a/MqC3Zcx</v>
      </c>
      <c r="D388" s="11" t="str">
        <f>IFERROR(__xludf.DUMMYFUNCTION("""COMPUTED_VALUE"""),"-")</f>
        <v>-</v>
      </c>
    </row>
    <row r="389">
      <c r="A389" s="21" t="str">
        <f>IFERROR(__xludf.DUMMYFUNCTION("""COMPUTED_VALUE"""),"Grotle")</f>
        <v>Grotle</v>
      </c>
      <c r="B389" s="11" t="str">
        <f>IFERROR(__xludf.DUMMYFUNCTION("""COMPUTED_VALUE"""),"-")</f>
        <v>-</v>
      </c>
      <c r="C389" s="15" t="str">
        <f>IFERROR(__xludf.DUMMYFUNCTION("""COMPUTED_VALUE"""),"https://imgur.com/a/FnOsG7p")</f>
        <v>https://imgur.com/a/FnOsG7p</v>
      </c>
      <c r="D389" s="11" t="str">
        <f>IFERROR(__xludf.DUMMYFUNCTION("""COMPUTED_VALUE"""),"-")</f>
        <v>-</v>
      </c>
    </row>
    <row r="390">
      <c r="A390" s="21" t="str">
        <f>IFERROR(__xludf.DUMMYFUNCTION("""COMPUTED_VALUE"""),"Torterra")</f>
        <v>Torterra</v>
      </c>
      <c r="B390" s="15" t="str">
        <f>IFERROR(__xludf.DUMMYFUNCTION("""COMPUTED_VALUE"""),"https://imgur.com/a/OSpmhX3")</f>
        <v>https://imgur.com/a/OSpmhX3</v>
      </c>
      <c r="C390" s="11" t="str">
        <f>IFERROR(__xludf.DUMMYFUNCTION("""COMPUTED_VALUE"""),"-")</f>
        <v>-</v>
      </c>
      <c r="D390" s="11" t="str">
        <f>IFERROR(__xludf.DUMMYFUNCTION("""COMPUTED_VALUE"""),"-")</f>
        <v>-</v>
      </c>
    </row>
    <row r="391">
      <c r="A391" s="21" t="str">
        <f>IFERROR(__xludf.DUMMYFUNCTION("""COMPUTED_VALUE"""),"Chimchar")</f>
        <v>Chimchar</v>
      </c>
      <c r="B391" s="11" t="str">
        <f>IFERROR(__xludf.DUMMYFUNCTION("""COMPUTED_VALUE"""),"-")</f>
        <v>-</v>
      </c>
      <c r="C391" s="15" t="str">
        <f>IFERROR(__xludf.DUMMYFUNCTION("""COMPUTED_VALUE"""),"https://imgur.com/a/FaS0Gng")</f>
        <v>https://imgur.com/a/FaS0Gng</v>
      </c>
      <c r="D391" s="11" t="str">
        <f>IFERROR(__xludf.DUMMYFUNCTION("""COMPUTED_VALUE"""),"-")</f>
        <v>-</v>
      </c>
    </row>
    <row r="392">
      <c r="A392" s="21" t="str">
        <f>IFERROR(__xludf.DUMMYFUNCTION("""COMPUTED_VALUE"""),"Monferno")</f>
        <v>Monferno</v>
      </c>
      <c r="B392" s="11" t="str">
        <f>IFERROR(__xludf.DUMMYFUNCTION("""COMPUTED_VALUE"""),"-")</f>
        <v>-</v>
      </c>
      <c r="C392" s="15" t="str">
        <f>IFERROR(__xludf.DUMMYFUNCTION("""COMPUTED_VALUE"""),"https://imgur.com/a/trDdCP1")</f>
        <v>https://imgur.com/a/trDdCP1</v>
      </c>
      <c r="D392" s="11" t="str">
        <f>IFERROR(__xludf.DUMMYFUNCTION("""COMPUTED_VALUE"""),"-")</f>
        <v>-</v>
      </c>
    </row>
    <row r="393">
      <c r="A393" s="21" t="str">
        <f>IFERROR(__xludf.DUMMYFUNCTION("""COMPUTED_VALUE"""),"Infernape")</f>
        <v>Infernape</v>
      </c>
      <c r="B393" s="15" t="str">
        <f>IFERROR(__xludf.DUMMYFUNCTION("""COMPUTED_VALUE"""),"https://imgur.com/a/wmqPdfw")</f>
        <v>https://imgur.com/a/wmqPdfw</v>
      </c>
      <c r="C393" s="11" t="str">
        <f>IFERROR(__xludf.DUMMYFUNCTION("""COMPUTED_VALUE"""),"-")</f>
        <v>-</v>
      </c>
      <c r="D393" s="11" t="str">
        <f>IFERROR(__xludf.DUMMYFUNCTION("""COMPUTED_VALUE"""),"-")</f>
        <v>-</v>
      </c>
    </row>
    <row r="394">
      <c r="A394" s="21" t="str">
        <f>IFERROR(__xludf.DUMMYFUNCTION("""COMPUTED_VALUE"""),"Shinx")</f>
        <v>Shinx</v>
      </c>
      <c r="B394" s="11" t="str">
        <f>IFERROR(__xludf.DUMMYFUNCTION("""COMPUTED_VALUE"""),"-")</f>
        <v>-</v>
      </c>
      <c r="C394" s="15" t="str">
        <f>IFERROR(__xludf.DUMMYFUNCTION("""COMPUTED_VALUE"""),"https://imgur.com/a/f1Qf5nZ")</f>
        <v>https://imgur.com/a/f1Qf5nZ</v>
      </c>
      <c r="D394" s="11" t="str">
        <f>IFERROR(__xludf.DUMMYFUNCTION("""COMPUTED_VALUE"""),"-")</f>
        <v>-</v>
      </c>
    </row>
    <row r="395">
      <c r="A395" s="21" t="str">
        <f>IFERROR(__xludf.DUMMYFUNCTION("""COMPUTED_VALUE"""),"Luxio")</f>
        <v>Luxio</v>
      </c>
      <c r="B395" s="11" t="str">
        <f>IFERROR(__xludf.DUMMYFUNCTION("""COMPUTED_VALUE"""),"-")</f>
        <v>-</v>
      </c>
      <c r="C395" s="15" t="str">
        <f>IFERROR(__xludf.DUMMYFUNCTION("""COMPUTED_VALUE"""),"https://imgur.com/a/UahO6zW")</f>
        <v>https://imgur.com/a/UahO6zW</v>
      </c>
      <c r="D395" s="11" t="str">
        <f>IFERROR(__xludf.DUMMYFUNCTION("""COMPUTED_VALUE"""),"-")</f>
        <v>-</v>
      </c>
    </row>
    <row r="396">
      <c r="A396" s="21" t="str">
        <f>IFERROR(__xludf.DUMMYFUNCTION("""COMPUTED_VALUE"""),"Luxray")</f>
        <v>Luxray</v>
      </c>
      <c r="B396" s="15" t="str">
        <f>IFERROR(__xludf.DUMMYFUNCTION("""COMPUTED_VALUE"""),"https://imgur.com/a/L0bj8Vd")</f>
        <v>https://imgur.com/a/L0bj8Vd</v>
      </c>
      <c r="C396" s="11" t="str">
        <f>IFERROR(__xludf.DUMMYFUNCTION("""COMPUTED_VALUE"""),"-")</f>
        <v>-</v>
      </c>
      <c r="D396" s="11" t="str">
        <f>IFERROR(__xludf.DUMMYFUNCTION("""COMPUTED_VALUE"""),"-")</f>
        <v>-</v>
      </c>
    </row>
    <row r="397">
      <c r="A397" s="21" t="str">
        <f>IFERROR(__xludf.DUMMYFUNCTION("""COMPUTED_VALUE"""),"Cranidos")</f>
        <v>Cranidos</v>
      </c>
      <c r="B397" s="11" t="str">
        <f>IFERROR(__xludf.DUMMYFUNCTION("""COMPUTED_VALUE"""),"-")</f>
        <v>-</v>
      </c>
      <c r="C397" s="11" t="str">
        <f>IFERROR(__xludf.DUMMYFUNCTION("""COMPUTED_VALUE"""),"-")</f>
        <v>-</v>
      </c>
      <c r="D397" s="11"/>
    </row>
    <row r="398">
      <c r="A398" s="21" t="str">
        <f>IFERROR(__xludf.DUMMYFUNCTION("""COMPUTED_VALUE"""),"Rampardos")</f>
        <v>Rampardos</v>
      </c>
      <c r="B398" s="11" t="str">
        <f>IFERROR(__xludf.DUMMYFUNCTION("""COMPUTED_VALUE"""),"-")</f>
        <v>-</v>
      </c>
      <c r="C398" s="11" t="str">
        <f>IFERROR(__xludf.DUMMYFUNCTION("""COMPUTED_VALUE"""),"-")</f>
        <v>-</v>
      </c>
      <c r="D398" s="15" t="str">
        <f>IFERROR(__xludf.DUMMYFUNCTION("""COMPUTED_VALUE"""),"https://imgur.com/a/leqBEBS")</f>
        <v>https://imgur.com/a/leqBEBS</v>
      </c>
    </row>
    <row r="399">
      <c r="A399" s="21" t="str">
        <f>IFERROR(__xludf.DUMMYFUNCTION("""COMPUTED_VALUE"""),"Pachirisu")</f>
        <v>Pachirisu</v>
      </c>
      <c r="B399" s="15" t="str">
        <f>IFERROR(__xludf.DUMMYFUNCTION("""COMPUTED_VALUE"""),"https://imgur.com/a/RzUEzwM")</f>
        <v>https://imgur.com/a/RzUEzwM</v>
      </c>
      <c r="C399" s="11" t="str">
        <f>IFERROR(__xludf.DUMMYFUNCTION("""COMPUTED_VALUE"""),"-")</f>
        <v>-</v>
      </c>
      <c r="D399" s="11" t="str">
        <f>IFERROR(__xludf.DUMMYFUNCTION("""COMPUTED_VALUE"""),"-")</f>
        <v>-</v>
      </c>
    </row>
    <row r="400">
      <c r="A400" s="21" t="str">
        <f>IFERROR(__xludf.DUMMYFUNCTION("""COMPUTED_VALUE"""),"Lopuny")</f>
        <v>Lopuny</v>
      </c>
      <c r="B400" s="11" t="str">
        <f>IFERROR(__xludf.DUMMYFUNCTION("""COMPUTED_VALUE"""),"-")</f>
        <v>-</v>
      </c>
      <c r="C400" s="11" t="str">
        <f>IFERROR(__xludf.DUMMYFUNCTION("""COMPUTED_VALUE"""),"-")</f>
        <v>-</v>
      </c>
      <c r="D400" s="11" t="str">
        <f>IFERROR(__xludf.DUMMYFUNCTION("""COMPUTED_VALUE"""),"-")</f>
        <v>-</v>
      </c>
    </row>
    <row r="401">
      <c r="A401" s="21" t="str">
        <f>IFERROR(__xludf.DUMMYFUNCTION("""COMPUTED_VALUE"""),"Riolu")</f>
        <v>Riolu</v>
      </c>
      <c r="B401" s="11" t="str">
        <f>IFERROR(__xludf.DUMMYFUNCTION("""COMPUTED_VALUE"""),"-")</f>
        <v>-</v>
      </c>
      <c r="C401" s="15" t="str">
        <f>IFERROR(__xludf.DUMMYFUNCTION("""COMPUTED_VALUE"""),"https://imgur.com/a/m5Tr8hw")</f>
        <v>https://imgur.com/a/m5Tr8hw</v>
      </c>
      <c r="D401" s="11" t="str">
        <f>IFERROR(__xludf.DUMMYFUNCTION("""COMPUTED_VALUE"""),"-")</f>
        <v>-</v>
      </c>
    </row>
    <row r="402">
      <c r="A402" s="21" t="str">
        <f>IFERROR(__xludf.DUMMYFUNCTION("""COMPUTED_VALUE"""),"Lucario")</f>
        <v>Lucario</v>
      </c>
      <c r="B402" s="11" t="str">
        <f>IFERROR(__xludf.DUMMYFUNCTION("""COMPUTED_VALUE"""),"-")</f>
        <v>-</v>
      </c>
      <c r="C402" s="11" t="str">
        <f>IFERROR(__xludf.DUMMYFUNCTION("""COMPUTED_VALUE"""),"-")</f>
        <v>-</v>
      </c>
      <c r="D402" s="15" t="str">
        <f>IFERROR(__xludf.DUMMYFUNCTION("""COMPUTED_VALUE"""),"https://imgur.com/a/wFcUcVR")</f>
        <v>https://imgur.com/a/wFcUcVR</v>
      </c>
    </row>
    <row r="403">
      <c r="A403" s="21" t="str">
        <f>IFERROR(__xludf.DUMMYFUNCTION("""COMPUTED_VALUE"""),"Croagunk")</f>
        <v>Croagunk</v>
      </c>
      <c r="B403" s="11" t="str">
        <f>IFERROR(__xludf.DUMMYFUNCTION("""COMPUTED_VALUE"""),"-")</f>
        <v>-</v>
      </c>
      <c r="C403" s="11" t="str">
        <f>IFERROR(__xludf.DUMMYFUNCTION("""COMPUTED_VALUE"""),"-")</f>
        <v>-</v>
      </c>
      <c r="D403" s="11" t="str">
        <f>IFERROR(__xludf.DUMMYFUNCTION("""COMPUTED_VALUE"""),"-")</f>
        <v>-</v>
      </c>
    </row>
    <row r="404">
      <c r="A404" s="21" t="str">
        <f>IFERROR(__xludf.DUMMYFUNCTION("""COMPUTED_VALUE"""),"Toxicroak")</f>
        <v>Toxicroak</v>
      </c>
      <c r="B404" s="15" t="str">
        <f>IFERROR(__xludf.DUMMYFUNCTION("""COMPUTED_VALUE"""),"https://imgur.com/a/voSoRee")</f>
        <v>https://imgur.com/a/voSoRee</v>
      </c>
      <c r="C404" s="11" t="str">
        <f>IFERROR(__xludf.DUMMYFUNCTION("""COMPUTED_VALUE"""),"-")</f>
        <v>-</v>
      </c>
      <c r="D404" s="11" t="str">
        <f>IFERROR(__xludf.DUMMYFUNCTION("""COMPUTED_VALUE"""),"-")</f>
        <v>-</v>
      </c>
    </row>
    <row r="405">
      <c r="A405" s="21" t="str">
        <f>IFERROR(__xludf.DUMMYFUNCTION("""COMPUTED_VALUE"""),"Abomasnow")</f>
        <v>Abomasnow</v>
      </c>
      <c r="B405" s="11" t="str">
        <f>IFERROR(__xludf.DUMMYFUNCTION("""COMPUTED_VALUE"""),"-")</f>
        <v>-</v>
      </c>
      <c r="C405" s="11" t="str">
        <f>IFERROR(__xludf.DUMMYFUNCTION("""COMPUTED_VALUE"""),"-")</f>
        <v>-</v>
      </c>
      <c r="D405" s="15" t="str">
        <f>IFERROR(__xludf.DUMMYFUNCTION("""COMPUTED_VALUE"""),"https://imgur.com/a/3Axl08R")</f>
        <v>https://imgur.com/a/3Axl08R</v>
      </c>
    </row>
    <row r="406">
      <c r="A406" s="21" t="str">
        <f>IFERROR(__xludf.DUMMYFUNCTION("""COMPUTED_VALUE"""),"Rhyperior")</f>
        <v>Rhyperior</v>
      </c>
      <c r="B406" s="11" t="str">
        <f>IFERROR(__xludf.DUMMYFUNCTION("""COMPUTED_VALUE"""),"-")</f>
        <v>-</v>
      </c>
      <c r="C406" s="11" t="str">
        <f>IFERROR(__xludf.DUMMYFUNCTION("""COMPUTED_VALUE"""),"-")</f>
        <v>-</v>
      </c>
      <c r="D406" s="15" t="str">
        <f>IFERROR(__xludf.DUMMYFUNCTION("""COMPUTED_VALUE"""),"https://imgur.com/a/wFcUcVR")</f>
        <v>https://imgur.com/a/wFcUcVR</v>
      </c>
    </row>
    <row r="407">
      <c r="A407" s="21" t="str">
        <f>IFERROR(__xludf.DUMMYFUNCTION("""COMPUTED_VALUE"""),"Tangrowth")</f>
        <v>Tangrowth</v>
      </c>
      <c r="B407" s="15" t="str">
        <f>IFERROR(__xludf.DUMMYFUNCTION("""COMPUTED_VALUE"""),"https://imgur.com/a/6PD5gEv")</f>
        <v>https://imgur.com/a/6PD5gEv</v>
      </c>
      <c r="C407" s="11" t="str">
        <f>IFERROR(__xludf.DUMMYFUNCTION("""COMPUTED_VALUE"""),"-")</f>
        <v>-</v>
      </c>
      <c r="D407" s="11" t="str">
        <f>IFERROR(__xludf.DUMMYFUNCTION("""COMPUTED_VALUE"""),"-")</f>
        <v>-</v>
      </c>
    </row>
    <row r="408">
      <c r="A408" s="21" t="str">
        <f>IFERROR(__xludf.DUMMYFUNCTION("""COMPUTED_VALUE"""),"Leafeon")</f>
        <v>Leafeon</v>
      </c>
      <c r="B408" s="11" t="str">
        <f>IFERROR(__xludf.DUMMYFUNCTION("""COMPUTED_VALUE"""),"-")</f>
        <v>-</v>
      </c>
      <c r="C408" s="11" t="str">
        <f>IFERROR(__xludf.DUMMYFUNCTION("""COMPUTED_VALUE"""),"-")</f>
        <v>-</v>
      </c>
      <c r="D408" s="15" t="str">
        <f>IFERROR(__xludf.DUMMYFUNCTION("""COMPUTED_VALUE"""),"https://imgur.com/a/wFcUcVR")</f>
        <v>https://imgur.com/a/wFcUcVR</v>
      </c>
    </row>
    <row r="409">
      <c r="A409" s="21" t="str">
        <f>IFERROR(__xludf.DUMMYFUNCTION("""COMPUTED_VALUE"""),"Glaceon")</f>
        <v>Glaceon</v>
      </c>
      <c r="B409" s="11" t="str">
        <f>IFERROR(__xludf.DUMMYFUNCTION("""COMPUTED_VALUE"""),"-")</f>
        <v>-</v>
      </c>
      <c r="C409" s="11" t="str">
        <f>IFERROR(__xludf.DUMMYFUNCTION("""COMPUTED_VALUE"""),"-")</f>
        <v>-</v>
      </c>
      <c r="D409" s="15" t="str">
        <f>IFERROR(__xludf.DUMMYFUNCTION("""COMPUTED_VALUE"""),"https://imgur.com/a/wFcUcVR")</f>
        <v>https://imgur.com/a/wFcUcVR</v>
      </c>
    </row>
    <row r="410">
      <c r="A410" s="21" t="str">
        <f>IFERROR(__xludf.DUMMYFUNCTION("""COMPUTED_VALUE"""),"Gliscor")</f>
        <v>Gliscor</v>
      </c>
      <c r="B410" s="15" t="str">
        <f>IFERROR(__xludf.DUMMYFUNCTION("""COMPUTED_VALUE"""),"https://imgur.com/a/7Oi6jPs")</f>
        <v>https://imgur.com/a/7Oi6jPs</v>
      </c>
      <c r="C410" s="11" t="str">
        <f>IFERROR(__xludf.DUMMYFUNCTION("""COMPUTED_VALUE"""),"-")</f>
        <v>-</v>
      </c>
      <c r="D410" s="11" t="str">
        <f>IFERROR(__xludf.DUMMYFUNCTION("""COMPUTED_VALUE"""),"-")</f>
        <v>-</v>
      </c>
    </row>
    <row r="411">
      <c r="A411" s="21" t="str">
        <f>IFERROR(__xludf.DUMMYFUNCTION("""COMPUTED_VALUE"""),"Dusknoir")</f>
        <v>Dusknoir</v>
      </c>
      <c r="B411" s="15" t="str">
        <f>IFERROR(__xludf.DUMMYFUNCTION("""COMPUTED_VALUE"""),"https://imgur.com/a/DMCBxm0")</f>
        <v>https://imgur.com/a/DMCBxm0</v>
      </c>
      <c r="C411" s="11" t="str">
        <f>IFERROR(__xludf.DUMMYFUNCTION("""COMPUTED_VALUE"""),"-")</f>
        <v>-</v>
      </c>
      <c r="D411" s="11" t="str">
        <f>IFERROR(__xludf.DUMMYFUNCTION("""COMPUTED_VALUE"""),"-")</f>
        <v>-</v>
      </c>
    </row>
    <row r="412">
      <c r="A412" s="21" t="str">
        <f>IFERROR(__xludf.DUMMYFUNCTION("""COMPUTED_VALUE"""),"Audino")</f>
        <v>Audino</v>
      </c>
      <c r="B412" s="11" t="str">
        <f>IFERROR(__xludf.DUMMYFUNCTION("""COMPUTED_VALUE"""),"-")</f>
        <v>-</v>
      </c>
      <c r="C412" s="11" t="str">
        <f>IFERROR(__xludf.DUMMYFUNCTION("""COMPUTED_VALUE"""),"-")</f>
        <v>-</v>
      </c>
      <c r="D412" s="15" t="str">
        <f>IFERROR(__xludf.DUMMYFUNCTION("""COMPUTED_VALUE"""),"https://imgur.com/a/3Axl08R")</f>
        <v>https://imgur.com/a/3Axl08R</v>
      </c>
    </row>
    <row r="413">
      <c r="A413" s="21" t="str">
        <f>IFERROR(__xludf.DUMMYFUNCTION("""COMPUTED_VALUE"""),"Scolipede")</f>
        <v>Scolipede</v>
      </c>
      <c r="B413" s="11" t="str">
        <f>IFERROR(__xludf.DUMMYFUNCTION("""COMPUTED_VALUE"""),"-")</f>
        <v>-</v>
      </c>
      <c r="C413" s="11" t="str">
        <f>IFERROR(__xludf.DUMMYFUNCTION("""COMPUTED_VALUE"""),"-")</f>
        <v>-</v>
      </c>
      <c r="D413" s="15" t="str">
        <f>IFERROR(__xludf.DUMMYFUNCTION("""COMPUTED_VALUE"""),"https://imgur.com/a/3Axl08R")</f>
        <v>https://imgur.com/a/3Axl08R</v>
      </c>
    </row>
    <row r="414">
      <c r="A414" s="21" t="str">
        <f>IFERROR(__xludf.DUMMYFUNCTION("""COMPUTED_VALUE"""),"Trubbish")</f>
        <v>Trubbish</v>
      </c>
      <c r="B414" s="11" t="str">
        <f>IFERROR(__xludf.DUMMYFUNCTION("""COMPUTED_VALUE"""),"-")</f>
        <v>-</v>
      </c>
      <c r="C414" s="15" t="str">
        <f>IFERROR(__xludf.DUMMYFUNCTION("""COMPUTED_VALUE"""),"https://imgur.com/a/TvxHyi5")</f>
        <v>https://imgur.com/a/TvxHyi5</v>
      </c>
      <c r="D414" s="11" t="str">
        <f>IFERROR(__xludf.DUMMYFUNCTION("""COMPUTED_VALUE"""),"-")</f>
        <v>-</v>
      </c>
    </row>
    <row r="415">
      <c r="A415" s="21" t="str">
        <f>IFERROR(__xludf.DUMMYFUNCTION("""COMPUTED_VALUE"""),"Garbodor")</f>
        <v>Garbodor</v>
      </c>
      <c r="B415" s="11" t="str">
        <f>IFERROR(__xludf.DUMMYFUNCTION("""COMPUTED_VALUE"""),"-")</f>
        <v>-</v>
      </c>
      <c r="C415" s="11" t="str">
        <f>IFERROR(__xludf.DUMMYFUNCTION("""COMPUTED_VALUE"""),"-")</f>
        <v>-</v>
      </c>
      <c r="D415" s="15" t="str">
        <f>IFERROR(__xludf.DUMMYFUNCTION("""COMPUTED_VALUE"""),"https://imgur.com/a/wFcUcVR")</f>
        <v>https://imgur.com/a/wFcUcVR</v>
      </c>
    </row>
    <row r="416">
      <c r="A416" s="21" t="str">
        <f>IFERROR(__xludf.DUMMYFUNCTION("""COMPUTED_VALUE"""),"Druddigon")</f>
        <v>Druddigon</v>
      </c>
      <c r="B416" s="11" t="str">
        <f>IFERROR(__xludf.DUMMYFUNCTION("""COMPUTED_VALUE"""),"-")</f>
        <v>-</v>
      </c>
      <c r="C416" s="11" t="str">
        <f>IFERROR(__xludf.DUMMYFUNCTION("""COMPUTED_VALUE"""),"-")</f>
        <v>-</v>
      </c>
      <c r="D416" s="11" t="str">
        <f>IFERROR(__xludf.DUMMYFUNCTION("""COMPUTED_VALUE"""),"-")</f>
        <v>-</v>
      </c>
    </row>
    <row r="417">
      <c r="A417" s="21" t="str">
        <f>IFERROR(__xludf.DUMMYFUNCTION("""COMPUTED_VALUE"""),"Deino")</f>
        <v>Deino</v>
      </c>
      <c r="B417" s="11" t="str">
        <f>IFERROR(__xludf.DUMMYFUNCTION("""COMPUTED_VALUE"""),"-")</f>
        <v>-</v>
      </c>
      <c r="C417" s="11" t="str">
        <f>IFERROR(__xludf.DUMMYFUNCTION("""COMPUTED_VALUE"""),"DG de Deino")</f>
        <v>DG de Deino</v>
      </c>
      <c r="D417" s="11" t="str">
        <f>IFERROR(__xludf.DUMMYFUNCTION("""COMPUTED_VALUE"""),"-")</f>
        <v>-</v>
      </c>
    </row>
    <row r="418">
      <c r="A418" s="21" t="str">
        <f>IFERROR(__xludf.DUMMYFUNCTION("""COMPUTED_VALUE"""),"Zweilous")</f>
        <v>Zweilous</v>
      </c>
      <c r="B418" s="11" t="str">
        <f>IFERROR(__xludf.DUMMYFUNCTION("""COMPUTED_VALUE"""),"-")</f>
        <v>-</v>
      </c>
      <c r="C418" s="11" t="str">
        <f>IFERROR(__xludf.DUMMYFUNCTION("""COMPUTED_VALUE"""),"DG de Zweilous")</f>
        <v>DG de Zweilous</v>
      </c>
      <c r="D418" s="11" t="str">
        <f>IFERROR(__xludf.DUMMYFUNCTION("""COMPUTED_VALUE"""),"-")</f>
        <v>-</v>
      </c>
    </row>
    <row r="419">
      <c r="A419" s="21" t="str">
        <f>IFERROR(__xludf.DUMMYFUNCTION("""COMPUTED_VALUE"""),"Hydreigon")</f>
        <v>Hydreigon</v>
      </c>
      <c r="B419" s="15" t="str">
        <f>IFERROR(__xludf.DUMMYFUNCTION("""COMPUTED_VALUE"""),"https://imgur.com/a/tkRwGdL")</f>
        <v>https://imgur.com/a/tkRwGdL</v>
      </c>
      <c r="C419" s="11" t="str">
        <f>IFERROR(__xludf.DUMMYFUNCTION("""COMPUTED_VALUE"""),"-")</f>
        <v>-</v>
      </c>
      <c r="D419" s="11" t="str">
        <f>IFERROR(__xludf.DUMMYFUNCTION("""COMPUTED_VALUE"""),"-")</f>
        <v>-</v>
      </c>
    </row>
    <row r="420">
      <c r="A420" s="21" t="str">
        <f>IFERROR(__xludf.DUMMYFUNCTION("""COMPUTED_VALUE"""),"Flabébé")</f>
        <v>Flabébé</v>
      </c>
      <c r="B420" s="11" t="str">
        <f>IFERROR(__xludf.DUMMYFUNCTION("""COMPUTED_VALUE"""),"-")</f>
        <v>-</v>
      </c>
      <c r="C420" s="11" t="str">
        <f>IFERROR(__xludf.DUMMYFUNCTION("""COMPUTED_VALUE"""),"DG de Flabébé")</f>
        <v>DG de Flabébé</v>
      </c>
      <c r="D420" s="11" t="str">
        <f>IFERROR(__xludf.DUMMYFUNCTION("""COMPUTED_VALUE"""),"-")</f>
        <v>-</v>
      </c>
    </row>
    <row r="421">
      <c r="A421" s="21" t="str">
        <f>IFERROR(__xludf.DUMMYFUNCTION("""COMPUTED_VALUE"""),"Floette")</f>
        <v>Floette</v>
      </c>
      <c r="B421" s="11" t="str">
        <f>IFERROR(__xludf.DUMMYFUNCTION("""COMPUTED_VALUE"""),"-")</f>
        <v>-</v>
      </c>
      <c r="C421" s="11" t="str">
        <f>IFERROR(__xludf.DUMMYFUNCTION("""COMPUTED_VALUE"""),"DG de Folette")</f>
        <v>DG de Folette</v>
      </c>
      <c r="D421" s="11" t="str">
        <f>IFERROR(__xludf.DUMMYFUNCTION("""COMPUTED_VALUE"""),"-")</f>
        <v>-</v>
      </c>
    </row>
    <row r="422">
      <c r="A422" s="21" t="str">
        <f>IFERROR(__xludf.DUMMYFUNCTION("""COMPUTED_VALUE"""),"Florges")</f>
        <v>Florges</v>
      </c>
      <c r="B422" s="15" t="str">
        <f>IFERROR(__xludf.DUMMYFUNCTION("""COMPUTED_VALUE"""),"https://imgur.com/a/dHnsWqn")</f>
        <v>https://imgur.com/a/dHnsWqn</v>
      </c>
      <c r="C422" s="11" t="str">
        <f>IFERROR(__xludf.DUMMYFUNCTION("""COMPUTED_VALUE"""),"-")</f>
        <v>-</v>
      </c>
      <c r="D422" s="11" t="str">
        <f>IFERROR(__xludf.DUMMYFUNCTION("""COMPUTED_VALUE"""),"-")</f>
        <v>-</v>
      </c>
    </row>
    <row r="423">
      <c r="A423" s="21" t="str">
        <f>IFERROR(__xludf.DUMMYFUNCTION("""COMPUTED_VALUE"""),"Skiddo")</f>
        <v>Skiddo</v>
      </c>
      <c r="B423" s="11" t="str">
        <f>IFERROR(__xludf.DUMMYFUNCTION("""COMPUTED_VALUE"""),"-")</f>
        <v>-</v>
      </c>
      <c r="C423" s="15" t="str">
        <f>IFERROR(__xludf.DUMMYFUNCTION("""COMPUTED_VALUE"""),"https://imgur.com/a/F5s8G9v")</f>
        <v>https://imgur.com/a/F5s8G9v</v>
      </c>
      <c r="D423" s="11" t="str">
        <f>IFERROR(__xludf.DUMMYFUNCTION("""COMPUTED_VALUE"""),"-")</f>
        <v>-</v>
      </c>
    </row>
    <row r="424">
      <c r="A424" s="21" t="str">
        <f>IFERROR(__xludf.DUMMYFUNCTION("""COMPUTED_VALUE"""),"Gogoat")</f>
        <v>Gogoat</v>
      </c>
      <c r="B424" s="15" t="str">
        <f>IFERROR(__xludf.DUMMYFUNCTION("""COMPUTED_VALUE"""),"https://imgur.com/a/yMA3Qn2")</f>
        <v>https://imgur.com/a/yMA3Qn2</v>
      </c>
      <c r="C424" s="11" t="str">
        <f>IFERROR(__xludf.DUMMYFUNCTION("""COMPUTED_VALUE"""),"-")</f>
        <v>-</v>
      </c>
      <c r="D424" s="11" t="str">
        <f>IFERROR(__xludf.DUMMYFUNCTION("""COMPUTED_VALUE"""),"-")</f>
        <v>-</v>
      </c>
    </row>
    <row r="425">
      <c r="A425" s="21" t="str">
        <f>IFERROR(__xludf.DUMMYFUNCTION("""COMPUTED_VALUE"""),"Dragalge")</f>
        <v>Dragalge</v>
      </c>
      <c r="B425" s="11" t="str">
        <f>IFERROR(__xludf.DUMMYFUNCTION("""COMPUTED_VALUE"""),"-")</f>
        <v>-</v>
      </c>
      <c r="C425" s="11" t="str">
        <f>IFERROR(__xludf.DUMMYFUNCTION("""COMPUTED_VALUE"""),"-")</f>
        <v>-</v>
      </c>
      <c r="D425" s="15" t="str">
        <f>IFERROR(__xludf.DUMMYFUNCTION("""COMPUTED_VALUE"""),"https://imgur.com/a/3Axl08R")</f>
        <v>https://imgur.com/a/3Axl08R</v>
      </c>
    </row>
    <row r="426">
      <c r="A426" s="21" t="str">
        <f>IFERROR(__xludf.DUMMYFUNCTION("""COMPUTED_VALUE"""),"Sylveon")</f>
        <v>Sylveon</v>
      </c>
      <c r="B426" s="15" t="str">
        <f>IFERROR(__xludf.DUMMYFUNCTION("""COMPUTED_VALUE"""),"https://imgur.com/a/LR5ibxC")</f>
        <v>https://imgur.com/a/LR5ibxC</v>
      </c>
      <c r="C426" s="11" t="str">
        <f>IFERROR(__xludf.DUMMYFUNCTION("""COMPUTED_VALUE"""),"-")</f>
        <v>-</v>
      </c>
      <c r="D426" s="15" t="str">
        <f>IFERROR(__xludf.DUMMYFUNCTION("""COMPUTED_VALUE"""),"https://imgur.com/a/wFcUcVR")</f>
        <v>https://imgur.com/a/wFcUcVR</v>
      </c>
    </row>
    <row r="427">
      <c r="A427" s="21" t="str">
        <f>IFERROR(__xludf.DUMMYFUNCTION("""COMPUTED_VALUE"""),"Mimikyu")</f>
        <v>Mimikyu</v>
      </c>
      <c r="B427" s="15" t="str">
        <f>IFERROR(__xludf.DUMMYFUNCTION("""COMPUTED_VALUE"""),"https://imgur.com/a/tBNDQGq")</f>
        <v>https://imgur.com/a/tBNDQGq</v>
      </c>
      <c r="C427" s="11" t="str">
        <f>IFERROR(__xludf.DUMMYFUNCTION("""COMPUTED_VALUE"""),"-")</f>
        <v>-</v>
      </c>
      <c r="D427" s="11" t="str">
        <f>IFERROR(__xludf.DUMMYFUNCTION("""COMPUTED_VALUE"""),"-")</f>
        <v>-</v>
      </c>
    </row>
    <row r="428">
      <c r="A428" s="21"/>
      <c r="B428" s="11"/>
      <c r="C428" s="11"/>
      <c r="D428" s="11"/>
    </row>
    <row r="429">
      <c r="A429" s="21"/>
      <c r="B429" s="11"/>
      <c r="C429" s="11"/>
      <c r="D429" s="11"/>
    </row>
    <row r="430">
      <c r="A430" s="21"/>
      <c r="B430" s="11"/>
      <c r="C430" s="11"/>
      <c r="D430" s="11"/>
    </row>
    <row r="431">
      <c r="A431" s="21"/>
      <c r="B431" s="11"/>
      <c r="C431" s="11"/>
      <c r="D431" s="11"/>
    </row>
    <row r="432">
      <c r="A432" s="21"/>
      <c r="B432" s="11"/>
      <c r="C432" s="11"/>
      <c r="D432" s="11"/>
    </row>
    <row r="433">
      <c r="A433" s="21"/>
      <c r="B433" s="11"/>
      <c r="C433" s="11"/>
      <c r="D433" s="11"/>
    </row>
    <row r="434">
      <c r="A434" s="21"/>
      <c r="B434" s="11"/>
      <c r="C434" s="11"/>
      <c r="D434" s="11"/>
    </row>
    <row r="435">
      <c r="A435" s="21"/>
      <c r="B435" s="11"/>
      <c r="C435" s="11"/>
      <c r="D435" s="11"/>
    </row>
    <row r="436">
      <c r="A436" s="21"/>
      <c r="B436" s="11"/>
      <c r="C436" s="11"/>
      <c r="D436" s="11"/>
    </row>
    <row r="437">
      <c r="A437" s="21"/>
      <c r="B437" s="11"/>
      <c r="C437" s="11"/>
      <c r="D437" s="11"/>
    </row>
    <row r="438">
      <c r="A438" s="21"/>
      <c r="B438" s="11"/>
      <c r="C438" s="11"/>
      <c r="D438" s="11"/>
    </row>
    <row r="439">
      <c r="A439" s="21"/>
      <c r="B439" s="11"/>
      <c r="C439" s="11"/>
      <c r="D439" s="11"/>
    </row>
    <row r="440">
      <c r="A440" s="21"/>
      <c r="B440" s="11"/>
      <c r="C440" s="11"/>
      <c r="D440" s="11"/>
    </row>
    <row r="441">
      <c r="A441" s="21"/>
      <c r="B441" s="11"/>
      <c r="C441" s="11"/>
      <c r="D441" s="11"/>
    </row>
    <row r="442">
      <c r="A442" s="21"/>
      <c r="B442" s="11"/>
      <c r="C442" s="11"/>
      <c r="D442" s="11"/>
    </row>
    <row r="443">
      <c r="A443" s="21"/>
      <c r="B443" s="11"/>
      <c r="C443" s="11"/>
      <c r="D443" s="11"/>
    </row>
    <row r="444">
      <c r="A444" s="21"/>
      <c r="B444" s="11"/>
      <c r="C444" s="11"/>
      <c r="D444" s="11"/>
    </row>
    <row r="445">
      <c r="A445" s="21"/>
      <c r="B445" s="11"/>
      <c r="C445" s="11"/>
      <c r="D445" s="11"/>
    </row>
    <row r="446">
      <c r="A446" s="21"/>
      <c r="B446" s="11"/>
      <c r="C446" s="11"/>
      <c r="D446" s="11"/>
    </row>
    <row r="447">
      <c r="A447" s="21"/>
      <c r="B447" s="11"/>
      <c r="C447" s="11"/>
      <c r="D447" s="11"/>
    </row>
    <row r="448">
      <c r="A448" s="21"/>
      <c r="B448" s="11"/>
      <c r="C448" s="11"/>
      <c r="D448" s="11"/>
    </row>
    <row r="449">
      <c r="A449" s="21"/>
      <c r="B449" s="11"/>
      <c r="C449" s="11"/>
      <c r="D449" s="11"/>
    </row>
    <row r="450">
      <c r="A450" s="21"/>
      <c r="B450" s="11"/>
      <c r="C450" s="11"/>
      <c r="D450" s="11"/>
    </row>
    <row r="451">
      <c r="A451" s="21"/>
      <c r="B451" s="11"/>
      <c r="C451" s="11"/>
      <c r="D451" s="11"/>
    </row>
    <row r="452">
      <c r="A452" s="21"/>
      <c r="B452" s="11"/>
      <c r="C452" s="11"/>
      <c r="D452" s="11"/>
    </row>
    <row r="453">
      <c r="A453" s="21"/>
      <c r="B453" s="11"/>
      <c r="C453" s="11"/>
      <c r="D453" s="11"/>
    </row>
    <row r="454">
      <c r="A454" s="21"/>
      <c r="B454" s="11"/>
      <c r="C454" s="11"/>
      <c r="D454" s="11"/>
    </row>
    <row r="455">
      <c r="A455" s="21"/>
      <c r="B455" s="11"/>
      <c r="C455" s="11"/>
      <c r="D455" s="11"/>
    </row>
    <row r="456">
      <c r="A456" s="21"/>
      <c r="B456" s="11"/>
      <c r="C456" s="11"/>
      <c r="D456" s="11"/>
    </row>
    <row r="457">
      <c r="A457" s="21"/>
      <c r="B457" s="11"/>
      <c r="C457" s="11"/>
      <c r="D457" s="11"/>
    </row>
    <row r="458">
      <c r="A458" s="21"/>
      <c r="B458" s="11"/>
      <c r="C458" s="11"/>
      <c r="D458" s="11"/>
    </row>
    <row r="459">
      <c r="A459" s="21"/>
      <c r="B459" s="11"/>
      <c r="C459" s="11"/>
      <c r="D459" s="11"/>
    </row>
    <row r="460">
      <c r="A460" s="21"/>
      <c r="B460" s="11"/>
      <c r="C460" s="11"/>
      <c r="D460" s="11"/>
    </row>
    <row r="461">
      <c r="A461" s="21"/>
      <c r="B461" s="11"/>
      <c r="C461" s="11"/>
      <c r="D461" s="11"/>
    </row>
    <row r="462">
      <c r="A462" s="21"/>
      <c r="B462" s="11"/>
      <c r="C462" s="11"/>
      <c r="D462" s="11"/>
    </row>
    <row r="463">
      <c r="A463" s="21"/>
      <c r="B463" s="11"/>
      <c r="C463" s="11"/>
      <c r="D463" s="11"/>
    </row>
    <row r="464">
      <c r="A464" s="21"/>
      <c r="B464" s="11"/>
      <c r="C464" s="11"/>
      <c r="D464" s="11"/>
    </row>
    <row r="465">
      <c r="A465" s="21"/>
      <c r="B465" s="11"/>
      <c r="C465" s="11"/>
      <c r="D465" s="11"/>
    </row>
    <row r="466">
      <c r="A466" s="21"/>
      <c r="B466" s="11"/>
      <c r="C466" s="11"/>
      <c r="D466" s="11"/>
    </row>
    <row r="467">
      <c r="A467" s="21"/>
      <c r="B467" s="11"/>
      <c r="C467" s="11"/>
      <c r="D467" s="11"/>
    </row>
    <row r="468">
      <c r="A468" s="21"/>
      <c r="B468" s="11"/>
      <c r="C468" s="11"/>
      <c r="D468" s="11"/>
    </row>
    <row r="469">
      <c r="A469" s="21"/>
      <c r="B469" s="11"/>
      <c r="C469" s="11"/>
      <c r="D469" s="11"/>
    </row>
    <row r="470">
      <c r="A470" s="21"/>
      <c r="B470" s="11"/>
      <c r="C470" s="11"/>
      <c r="D470" s="11"/>
    </row>
    <row r="471">
      <c r="A471" s="21"/>
      <c r="B471" s="11"/>
      <c r="C471" s="11"/>
      <c r="D471" s="11"/>
    </row>
    <row r="472">
      <c r="A472" s="21"/>
      <c r="B472" s="11"/>
      <c r="C472" s="11"/>
      <c r="D472" s="11"/>
    </row>
    <row r="473">
      <c r="A473" s="21"/>
      <c r="B473" s="11"/>
      <c r="C473" s="11"/>
      <c r="D473" s="11"/>
    </row>
    <row r="474">
      <c r="A474" s="21"/>
      <c r="B474" s="11"/>
      <c r="C474" s="11"/>
      <c r="D474" s="11"/>
    </row>
    <row r="475">
      <c r="A475" s="21"/>
      <c r="B475" s="11"/>
      <c r="C475" s="11"/>
      <c r="D475" s="11"/>
    </row>
    <row r="476">
      <c r="A476" s="21"/>
      <c r="B476" s="11"/>
      <c r="C476" s="11"/>
      <c r="D476" s="11"/>
    </row>
    <row r="477">
      <c r="A477" s="21"/>
      <c r="B477" s="11"/>
      <c r="C477" s="11"/>
      <c r="D477" s="11"/>
    </row>
    <row r="478">
      <c r="A478" s="21"/>
      <c r="B478" s="11"/>
      <c r="C478" s="11"/>
      <c r="D478" s="11"/>
    </row>
    <row r="479">
      <c r="A479" s="21"/>
      <c r="B479" s="11"/>
      <c r="C479" s="11"/>
      <c r="D479" s="11"/>
    </row>
    <row r="480">
      <c r="A480" s="21"/>
      <c r="B480" s="11"/>
      <c r="C480" s="11"/>
      <c r="D480" s="11"/>
    </row>
    <row r="481">
      <c r="A481" s="21"/>
      <c r="B481" s="11"/>
      <c r="C481" s="11"/>
      <c r="D481" s="11"/>
    </row>
    <row r="482">
      <c r="A482" s="21"/>
      <c r="B482" s="11"/>
      <c r="C482" s="11"/>
      <c r="D482" s="11"/>
    </row>
    <row r="483">
      <c r="A483" s="21"/>
      <c r="B483" s="11"/>
      <c r="C483" s="11"/>
      <c r="D483" s="11"/>
    </row>
    <row r="484">
      <c r="A484" s="21"/>
      <c r="B484" s="11"/>
      <c r="C484" s="11"/>
      <c r="D484" s="11"/>
    </row>
    <row r="485">
      <c r="A485" s="21"/>
      <c r="B485" s="11"/>
      <c r="C485" s="11"/>
      <c r="D485" s="11"/>
    </row>
    <row r="486">
      <c r="A486" s="21"/>
      <c r="B486" s="11"/>
      <c r="C486" s="11"/>
      <c r="D486" s="11"/>
    </row>
    <row r="487">
      <c r="A487" s="21"/>
      <c r="B487" s="11"/>
      <c r="C487" s="11"/>
      <c r="D487" s="11"/>
    </row>
    <row r="488">
      <c r="A488" s="21"/>
      <c r="B488" s="11"/>
      <c r="C488" s="11"/>
      <c r="D488" s="11"/>
    </row>
    <row r="489">
      <c r="A489" s="21"/>
      <c r="B489" s="11"/>
      <c r="C489" s="11"/>
      <c r="D489" s="11"/>
    </row>
    <row r="490">
      <c r="A490" s="21"/>
      <c r="B490" s="11"/>
      <c r="C490" s="11"/>
      <c r="D490" s="11"/>
    </row>
    <row r="491">
      <c r="A491" s="21"/>
      <c r="B491" s="11"/>
      <c r="C491" s="11"/>
      <c r="D491" s="11"/>
    </row>
    <row r="492">
      <c r="A492" s="21"/>
      <c r="B492" s="11"/>
      <c r="C492" s="11"/>
      <c r="D492" s="11"/>
    </row>
    <row r="493">
      <c r="A493" s="21"/>
      <c r="B493" s="11"/>
      <c r="C493" s="11"/>
      <c r="D493" s="11"/>
    </row>
    <row r="494">
      <c r="A494" s="21"/>
      <c r="B494" s="11"/>
      <c r="C494" s="11"/>
      <c r="D494" s="11"/>
    </row>
    <row r="495">
      <c r="A495" s="21"/>
      <c r="B495" s="11"/>
      <c r="C495" s="11"/>
      <c r="D495" s="11"/>
    </row>
    <row r="496">
      <c r="A496" s="21"/>
      <c r="B496" s="11"/>
      <c r="C496" s="11"/>
      <c r="D496" s="11"/>
    </row>
    <row r="497">
      <c r="A497" s="21"/>
      <c r="B497" s="11"/>
      <c r="C497" s="11"/>
      <c r="D497" s="11"/>
    </row>
    <row r="498">
      <c r="A498" s="21"/>
      <c r="B498" s="11"/>
      <c r="C498" s="11"/>
      <c r="D498" s="11"/>
    </row>
    <row r="499">
      <c r="A499" s="21"/>
      <c r="B499" s="11"/>
      <c r="C499" s="11"/>
      <c r="D499" s="11"/>
    </row>
    <row r="500">
      <c r="A500" s="21"/>
      <c r="B500" s="11"/>
      <c r="C500" s="11"/>
      <c r="D500" s="11"/>
    </row>
    <row r="501">
      <c r="A501" s="21"/>
      <c r="B501" s="11"/>
      <c r="C501" s="11"/>
      <c r="D501" s="11"/>
    </row>
    <row r="502">
      <c r="A502" s="21"/>
      <c r="B502" s="11"/>
      <c r="C502" s="11"/>
      <c r="D502" s="11"/>
    </row>
    <row r="503">
      <c r="A503" s="21"/>
      <c r="B503" s="11"/>
      <c r="C503" s="11"/>
      <c r="D503" s="11"/>
    </row>
    <row r="504">
      <c r="A504" s="21"/>
      <c r="B504" s="11"/>
      <c r="C504" s="11"/>
      <c r="D504" s="11"/>
    </row>
    <row r="505">
      <c r="A505" s="21"/>
      <c r="B505" s="11"/>
      <c r="C505" s="11"/>
      <c r="D505" s="11"/>
    </row>
    <row r="506">
      <c r="A506" s="21"/>
      <c r="B506" s="11"/>
      <c r="C506" s="11"/>
      <c r="D506" s="11"/>
    </row>
    <row r="507">
      <c r="A507" s="21"/>
      <c r="B507" s="11"/>
      <c r="C507" s="11"/>
      <c r="D507" s="11"/>
    </row>
    <row r="508">
      <c r="A508" s="21"/>
      <c r="B508" s="11"/>
      <c r="C508" s="11"/>
      <c r="D508" s="11"/>
    </row>
    <row r="509">
      <c r="A509" s="21"/>
      <c r="B509" s="11"/>
      <c r="C509" s="11"/>
      <c r="D509" s="11"/>
    </row>
    <row r="510">
      <c r="A510" s="21"/>
      <c r="B510" s="11"/>
      <c r="C510" s="11"/>
      <c r="D510" s="11"/>
    </row>
    <row r="511">
      <c r="A511" s="21"/>
      <c r="B511" s="11"/>
      <c r="C511" s="11"/>
      <c r="D511" s="11"/>
    </row>
    <row r="512">
      <c r="A512" s="21"/>
      <c r="B512" s="11"/>
      <c r="C512" s="11"/>
      <c r="D512" s="11"/>
    </row>
    <row r="513">
      <c r="A513" s="21"/>
      <c r="B513" s="11"/>
      <c r="C513" s="11"/>
      <c r="D513" s="11"/>
    </row>
    <row r="514">
      <c r="A514" s="21"/>
      <c r="B514" s="11"/>
      <c r="C514" s="11"/>
      <c r="D514" s="11"/>
    </row>
    <row r="515">
      <c r="A515" s="21"/>
      <c r="B515" s="11"/>
      <c r="C515" s="11"/>
      <c r="D515" s="11"/>
    </row>
    <row r="516">
      <c r="A516" s="21"/>
      <c r="B516" s="11"/>
      <c r="C516" s="11"/>
      <c r="D516" s="11"/>
    </row>
    <row r="517">
      <c r="A517" s="21"/>
      <c r="B517" s="11"/>
      <c r="C517" s="11"/>
      <c r="D517" s="11"/>
    </row>
    <row r="518">
      <c r="A518" s="21"/>
      <c r="B518" s="11"/>
      <c r="C518" s="11"/>
      <c r="D518" s="11"/>
    </row>
    <row r="519">
      <c r="A519" s="21"/>
      <c r="B519" s="11"/>
      <c r="C519" s="11"/>
      <c r="D519" s="11"/>
    </row>
    <row r="520">
      <c r="A520" s="21"/>
      <c r="B520" s="11"/>
      <c r="C520" s="11"/>
      <c r="D520" s="11"/>
    </row>
    <row r="521">
      <c r="A521" s="21"/>
      <c r="B521" s="11"/>
      <c r="C521" s="11"/>
      <c r="D521" s="11"/>
    </row>
    <row r="522">
      <c r="A522" s="21"/>
      <c r="B522" s="11"/>
      <c r="C522" s="11"/>
      <c r="D522" s="11"/>
    </row>
    <row r="523">
      <c r="A523" s="21"/>
      <c r="B523" s="11"/>
      <c r="C523" s="11"/>
      <c r="D523" s="11"/>
    </row>
    <row r="524">
      <c r="A524" s="21"/>
      <c r="B524" s="11"/>
      <c r="C524" s="11"/>
      <c r="D524" s="11"/>
    </row>
    <row r="525">
      <c r="A525" s="21"/>
      <c r="B525" s="11"/>
      <c r="C525" s="11"/>
      <c r="D525" s="11"/>
    </row>
    <row r="526">
      <c r="A526" s="21"/>
      <c r="B526" s="11"/>
      <c r="C526" s="11"/>
      <c r="D526" s="11"/>
    </row>
    <row r="527">
      <c r="A527" s="21"/>
      <c r="B527" s="11"/>
      <c r="C527" s="11"/>
      <c r="D527" s="11"/>
    </row>
    <row r="528">
      <c r="A528" s="21"/>
      <c r="B528" s="11"/>
      <c r="C528" s="11"/>
      <c r="D528" s="11"/>
    </row>
    <row r="529">
      <c r="A529" s="21"/>
      <c r="B529" s="11"/>
      <c r="C529" s="11"/>
      <c r="D529" s="11"/>
    </row>
    <row r="530">
      <c r="A530" s="21"/>
      <c r="B530" s="11"/>
      <c r="C530" s="11"/>
      <c r="D530" s="11"/>
    </row>
    <row r="531">
      <c r="A531" s="21"/>
      <c r="B531" s="11"/>
      <c r="C531" s="11"/>
      <c r="D531" s="11"/>
    </row>
    <row r="532">
      <c r="A532" s="21"/>
      <c r="B532" s="11"/>
      <c r="C532" s="11"/>
      <c r="D532" s="11"/>
    </row>
    <row r="533">
      <c r="A533" s="21"/>
      <c r="B533" s="11"/>
      <c r="C533" s="11"/>
      <c r="D533" s="11"/>
    </row>
    <row r="534">
      <c r="A534" s="21"/>
      <c r="B534" s="11"/>
      <c r="C534" s="11"/>
      <c r="D534" s="11"/>
    </row>
    <row r="535">
      <c r="A535" s="21"/>
      <c r="B535" s="11"/>
      <c r="C535" s="11"/>
      <c r="D535" s="11"/>
    </row>
    <row r="536">
      <c r="A536" s="21"/>
      <c r="B536" s="11"/>
      <c r="C536" s="11"/>
      <c r="D536" s="11"/>
    </row>
    <row r="537">
      <c r="A537" s="21"/>
      <c r="B537" s="11"/>
      <c r="C537" s="11"/>
      <c r="D537" s="11"/>
    </row>
    <row r="538">
      <c r="A538" s="21"/>
      <c r="B538" s="11"/>
      <c r="C538" s="11"/>
      <c r="D538" s="11"/>
    </row>
    <row r="539">
      <c r="A539" s="21"/>
      <c r="B539" s="11"/>
      <c r="C539" s="11"/>
      <c r="D539" s="11"/>
    </row>
    <row r="540">
      <c r="A540" s="21"/>
      <c r="B540" s="11"/>
      <c r="C540" s="11"/>
      <c r="D540" s="11"/>
    </row>
    <row r="541">
      <c r="A541" s="21"/>
      <c r="B541" s="11"/>
      <c r="C541" s="11"/>
      <c r="D541" s="11"/>
    </row>
    <row r="542">
      <c r="A542" s="21"/>
      <c r="B542" s="11"/>
      <c r="C542" s="11"/>
      <c r="D542" s="11"/>
    </row>
    <row r="543">
      <c r="A543" s="21"/>
      <c r="B543" s="11"/>
      <c r="C543" s="11"/>
      <c r="D543" s="11"/>
    </row>
    <row r="544">
      <c r="A544" s="21"/>
      <c r="B544" s="11"/>
      <c r="C544" s="11"/>
      <c r="D544" s="11"/>
    </row>
    <row r="545">
      <c r="A545" s="21"/>
      <c r="B545" s="11"/>
      <c r="C545" s="11"/>
      <c r="D545" s="11"/>
    </row>
    <row r="546">
      <c r="A546" s="21"/>
      <c r="B546" s="11"/>
      <c r="C546" s="11"/>
      <c r="D546" s="11"/>
    </row>
    <row r="547">
      <c r="A547" s="21"/>
      <c r="B547" s="11"/>
      <c r="C547" s="11"/>
      <c r="D547" s="11"/>
    </row>
    <row r="548">
      <c r="A548" s="21"/>
      <c r="B548" s="11"/>
      <c r="C548" s="11"/>
      <c r="D548" s="11"/>
    </row>
    <row r="549">
      <c r="A549" s="21"/>
      <c r="B549" s="11"/>
      <c r="C549" s="11"/>
      <c r="D549" s="11"/>
    </row>
    <row r="550">
      <c r="A550" s="21"/>
      <c r="B550" s="11"/>
      <c r="C550" s="11"/>
      <c r="D550" s="11"/>
    </row>
    <row r="551">
      <c r="A551" s="21"/>
      <c r="B551" s="11"/>
      <c r="C551" s="11"/>
      <c r="D551" s="11"/>
    </row>
    <row r="552">
      <c r="A552" s="21"/>
      <c r="B552" s="11"/>
      <c r="C552" s="11"/>
      <c r="D552" s="11"/>
    </row>
    <row r="553">
      <c r="A553" s="21"/>
      <c r="B553" s="11"/>
      <c r="C553" s="11"/>
      <c r="D553" s="11"/>
    </row>
    <row r="554">
      <c r="A554" s="21"/>
      <c r="B554" s="11"/>
      <c r="C554" s="11"/>
      <c r="D554" s="11"/>
    </row>
    <row r="555">
      <c r="A555" s="21"/>
      <c r="B555" s="11"/>
      <c r="C555" s="11"/>
      <c r="D555" s="11"/>
    </row>
    <row r="556">
      <c r="A556" s="21"/>
      <c r="B556" s="11"/>
      <c r="C556" s="11"/>
      <c r="D556" s="11"/>
    </row>
    <row r="557">
      <c r="A557" s="21"/>
      <c r="B557" s="11"/>
      <c r="C557" s="11"/>
      <c r="D557" s="11"/>
    </row>
    <row r="558">
      <c r="A558" s="21"/>
      <c r="B558" s="11"/>
      <c r="C558" s="11"/>
      <c r="D558" s="11"/>
    </row>
    <row r="559">
      <c r="A559" s="21"/>
      <c r="B559" s="11"/>
      <c r="C559" s="11"/>
      <c r="D559" s="11"/>
    </row>
    <row r="560">
      <c r="A560" s="21"/>
      <c r="B560" s="11"/>
      <c r="C560" s="11"/>
      <c r="D560" s="11"/>
    </row>
    <row r="561">
      <c r="A561" s="21"/>
      <c r="B561" s="11"/>
      <c r="C561" s="11"/>
      <c r="D561" s="11"/>
    </row>
    <row r="562">
      <c r="A562" s="21"/>
      <c r="B562" s="11"/>
      <c r="C562" s="11"/>
      <c r="D562" s="11"/>
    </row>
    <row r="563">
      <c r="A563" s="21"/>
      <c r="B563" s="11"/>
      <c r="C563" s="11"/>
      <c r="D563" s="11"/>
    </row>
    <row r="564">
      <c r="A564" s="21"/>
      <c r="B564" s="11"/>
      <c r="C564" s="11"/>
      <c r="D564" s="11"/>
    </row>
    <row r="565">
      <c r="A565" s="21"/>
      <c r="B565" s="11"/>
      <c r="C565" s="11"/>
      <c r="D565" s="11"/>
    </row>
    <row r="566">
      <c r="A566" s="21"/>
      <c r="B566" s="11"/>
      <c r="C566" s="11"/>
      <c r="D566" s="11"/>
    </row>
    <row r="567">
      <c r="A567" s="21"/>
      <c r="B567" s="11"/>
      <c r="C567" s="11"/>
      <c r="D567" s="11"/>
    </row>
    <row r="568">
      <c r="A568" s="21"/>
      <c r="B568" s="11"/>
      <c r="C568" s="11"/>
      <c r="D568" s="11"/>
    </row>
    <row r="569">
      <c r="A569" s="21"/>
      <c r="B569" s="11"/>
      <c r="C569" s="11"/>
      <c r="D569" s="11"/>
    </row>
    <row r="570">
      <c r="A570" s="21"/>
      <c r="B570" s="11"/>
      <c r="C570" s="11"/>
      <c r="D570" s="11"/>
    </row>
    <row r="571">
      <c r="A571" s="21"/>
      <c r="B571" s="11"/>
      <c r="C571" s="11"/>
      <c r="D571" s="11"/>
    </row>
    <row r="572">
      <c r="A572" s="21"/>
      <c r="B572" s="11"/>
      <c r="C572" s="11"/>
      <c r="D572" s="11"/>
    </row>
    <row r="573">
      <c r="A573" s="21"/>
      <c r="B573" s="11"/>
      <c r="C573" s="11"/>
      <c r="D573" s="11"/>
    </row>
    <row r="574">
      <c r="A574" s="21"/>
      <c r="B574" s="11"/>
      <c r="C574" s="11"/>
      <c r="D574" s="11"/>
    </row>
    <row r="575">
      <c r="A575" s="21"/>
      <c r="B575" s="11"/>
      <c r="C575" s="11"/>
      <c r="D575" s="11"/>
    </row>
    <row r="576">
      <c r="A576" s="21"/>
      <c r="B576" s="11"/>
      <c r="C576" s="11"/>
      <c r="D576" s="11"/>
    </row>
    <row r="577">
      <c r="A577" s="21"/>
      <c r="B577" s="11"/>
      <c r="C577" s="11"/>
      <c r="D577" s="11"/>
    </row>
    <row r="578">
      <c r="A578" s="21"/>
      <c r="B578" s="11"/>
      <c r="C578" s="11"/>
      <c r="D578" s="11"/>
    </row>
    <row r="579">
      <c r="A579" s="21"/>
      <c r="B579" s="11"/>
      <c r="C579" s="11"/>
      <c r="D579" s="11"/>
    </row>
    <row r="580">
      <c r="A580" s="21"/>
      <c r="B580" s="11"/>
      <c r="C580" s="11"/>
      <c r="D580" s="11"/>
    </row>
    <row r="581">
      <c r="A581" s="21"/>
      <c r="B581" s="11"/>
      <c r="C581" s="11"/>
      <c r="D581" s="11"/>
    </row>
    <row r="582">
      <c r="A582" s="21"/>
      <c r="B582" s="11"/>
      <c r="C582" s="11"/>
      <c r="D582" s="11"/>
    </row>
    <row r="583">
      <c r="A583" s="21"/>
      <c r="B583" s="11"/>
      <c r="C583" s="11"/>
      <c r="D583" s="11"/>
    </row>
    <row r="584">
      <c r="A584" s="21"/>
      <c r="B584" s="11"/>
      <c r="C584" s="11"/>
      <c r="D584" s="11"/>
    </row>
    <row r="585">
      <c r="A585" s="21"/>
      <c r="B585" s="11"/>
      <c r="C585" s="11"/>
      <c r="D585" s="11"/>
    </row>
    <row r="586">
      <c r="A586" s="21"/>
      <c r="B586" s="11"/>
      <c r="C586" s="11"/>
      <c r="D586" s="11"/>
    </row>
    <row r="587">
      <c r="A587" s="21"/>
      <c r="B587" s="11"/>
      <c r="C587" s="11"/>
      <c r="D587" s="11"/>
    </row>
    <row r="588">
      <c r="A588" s="21"/>
      <c r="B588" s="11"/>
      <c r="C588" s="11"/>
      <c r="D588" s="11"/>
    </row>
    <row r="589">
      <c r="A589" s="21"/>
      <c r="B589" s="11"/>
      <c r="C589" s="11"/>
      <c r="D589" s="11"/>
    </row>
    <row r="590">
      <c r="A590" s="21"/>
      <c r="B590" s="11"/>
      <c r="C590" s="11"/>
      <c r="D590" s="11"/>
    </row>
    <row r="591">
      <c r="A591" s="21"/>
      <c r="B591" s="11"/>
      <c r="C591" s="11"/>
      <c r="D591" s="11"/>
    </row>
    <row r="592">
      <c r="A592" s="21"/>
      <c r="B592" s="11"/>
      <c r="C592" s="11"/>
      <c r="D592" s="11"/>
    </row>
    <row r="593">
      <c r="A593" s="21"/>
      <c r="B593" s="11"/>
      <c r="C593" s="11"/>
      <c r="D593" s="11"/>
    </row>
    <row r="594">
      <c r="A594" s="21"/>
      <c r="B594" s="11"/>
      <c r="C594" s="11"/>
      <c r="D594" s="11"/>
    </row>
    <row r="595">
      <c r="A595" s="21"/>
      <c r="B595" s="11"/>
      <c r="C595" s="11"/>
      <c r="D595" s="11"/>
    </row>
    <row r="596">
      <c r="A596" s="21"/>
      <c r="B596" s="11"/>
      <c r="C596" s="11"/>
      <c r="D596" s="11"/>
    </row>
    <row r="597">
      <c r="A597" s="21"/>
      <c r="B597" s="11"/>
      <c r="C597" s="11"/>
      <c r="D597" s="11"/>
    </row>
    <row r="598">
      <c r="A598" s="21"/>
      <c r="B598" s="11"/>
      <c r="C598" s="11"/>
      <c r="D598" s="11"/>
    </row>
    <row r="599">
      <c r="A599" s="21"/>
      <c r="B599" s="11"/>
      <c r="C599" s="11"/>
      <c r="D599" s="11"/>
    </row>
    <row r="600">
      <c r="A600" s="21"/>
      <c r="B600" s="11"/>
      <c r="C600" s="11"/>
      <c r="D600" s="11"/>
    </row>
    <row r="601">
      <c r="A601" s="21"/>
      <c r="B601" s="11"/>
      <c r="C601" s="11"/>
      <c r="D601" s="11"/>
    </row>
    <row r="602">
      <c r="A602" s="21"/>
      <c r="B602" s="11"/>
      <c r="C602" s="11"/>
      <c r="D602" s="11"/>
    </row>
    <row r="603">
      <c r="A603" s="21"/>
      <c r="B603" s="11"/>
      <c r="C603" s="11"/>
      <c r="D603" s="11"/>
    </row>
    <row r="604">
      <c r="A604" s="21"/>
      <c r="B604" s="11"/>
      <c r="C604" s="11"/>
      <c r="D604" s="11"/>
    </row>
    <row r="605">
      <c r="A605" s="21"/>
      <c r="B605" s="11"/>
      <c r="C605" s="11"/>
      <c r="D605" s="11"/>
    </row>
    <row r="606">
      <c r="A606" s="21"/>
      <c r="B606" s="11"/>
      <c r="C606" s="11"/>
      <c r="D606" s="11"/>
    </row>
    <row r="607">
      <c r="A607" s="21"/>
      <c r="B607" s="11"/>
      <c r="C607" s="11"/>
      <c r="D607" s="11"/>
    </row>
    <row r="608">
      <c r="A608" s="21"/>
      <c r="B608" s="11"/>
      <c r="C608" s="11"/>
      <c r="D608" s="11"/>
    </row>
    <row r="609">
      <c r="A609" s="21"/>
      <c r="B609" s="11"/>
      <c r="C609" s="11"/>
      <c r="D609" s="11"/>
    </row>
    <row r="610">
      <c r="A610" s="21"/>
      <c r="B610" s="11"/>
      <c r="C610" s="11"/>
      <c r="D610" s="11"/>
    </row>
    <row r="611">
      <c r="A611" s="21"/>
      <c r="B611" s="11"/>
      <c r="C611" s="11"/>
      <c r="D611" s="11"/>
    </row>
    <row r="612">
      <c r="A612" s="21"/>
      <c r="B612" s="11"/>
      <c r="C612" s="11"/>
      <c r="D612" s="11"/>
    </row>
    <row r="613">
      <c r="A613" s="21"/>
      <c r="B613" s="11"/>
      <c r="C613" s="11"/>
      <c r="D613" s="11"/>
    </row>
    <row r="614">
      <c r="A614" s="21"/>
      <c r="B614" s="11"/>
      <c r="C614" s="11"/>
      <c r="D614" s="11"/>
    </row>
    <row r="615">
      <c r="A615" s="21"/>
      <c r="B615" s="11"/>
      <c r="C615" s="11"/>
      <c r="D615" s="11"/>
    </row>
    <row r="616">
      <c r="A616" s="21"/>
      <c r="B616" s="11"/>
      <c r="C616" s="11"/>
      <c r="D616" s="11"/>
    </row>
    <row r="617">
      <c r="A617" s="21"/>
      <c r="B617" s="11"/>
      <c r="C617" s="11"/>
      <c r="D617" s="11"/>
    </row>
    <row r="618">
      <c r="A618" s="21"/>
      <c r="B618" s="11"/>
      <c r="C618" s="11"/>
      <c r="D618" s="11"/>
    </row>
    <row r="619">
      <c r="A619" s="21"/>
      <c r="B619" s="11"/>
      <c r="C619" s="11"/>
      <c r="D619" s="11"/>
    </row>
    <row r="620">
      <c r="A620" s="21"/>
      <c r="B620" s="11"/>
      <c r="C620" s="11"/>
      <c r="D620" s="11"/>
    </row>
    <row r="621">
      <c r="A621" s="21"/>
      <c r="B621" s="11"/>
      <c r="C621" s="11"/>
      <c r="D621" s="11"/>
    </row>
    <row r="622">
      <c r="A622" s="21"/>
      <c r="B622" s="11"/>
      <c r="C622" s="11"/>
      <c r="D622" s="11"/>
    </row>
    <row r="623">
      <c r="A623" s="21"/>
      <c r="B623" s="11"/>
      <c r="C623" s="11"/>
      <c r="D623" s="11"/>
    </row>
    <row r="624">
      <c r="A624" s="21"/>
      <c r="B624" s="11"/>
      <c r="C624" s="11"/>
      <c r="D624" s="11"/>
    </row>
    <row r="625">
      <c r="A625" s="21"/>
      <c r="B625" s="11"/>
      <c r="C625" s="11"/>
      <c r="D625" s="11"/>
    </row>
    <row r="626">
      <c r="A626" s="21"/>
      <c r="B626" s="11"/>
      <c r="C626" s="11"/>
      <c r="D626" s="11"/>
    </row>
    <row r="627">
      <c r="A627" s="21"/>
      <c r="B627" s="11"/>
      <c r="C627" s="11"/>
      <c r="D627" s="11"/>
    </row>
    <row r="628">
      <c r="A628" s="21"/>
      <c r="B628" s="11"/>
      <c r="C628" s="11"/>
      <c r="D628" s="11"/>
    </row>
    <row r="629">
      <c r="A629" s="21"/>
      <c r="B629" s="11"/>
      <c r="C629" s="11"/>
      <c r="D629" s="11"/>
    </row>
    <row r="630">
      <c r="A630" s="21"/>
      <c r="B630" s="11"/>
      <c r="C630" s="11"/>
      <c r="D630" s="11"/>
    </row>
    <row r="631">
      <c r="A631" s="21"/>
      <c r="B631" s="11"/>
      <c r="C631" s="11"/>
      <c r="D631" s="11"/>
    </row>
    <row r="632">
      <c r="A632" s="21"/>
      <c r="B632" s="11"/>
      <c r="C632" s="11"/>
      <c r="D632" s="11"/>
    </row>
    <row r="633">
      <c r="A633" s="21"/>
      <c r="B633" s="11"/>
      <c r="C633" s="11"/>
      <c r="D633" s="11"/>
    </row>
    <row r="634">
      <c r="A634" s="21"/>
      <c r="B634" s="11"/>
      <c r="C634" s="11"/>
      <c r="D634" s="11"/>
    </row>
    <row r="635">
      <c r="A635" s="21"/>
      <c r="B635" s="11"/>
      <c r="C635" s="11"/>
      <c r="D635" s="11"/>
    </row>
    <row r="636">
      <c r="A636" s="21"/>
      <c r="B636" s="11"/>
      <c r="C636" s="11"/>
      <c r="D636" s="11"/>
    </row>
    <row r="637">
      <c r="A637" s="21"/>
      <c r="B637" s="11"/>
      <c r="C637" s="11"/>
      <c r="D637" s="11"/>
    </row>
    <row r="638">
      <c r="A638" s="21"/>
      <c r="B638" s="11"/>
      <c r="C638" s="11"/>
      <c r="D638" s="11"/>
    </row>
    <row r="639">
      <c r="A639" s="21"/>
      <c r="B639" s="11"/>
      <c r="C639" s="11"/>
      <c r="D639" s="11"/>
    </row>
    <row r="640">
      <c r="A640" s="21"/>
      <c r="B640" s="11"/>
      <c r="C640" s="11"/>
      <c r="D640" s="11"/>
    </row>
    <row r="641">
      <c r="A641" s="21"/>
      <c r="B641" s="11"/>
      <c r="C641" s="11"/>
      <c r="D641" s="11"/>
    </row>
    <row r="642">
      <c r="A642" s="21"/>
      <c r="B642" s="11"/>
      <c r="C642" s="11"/>
      <c r="D642" s="11"/>
    </row>
    <row r="643">
      <c r="A643" s="21"/>
      <c r="B643" s="11"/>
      <c r="C643" s="11"/>
      <c r="D643" s="11"/>
    </row>
    <row r="644">
      <c r="A644" s="21"/>
      <c r="B644" s="11"/>
      <c r="C644" s="11"/>
      <c r="D644" s="11"/>
    </row>
    <row r="645">
      <c r="A645" s="21"/>
      <c r="B645" s="11"/>
      <c r="C645" s="11"/>
      <c r="D645" s="11"/>
    </row>
    <row r="646">
      <c r="A646" s="21"/>
      <c r="B646" s="11"/>
      <c r="C646" s="11"/>
      <c r="D646" s="11"/>
    </row>
    <row r="647">
      <c r="A647" s="21"/>
      <c r="B647" s="11"/>
      <c r="C647" s="11"/>
      <c r="D647" s="11"/>
    </row>
    <row r="648">
      <c r="A648" s="21"/>
      <c r="B648" s="11"/>
      <c r="C648" s="11"/>
      <c r="D648" s="11"/>
    </row>
    <row r="649">
      <c r="A649" s="21"/>
      <c r="B649" s="11"/>
      <c r="C649" s="11"/>
      <c r="D649" s="11"/>
    </row>
    <row r="650">
      <c r="A650" s="21"/>
      <c r="B650" s="11"/>
      <c r="C650" s="11"/>
      <c r="D650" s="11"/>
    </row>
    <row r="651">
      <c r="A651" s="21"/>
      <c r="B651" s="11"/>
      <c r="C651" s="11"/>
      <c r="D651" s="11"/>
    </row>
    <row r="652">
      <c r="A652" s="21"/>
      <c r="B652" s="11"/>
      <c r="C652" s="11"/>
      <c r="D652" s="11"/>
    </row>
    <row r="653">
      <c r="A653" s="21"/>
      <c r="B653" s="11"/>
      <c r="C653" s="11"/>
      <c r="D653" s="11"/>
    </row>
    <row r="654">
      <c r="A654" s="21"/>
      <c r="B654" s="11"/>
      <c r="C654" s="11"/>
      <c r="D654" s="11"/>
    </row>
    <row r="655">
      <c r="A655" s="21"/>
      <c r="B655" s="11"/>
      <c r="C655" s="11"/>
      <c r="D655" s="11"/>
    </row>
    <row r="656">
      <c r="A656" s="21"/>
      <c r="B656" s="11"/>
      <c r="C656" s="11"/>
      <c r="D656" s="11"/>
    </row>
    <row r="657">
      <c r="A657" s="21"/>
      <c r="B657" s="11"/>
      <c r="C657" s="11"/>
      <c r="D657" s="11"/>
    </row>
    <row r="658">
      <c r="A658" s="21"/>
      <c r="B658" s="11"/>
      <c r="C658" s="11"/>
      <c r="D658" s="11"/>
    </row>
    <row r="659">
      <c r="A659" s="21"/>
      <c r="B659" s="11"/>
      <c r="C659" s="11"/>
      <c r="D659" s="11"/>
    </row>
    <row r="660">
      <c r="A660" s="21"/>
      <c r="B660" s="11"/>
      <c r="C660" s="11"/>
      <c r="D660" s="11"/>
    </row>
    <row r="661">
      <c r="A661" s="21"/>
      <c r="B661" s="11"/>
      <c r="C661" s="11"/>
      <c r="D661" s="11"/>
    </row>
    <row r="662">
      <c r="A662" s="21"/>
      <c r="B662" s="11"/>
      <c r="C662" s="11"/>
      <c r="D662" s="11"/>
    </row>
    <row r="663">
      <c r="A663" s="21"/>
      <c r="B663" s="11"/>
      <c r="C663" s="11"/>
      <c r="D663" s="11"/>
    </row>
    <row r="664">
      <c r="A664" s="21"/>
      <c r="B664" s="11"/>
      <c r="C664" s="11"/>
      <c r="D664" s="11"/>
    </row>
    <row r="665">
      <c r="A665" s="21"/>
      <c r="B665" s="11"/>
      <c r="C665" s="11"/>
      <c r="D665" s="11"/>
    </row>
    <row r="666">
      <c r="A666" s="21"/>
      <c r="B666" s="11"/>
      <c r="C666" s="11"/>
      <c r="D666" s="11"/>
    </row>
    <row r="667">
      <c r="A667" s="21"/>
      <c r="B667" s="11"/>
      <c r="C667" s="11"/>
      <c r="D667" s="11"/>
    </row>
    <row r="668">
      <c r="A668" s="21"/>
      <c r="B668" s="11"/>
      <c r="C668" s="11"/>
      <c r="D668" s="11"/>
    </row>
    <row r="669">
      <c r="A669" s="21"/>
      <c r="B669" s="11"/>
      <c r="C669" s="11"/>
      <c r="D669" s="11"/>
    </row>
    <row r="670">
      <c r="A670" s="21"/>
      <c r="B670" s="11"/>
      <c r="C670" s="11"/>
      <c r="D670" s="11"/>
    </row>
    <row r="671">
      <c r="A671" s="21"/>
      <c r="B671" s="11"/>
      <c r="C671" s="11"/>
      <c r="D671" s="11"/>
    </row>
    <row r="672">
      <c r="A672" s="21"/>
      <c r="B672" s="11"/>
      <c r="C672" s="11"/>
      <c r="D672" s="11"/>
    </row>
    <row r="673">
      <c r="A673" s="21"/>
      <c r="B673" s="11"/>
      <c r="C673" s="11"/>
      <c r="D673" s="11"/>
    </row>
    <row r="674">
      <c r="A674" s="21"/>
      <c r="B674" s="11"/>
      <c r="C674" s="11"/>
      <c r="D674" s="11"/>
    </row>
    <row r="675">
      <c r="A675" s="21"/>
      <c r="B675" s="11"/>
      <c r="C675" s="11"/>
      <c r="D675" s="11"/>
    </row>
    <row r="676">
      <c r="A676" s="21"/>
      <c r="B676" s="11"/>
      <c r="C676" s="11"/>
      <c r="D676" s="11"/>
    </row>
    <row r="677">
      <c r="A677" s="21"/>
      <c r="B677" s="11"/>
      <c r="C677" s="11"/>
      <c r="D677" s="11"/>
    </row>
    <row r="678">
      <c r="A678" s="21"/>
      <c r="B678" s="11"/>
      <c r="C678" s="11"/>
      <c r="D678" s="11"/>
    </row>
    <row r="679">
      <c r="A679" s="21"/>
      <c r="B679" s="11"/>
      <c r="C679" s="11"/>
      <c r="D679" s="11"/>
    </row>
    <row r="680">
      <c r="A680" s="21"/>
      <c r="B680" s="11"/>
      <c r="C680" s="11"/>
      <c r="D680" s="11"/>
    </row>
    <row r="681">
      <c r="A681" s="21"/>
      <c r="B681" s="11"/>
      <c r="C681" s="11"/>
      <c r="D681" s="11"/>
    </row>
    <row r="682">
      <c r="A682" s="21"/>
      <c r="B682" s="11"/>
      <c r="C682" s="11"/>
      <c r="D682" s="11"/>
    </row>
    <row r="683">
      <c r="A683" s="21"/>
      <c r="B683" s="11"/>
      <c r="C683" s="11"/>
      <c r="D683" s="11"/>
    </row>
    <row r="684">
      <c r="A684" s="21"/>
      <c r="B684" s="11"/>
      <c r="C684" s="11"/>
      <c r="D684" s="11"/>
    </row>
    <row r="685">
      <c r="A685" s="21"/>
      <c r="B685" s="11"/>
      <c r="C685" s="11"/>
      <c r="D685" s="11"/>
    </row>
    <row r="686">
      <c r="A686" s="21"/>
      <c r="B686" s="11"/>
      <c r="C686" s="11"/>
      <c r="D686" s="11"/>
    </row>
    <row r="687">
      <c r="A687" s="21"/>
      <c r="B687" s="11"/>
      <c r="C687" s="11"/>
      <c r="D687" s="11"/>
    </row>
    <row r="688">
      <c r="A688" s="21"/>
      <c r="B688" s="11"/>
      <c r="C688" s="11"/>
      <c r="D688" s="11"/>
    </row>
    <row r="689">
      <c r="A689" s="21"/>
      <c r="B689" s="11"/>
      <c r="C689" s="11"/>
      <c r="D689" s="11"/>
    </row>
    <row r="690">
      <c r="A690" s="21"/>
      <c r="B690" s="11"/>
      <c r="C690" s="11"/>
      <c r="D690" s="11"/>
    </row>
    <row r="691">
      <c r="A691" s="21"/>
      <c r="B691" s="11"/>
      <c r="C691" s="11"/>
      <c r="D691" s="11"/>
    </row>
    <row r="692">
      <c r="A692" s="21"/>
      <c r="B692" s="11"/>
      <c r="C692" s="11"/>
      <c r="D692" s="11"/>
    </row>
    <row r="693">
      <c r="A693" s="21"/>
      <c r="B693" s="11"/>
      <c r="C693" s="11"/>
      <c r="D693" s="11"/>
    </row>
    <row r="694">
      <c r="A694" s="21"/>
      <c r="B694" s="11"/>
      <c r="C694" s="11"/>
      <c r="D694" s="11"/>
    </row>
    <row r="695">
      <c r="A695" s="21"/>
      <c r="B695" s="11"/>
      <c r="C695" s="11"/>
      <c r="D695" s="11"/>
    </row>
    <row r="696">
      <c r="A696" s="21"/>
      <c r="B696" s="11"/>
      <c r="C696" s="11"/>
      <c r="D696" s="11"/>
    </row>
    <row r="697">
      <c r="A697" s="21"/>
      <c r="B697" s="11"/>
      <c r="C697" s="11"/>
      <c r="D697" s="11"/>
    </row>
    <row r="698">
      <c r="A698" s="21"/>
      <c r="B698" s="11"/>
      <c r="C698" s="11"/>
      <c r="D698" s="11"/>
    </row>
    <row r="699">
      <c r="A699" s="21"/>
      <c r="B699" s="11"/>
      <c r="C699" s="11"/>
      <c r="D699" s="11"/>
    </row>
    <row r="700">
      <c r="A700" s="21"/>
      <c r="B700" s="11"/>
      <c r="C700" s="11"/>
      <c r="D700" s="11"/>
    </row>
    <row r="701">
      <c r="A701" s="21"/>
      <c r="B701" s="11"/>
      <c r="C701" s="11"/>
      <c r="D701" s="11"/>
    </row>
    <row r="702">
      <c r="A702" s="21"/>
      <c r="B702" s="11"/>
      <c r="C702" s="11"/>
      <c r="D702" s="11"/>
    </row>
    <row r="703">
      <c r="A703" s="21"/>
      <c r="B703" s="11"/>
      <c r="C703" s="11"/>
      <c r="D703" s="11"/>
    </row>
    <row r="704">
      <c r="A704" s="21"/>
      <c r="B704" s="11"/>
      <c r="C704" s="11"/>
      <c r="D704" s="11"/>
    </row>
    <row r="705">
      <c r="A705" s="21"/>
      <c r="B705" s="11"/>
      <c r="C705" s="11"/>
      <c r="D705" s="11"/>
    </row>
    <row r="706">
      <c r="A706" s="21"/>
      <c r="B706" s="11"/>
      <c r="C706" s="11"/>
      <c r="D706" s="11"/>
    </row>
    <row r="707">
      <c r="A707" s="21"/>
      <c r="B707" s="11"/>
      <c r="C707" s="11"/>
      <c r="D707" s="11"/>
    </row>
    <row r="708">
      <c r="A708" s="21"/>
      <c r="B708" s="11"/>
      <c r="C708" s="11"/>
      <c r="D708" s="11"/>
    </row>
    <row r="709">
      <c r="A709" s="21"/>
      <c r="B709" s="11"/>
      <c r="C709" s="11"/>
      <c r="D709" s="11"/>
    </row>
    <row r="710">
      <c r="A710" s="21"/>
      <c r="B710" s="11"/>
      <c r="C710" s="11"/>
      <c r="D710" s="11"/>
    </row>
    <row r="711">
      <c r="A711" s="21"/>
      <c r="B711" s="11"/>
      <c r="C711" s="11"/>
      <c r="D711" s="11"/>
    </row>
    <row r="712">
      <c r="A712" s="21"/>
      <c r="B712" s="11"/>
      <c r="C712" s="11"/>
      <c r="D712" s="11"/>
    </row>
    <row r="713">
      <c r="A713" s="21"/>
      <c r="B713" s="11"/>
      <c r="C713" s="11"/>
      <c r="D713" s="11"/>
    </row>
    <row r="714">
      <c r="A714" s="21"/>
      <c r="B714" s="11"/>
      <c r="C714" s="11"/>
      <c r="D714" s="11"/>
    </row>
    <row r="715">
      <c r="A715" s="21"/>
      <c r="B715" s="11"/>
      <c r="C715" s="11"/>
      <c r="D715" s="11"/>
    </row>
    <row r="716">
      <c r="A716" s="21"/>
      <c r="B716" s="11"/>
      <c r="C716" s="11"/>
      <c r="D716" s="11"/>
    </row>
    <row r="717">
      <c r="A717" s="21"/>
      <c r="B717" s="11"/>
      <c r="C717" s="11"/>
      <c r="D717" s="11"/>
    </row>
    <row r="718">
      <c r="A718" s="21"/>
      <c r="B718" s="11"/>
      <c r="C718" s="11"/>
      <c r="D718" s="11"/>
    </row>
    <row r="719">
      <c r="A719" s="21"/>
      <c r="B719" s="11"/>
      <c r="C719" s="11"/>
      <c r="D719" s="11"/>
    </row>
    <row r="720">
      <c r="A720" s="21"/>
      <c r="B720" s="11"/>
      <c r="C720" s="11"/>
      <c r="D720" s="11"/>
    </row>
    <row r="721">
      <c r="A721" s="21"/>
      <c r="B721" s="11"/>
      <c r="C721" s="11"/>
      <c r="D721" s="11"/>
    </row>
    <row r="722">
      <c r="A722" s="21"/>
      <c r="B722" s="11"/>
      <c r="C722" s="11"/>
      <c r="D722" s="11"/>
    </row>
    <row r="723">
      <c r="A723" s="21"/>
      <c r="B723" s="11"/>
      <c r="C723" s="11"/>
      <c r="D723" s="11"/>
    </row>
    <row r="724">
      <c r="A724" s="21"/>
      <c r="B724" s="11"/>
      <c r="C724" s="11"/>
      <c r="D724" s="11"/>
    </row>
    <row r="725">
      <c r="A725" s="21"/>
      <c r="B725" s="11"/>
      <c r="C725" s="11"/>
      <c r="D725" s="11"/>
    </row>
    <row r="726">
      <c r="A726" s="21"/>
      <c r="B726" s="11"/>
      <c r="C726" s="11"/>
      <c r="D726" s="11"/>
    </row>
    <row r="727">
      <c r="A727" s="21"/>
      <c r="B727" s="11"/>
      <c r="C727" s="11"/>
      <c r="D727" s="11"/>
    </row>
    <row r="728">
      <c r="A728" s="21"/>
      <c r="B728" s="11"/>
      <c r="C728" s="11"/>
      <c r="D728" s="11"/>
    </row>
    <row r="729">
      <c r="A729" s="21"/>
      <c r="B729" s="11"/>
      <c r="C729" s="11"/>
      <c r="D729" s="11"/>
    </row>
    <row r="730">
      <c r="A730" s="21"/>
      <c r="B730" s="11"/>
      <c r="C730" s="11"/>
      <c r="D730" s="11"/>
    </row>
    <row r="731">
      <c r="A731" s="21"/>
      <c r="B731" s="11"/>
      <c r="C731" s="11"/>
      <c r="D731" s="11"/>
    </row>
    <row r="732">
      <c r="A732" s="21"/>
      <c r="B732" s="11"/>
      <c r="C732" s="11"/>
      <c r="D732" s="11"/>
    </row>
    <row r="733">
      <c r="A733" s="21"/>
      <c r="B733" s="11"/>
      <c r="C733" s="11"/>
      <c r="D733" s="11"/>
    </row>
    <row r="734">
      <c r="A734" s="21"/>
      <c r="B734" s="11"/>
      <c r="C734" s="11"/>
      <c r="D734" s="11"/>
    </row>
    <row r="735">
      <c r="A735" s="21"/>
      <c r="B735" s="11"/>
      <c r="C735" s="11"/>
      <c r="D735" s="11"/>
    </row>
    <row r="736">
      <c r="A736" s="21"/>
      <c r="B736" s="11"/>
      <c r="C736" s="11"/>
      <c r="D736" s="11"/>
    </row>
    <row r="737">
      <c r="A737" s="21"/>
      <c r="B737" s="11"/>
      <c r="C737" s="11"/>
      <c r="D737" s="11"/>
    </row>
    <row r="738">
      <c r="A738" s="21"/>
      <c r="B738" s="11"/>
      <c r="C738" s="11"/>
      <c r="D738" s="11"/>
    </row>
    <row r="739">
      <c r="A739" s="21"/>
      <c r="B739" s="11"/>
      <c r="C739" s="11"/>
      <c r="D739" s="11"/>
    </row>
    <row r="740">
      <c r="A740" s="21"/>
      <c r="B740" s="11"/>
      <c r="C740" s="11"/>
      <c r="D740" s="11"/>
    </row>
    <row r="741">
      <c r="A741" s="21"/>
      <c r="B741" s="11"/>
      <c r="C741" s="11"/>
      <c r="D741" s="11"/>
    </row>
    <row r="742">
      <c r="A742" s="21"/>
      <c r="B742" s="11"/>
      <c r="C742" s="11"/>
      <c r="D742" s="11"/>
    </row>
    <row r="743">
      <c r="A743" s="21"/>
      <c r="B743" s="11"/>
      <c r="C743" s="11"/>
      <c r="D743" s="11"/>
    </row>
    <row r="744">
      <c r="A744" s="21"/>
      <c r="B744" s="11"/>
      <c r="C744" s="11"/>
      <c r="D744" s="11"/>
    </row>
    <row r="745">
      <c r="A745" s="21"/>
      <c r="B745" s="11"/>
      <c r="C745" s="11"/>
      <c r="D745" s="11"/>
    </row>
    <row r="746">
      <c r="A746" s="21"/>
      <c r="B746" s="11"/>
      <c r="C746" s="11"/>
      <c r="D746" s="11"/>
    </row>
    <row r="747">
      <c r="A747" s="21"/>
      <c r="B747" s="11"/>
      <c r="C747" s="11"/>
      <c r="D747" s="11"/>
    </row>
    <row r="748">
      <c r="A748" s="21"/>
      <c r="B748" s="11"/>
      <c r="C748" s="11"/>
      <c r="D748" s="11"/>
    </row>
    <row r="749">
      <c r="A749" s="21"/>
      <c r="B749" s="11"/>
      <c r="C749" s="11"/>
      <c r="D749" s="11"/>
    </row>
    <row r="750">
      <c r="A750" s="21"/>
      <c r="B750" s="11"/>
      <c r="C750" s="11"/>
      <c r="D750" s="11"/>
    </row>
    <row r="751">
      <c r="A751" s="21"/>
      <c r="B751" s="11"/>
      <c r="C751" s="11"/>
      <c r="D751" s="11"/>
    </row>
    <row r="752">
      <c r="A752" s="21"/>
      <c r="B752" s="11"/>
      <c r="C752" s="11"/>
      <c r="D752" s="11"/>
    </row>
    <row r="753">
      <c r="A753" s="21"/>
      <c r="B753" s="11"/>
      <c r="C753" s="11"/>
      <c r="D753" s="11"/>
    </row>
    <row r="754">
      <c r="A754" s="21"/>
      <c r="B754" s="11"/>
      <c r="C754" s="11"/>
      <c r="D754" s="11"/>
    </row>
    <row r="755">
      <c r="A755" s="21"/>
      <c r="B755" s="11"/>
      <c r="C755" s="11"/>
      <c r="D755" s="11"/>
    </row>
    <row r="756">
      <c r="A756" s="21"/>
      <c r="B756" s="11"/>
      <c r="C756" s="11"/>
      <c r="D756" s="11"/>
    </row>
    <row r="757">
      <c r="A757" s="21"/>
      <c r="B757" s="11"/>
      <c r="C757" s="11"/>
      <c r="D757" s="11"/>
    </row>
    <row r="758">
      <c r="A758" s="21"/>
      <c r="B758" s="11"/>
      <c r="C758" s="11"/>
      <c r="D758" s="11"/>
    </row>
    <row r="759">
      <c r="A759" s="21"/>
      <c r="B759" s="11"/>
      <c r="C759" s="11"/>
      <c r="D759" s="11"/>
    </row>
    <row r="760">
      <c r="A760" s="21"/>
      <c r="B760" s="11"/>
      <c r="C760" s="11"/>
      <c r="D760" s="11"/>
    </row>
    <row r="761">
      <c r="A761" s="21"/>
      <c r="B761" s="11"/>
      <c r="C761" s="11"/>
      <c r="D761" s="11"/>
    </row>
    <row r="762">
      <c r="A762" s="21"/>
      <c r="B762" s="11"/>
      <c r="C762" s="11"/>
      <c r="D762" s="11"/>
    </row>
    <row r="763">
      <c r="A763" s="21"/>
      <c r="B763" s="11"/>
      <c r="C763" s="11"/>
      <c r="D763" s="11"/>
    </row>
    <row r="764">
      <c r="A764" s="21"/>
      <c r="B764" s="11"/>
      <c r="C764" s="11"/>
      <c r="D764" s="11"/>
    </row>
    <row r="765">
      <c r="A765" s="21"/>
      <c r="B765" s="11"/>
      <c r="C765" s="11"/>
      <c r="D765" s="11"/>
    </row>
    <row r="766">
      <c r="A766" s="21"/>
      <c r="B766" s="11"/>
      <c r="C766" s="11"/>
      <c r="D766" s="11"/>
    </row>
    <row r="767">
      <c r="A767" s="21"/>
      <c r="B767" s="11"/>
      <c r="C767" s="11"/>
      <c r="D767" s="11"/>
    </row>
    <row r="768">
      <c r="A768" s="21"/>
      <c r="B768" s="11"/>
      <c r="C768" s="11"/>
      <c r="D768" s="11"/>
    </row>
    <row r="769">
      <c r="A769" s="21"/>
      <c r="B769" s="11"/>
      <c r="C769" s="11"/>
      <c r="D769" s="11"/>
    </row>
    <row r="770">
      <c r="A770" s="21"/>
      <c r="B770" s="11"/>
      <c r="C770" s="11"/>
      <c r="D770" s="11"/>
    </row>
    <row r="771">
      <c r="A771" s="21"/>
      <c r="B771" s="11"/>
      <c r="C771" s="11"/>
      <c r="D771" s="11"/>
    </row>
    <row r="772">
      <c r="A772" s="21"/>
      <c r="B772" s="11"/>
      <c r="C772" s="11"/>
      <c r="D772" s="11"/>
    </row>
    <row r="773">
      <c r="A773" s="21"/>
      <c r="B773" s="11"/>
      <c r="C773" s="11"/>
      <c r="D773" s="11"/>
    </row>
    <row r="774">
      <c r="A774" s="21"/>
      <c r="B774" s="11"/>
      <c r="C774" s="11"/>
      <c r="D774" s="11"/>
    </row>
    <row r="775">
      <c r="A775" s="21"/>
      <c r="B775" s="11"/>
      <c r="C775" s="11"/>
      <c r="D775" s="11"/>
    </row>
    <row r="776">
      <c r="A776" s="21"/>
      <c r="B776" s="11"/>
      <c r="C776" s="11"/>
      <c r="D776" s="11"/>
    </row>
    <row r="777">
      <c r="A777" s="21"/>
      <c r="B777" s="11"/>
      <c r="C777" s="11"/>
      <c r="D777" s="11"/>
    </row>
    <row r="778">
      <c r="A778" s="21"/>
      <c r="B778" s="11"/>
      <c r="C778" s="11"/>
      <c r="D778" s="11"/>
    </row>
    <row r="779">
      <c r="A779" s="21"/>
      <c r="B779" s="11"/>
      <c r="C779" s="11"/>
      <c r="D779" s="11"/>
    </row>
    <row r="780">
      <c r="A780" s="21"/>
      <c r="B780" s="11"/>
      <c r="C780" s="11"/>
      <c r="D780" s="11"/>
    </row>
    <row r="781">
      <c r="A781" s="21"/>
      <c r="B781" s="11"/>
      <c r="C781" s="11"/>
      <c r="D781" s="11"/>
    </row>
    <row r="782">
      <c r="A782" s="21"/>
      <c r="B782" s="11"/>
      <c r="C782" s="11"/>
      <c r="D782" s="11"/>
    </row>
    <row r="783">
      <c r="A783" s="21"/>
      <c r="B783" s="11"/>
      <c r="C783" s="11"/>
      <c r="D783" s="11"/>
    </row>
    <row r="784">
      <c r="A784" s="21"/>
      <c r="B784" s="11"/>
      <c r="C784" s="11"/>
      <c r="D784" s="11"/>
    </row>
    <row r="785">
      <c r="A785" s="21"/>
      <c r="B785" s="11"/>
      <c r="C785" s="11"/>
      <c r="D785" s="11"/>
    </row>
    <row r="786">
      <c r="A786" s="21"/>
      <c r="B786" s="11"/>
      <c r="C786" s="11"/>
      <c r="D786" s="11"/>
    </row>
    <row r="787">
      <c r="A787" s="21"/>
      <c r="B787" s="11"/>
      <c r="C787" s="11"/>
      <c r="D787" s="11"/>
    </row>
    <row r="788">
      <c r="A788" s="21"/>
      <c r="B788" s="11"/>
      <c r="C788" s="11"/>
      <c r="D788" s="11"/>
    </row>
    <row r="789">
      <c r="A789" s="21"/>
      <c r="B789" s="11"/>
      <c r="C789" s="11"/>
      <c r="D789" s="11"/>
    </row>
    <row r="790">
      <c r="A790" s="21"/>
      <c r="B790" s="11"/>
      <c r="C790" s="11"/>
      <c r="D790" s="11"/>
    </row>
    <row r="791">
      <c r="A791" s="21"/>
      <c r="B791" s="11"/>
      <c r="C791" s="11"/>
      <c r="D791" s="11"/>
    </row>
    <row r="792">
      <c r="A792" s="21"/>
      <c r="B792" s="11"/>
      <c r="C792" s="11"/>
      <c r="D792" s="11"/>
    </row>
    <row r="793">
      <c r="A793" s="21"/>
      <c r="B793" s="11"/>
      <c r="C793" s="11"/>
      <c r="D793" s="11"/>
    </row>
    <row r="794">
      <c r="A794" s="21"/>
      <c r="B794" s="11"/>
      <c r="C794" s="11"/>
      <c r="D794" s="11"/>
    </row>
    <row r="795">
      <c r="A795" s="21"/>
      <c r="B795" s="11"/>
      <c r="C795" s="11"/>
      <c r="D795" s="11"/>
    </row>
    <row r="796">
      <c r="A796" s="21"/>
      <c r="B796" s="11"/>
      <c r="C796" s="11"/>
      <c r="D796" s="11"/>
    </row>
    <row r="797">
      <c r="A797" s="21"/>
      <c r="B797" s="11"/>
      <c r="C797" s="11"/>
      <c r="D797" s="11"/>
    </row>
    <row r="798">
      <c r="A798" s="21"/>
      <c r="B798" s="11"/>
      <c r="C798" s="11"/>
      <c r="D798" s="11"/>
    </row>
    <row r="799">
      <c r="A799" s="21"/>
      <c r="B799" s="11"/>
      <c r="C799" s="11"/>
      <c r="D799" s="11"/>
    </row>
    <row r="800">
      <c r="A800" s="21"/>
      <c r="B800" s="11"/>
      <c r="C800" s="11"/>
      <c r="D800" s="11"/>
    </row>
    <row r="801">
      <c r="A801" s="21"/>
      <c r="B801" s="11"/>
      <c r="C801" s="11"/>
      <c r="D801" s="11"/>
    </row>
    <row r="802">
      <c r="A802" s="21"/>
      <c r="B802" s="11"/>
      <c r="C802" s="11"/>
      <c r="D802" s="11"/>
    </row>
    <row r="803">
      <c r="A803" s="21"/>
      <c r="B803" s="11"/>
      <c r="C803" s="11"/>
      <c r="D803" s="11"/>
    </row>
    <row r="804">
      <c r="A804" s="21"/>
      <c r="B804" s="11"/>
      <c r="C804" s="11"/>
      <c r="D804" s="11"/>
    </row>
    <row r="805">
      <c r="A805" s="21"/>
      <c r="B805" s="11"/>
      <c r="C805" s="11"/>
      <c r="D805" s="11"/>
    </row>
    <row r="806">
      <c r="A806" s="21"/>
      <c r="B806" s="11"/>
      <c r="C806" s="11"/>
      <c r="D806" s="11"/>
    </row>
    <row r="807">
      <c r="A807" s="21"/>
      <c r="B807" s="11"/>
      <c r="C807" s="11"/>
      <c r="D807" s="11"/>
    </row>
    <row r="808">
      <c r="A808" s="21"/>
      <c r="B808" s="11"/>
      <c r="C808" s="11"/>
      <c r="D808" s="11"/>
    </row>
    <row r="809">
      <c r="A809" s="21"/>
      <c r="B809" s="11"/>
      <c r="C809" s="11"/>
      <c r="D809" s="11"/>
    </row>
    <row r="810">
      <c r="A810" s="21"/>
      <c r="B810" s="11"/>
      <c r="C810" s="11"/>
      <c r="D810" s="11"/>
    </row>
    <row r="811">
      <c r="A811" s="21"/>
      <c r="B811" s="11"/>
      <c r="C811" s="11"/>
      <c r="D811" s="11"/>
    </row>
    <row r="812">
      <c r="A812" s="21"/>
      <c r="B812" s="11"/>
      <c r="C812" s="11"/>
      <c r="D812" s="11"/>
    </row>
    <row r="813">
      <c r="A813" s="21"/>
      <c r="B813" s="11"/>
      <c r="C813" s="11"/>
      <c r="D813" s="11"/>
    </row>
    <row r="814">
      <c r="A814" s="21"/>
      <c r="B814" s="11"/>
      <c r="C814" s="11"/>
      <c r="D814" s="11"/>
    </row>
    <row r="815">
      <c r="A815" s="21"/>
      <c r="B815" s="11"/>
      <c r="C815" s="11"/>
      <c r="D815" s="11"/>
    </row>
    <row r="816">
      <c r="A816" s="21"/>
      <c r="B816" s="11"/>
      <c r="C816" s="11"/>
      <c r="D816" s="11"/>
    </row>
    <row r="817">
      <c r="A817" s="21"/>
      <c r="B817" s="11"/>
      <c r="C817" s="11"/>
      <c r="D817" s="11"/>
    </row>
    <row r="818">
      <c r="A818" s="21"/>
      <c r="B818" s="11"/>
      <c r="C818" s="11"/>
      <c r="D818" s="11"/>
    </row>
    <row r="819">
      <c r="A819" s="21"/>
      <c r="B819" s="11"/>
      <c r="C819" s="11"/>
      <c r="D819" s="11"/>
    </row>
    <row r="820">
      <c r="A820" s="21"/>
      <c r="B820" s="11"/>
      <c r="C820" s="11"/>
      <c r="D820" s="11"/>
    </row>
    <row r="821">
      <c r="A821" s="21"/>
      <c r="B821" s="11"/>
      <c r="C821" s="11"/>
      <c r="D821" s="11"/>
    </row>
    <row r="822">
      <c r="A822" s="21"/>
      <c r="B822" s="11"/>
      <c r="C822" s="11"/>
      <c r="D822" s="11"/>
    </row>
    <row r="823">
      <c r="A823" s="21"/>
      <c r="B823" s="11"/>
      <c r="C823" s="11"/>
      <c r="D823" s="11"/>
    </row>
    <row r="824">
      <c r="A824" s="21"/>
      <c r="B824" s="11"/>
      <c r="C824" s="11"/>
      <c r="D824" s="11"/>
    </row>
    <row r="825">
      <c r="A825" s="21"/>
      <c r="B825" s="11"/>
      <c r="C825" s="11"/>
      <c r="D825" s="11"/>
    </row>
    <row r="826">
      <c r="A826" s="21"/>
      <c r="B826" s="11"/>
      <c r="C826" s="11"/>
      <c r="D826" s="11"/>
    </row>
    <row r="827">
      <c r="A827" s="21"/>
      <c r="B827" s="11"/>
      <c r="C827" s="11"/>
      <c r="D827" s="11"/>
    </row>
    <row r="828">
      <c r="A828" s="21"/>
      <c r="B828" s="11"/>
      <c r="C828" s="11"/>
      <c r="D828" s="11"/>
    </row>
    <row r="829">
      <c r="A829" s="21"/>
      <c r="B829" s="11"/>
      <c r="C829" s="11"/>
      <c r="D829" s="11"/>
    </row>
    <row r="830">
      <c r="A830" s="21"/>
      <c r="B830" s="11"/>
      <c r="C830" s="11"/>
      <c r="D830" s="11"/>
    </row>
    <row r="831">
      <c r="A831" s="21"/>
      <c r="B831" s="11"/>
      <c r="C831" s="11"/>
      <c r="D831" s="11"/>
    </row>
    <row r="832">
      <c r="A832" s="21"/>
      <c r="B832" s="11"/>
      <c r="C832" s="11"/>
      <c r="D832" s="11"/>
    </row>
    <row r="833">
      <c r="A833" s="21"/>
      <c r="B833" s="11"/>
      <c r="C833" s="11"/>
      <c r="D833" s="11"/>
    </row>
    <row r="834">
      <c r="A834" s="21"/>
      <c r="B834" s="11"/>
      <c r="C834" s="11"/>
      <c r="D834" s="11"/>
    </row>
    <row r="835">
      <c r="A835" s="21"/>
      <c r="B835" s="11"/>
      <c r="C835" s="11"/>
      <c r="D835" s="11"/>
    </row>
    <row r="836">
      <c r="A836" s="21"/>
      <c r="B836" s="11"/>
      <c r="C836" s="11"/>
      <c r="D836" s="11"/>
    </row>
    <row r="837">
      <c r="A837" s="21"/>
      <c r="B837" s="11"/>
      <c r="C837" s="11"/>
      <c r="D837" s="11"/>
    </row>
    <row r="838">
      <c r="A838" s="21"/>
      <c r="B838" s="11"/>
      <c r="C838" s="11"/>
      <c r="D838" s="11"/>
    </row>
    <row r="839">
      <c r="A839" s="21"/>
      <c r="B839" s="11"/>
      <c r="C839" s="11"/>
      <c r="D839" s="11"/>
    </row>
    <row r="840">
      <c r="A840" s="21"/>
      <c r="B840" s="11"/>
      <c r="C840" s="11"/>
      <c r="D840" s="11"/>
    </row>
    <row r="841">
      <c r="A841" s="21"/>
      <c r="B841" s="11"/>
      <c r="C841" s="11"/>
      <c r="D841" s="11"/>
    </row>
    <row r="842">
      <c r="A842" s="21"/>
      <c r="B842" s="11"/>
      <c r="C842" s="11"/>
      <c r="D842" s="11"/>
    </row>
    <row r="843">
      <c r="A843" s="21"/>
      <c r="B843" s="11"/>
      <c r="C843" s="11"/>
      <c r="D843" s="11"/>
    </row>
    <row r="844">
      <c r="A844" s="21"/>
      <c r="B844" s="11"/>
      <c r="C844" s="11"/>
      <c r="D844" s="11"/>
    </row>
    <row r="845">
      <c r="A845" s="21"/>
      <c r="B845" s="11"/>
      <c r="C845" s="11"/>
      <c r="D845" s="11"/>
    </row>
    <row r="846">
      <c r="A846" s="21"/>
      <c r="B846" s="11"/>
      <c r="C846" s="11"/>
      <c r="D846" s="11"/>
    </row>
    <row r="847">
      <c r="A847" s="21"/>
      <c r="B847" s="11"/>
      <c r="C847" s="11"/>
      <c r="D847" s="11"/>
    </row>
    <row r="848">
      <c r="A848" s="21"/>
      <c r="B848" s="11"/>
      <c r="C848" s="11"/>
      <c r="D848" s="11"/>
    </row>
    <row r="849">
      <c r="A849" s="21"/>
      <c r="B849" s="11"/>
      <c r="C849" s="11"/>
      <c r="D849" s="11"/>
    </row>
    <row r="850">
      <c r="A850" s="21"/>
      <c r="B850" s="11"/>
      <c r="C850" s="11"/>
      <c r="D850" s="11"/>
    </row>
    <row r="851">
      <c r="A851" s="21"/>
      <c r="B851" s="11"/>
      <c r="C851" s="11"/>
      <c r="D851" s="11"/>
    </row>
    <row r="852">
      <c r="A852" s="21"/>
      <c r="B852" s="11"/>
      <c r="C852" s="11"/>
      <c r="D852" s="11"/>
    </row>
    <row r="853">
      <c r="A853" s="21"/>
      <c r="B853" s="11"/>
      <c r="C853" s="11"/>
      <c r="D853" s="11"/>
    </row>
    <row r="854">
      <c r="A854" s="21"/>
      <c r="B854" s="11"/>
      <c r="C854" s="11"/>
      <c r="D854" s="11"/>
    </row>
    <row r="855">
      <c r="A855" s="21"/>
      <c r="B855" s="11"/>
      <c r="C855" s="11"/>
      <c r="D855" s="11"/>
    </row>
    <row r="856">
      <c r="A856" s="21"/>
      <c r="B856" s="11"/>
      <c r="C856" s="11"/>
      <c r="D856" s="11"/>
    </row>
    <row r="857">
      <c r="A857" s="21"/>
      <c r="B857" s="11"/>
      <c r="C857" s="11"/>
      <c r="D857" s="11"/>
    </row>
    <row r="858">
      <c r="A858" s="21"/>
      <c r="B858" s="11"/>
      <c r="C858" s="11"/>
      <c r="D858" s="11"/>
    </row>
    <row r="859">
      <c r="A859" s="21"/>
      <c r="B859" s="11"/>
      <c r="C859" s="11"/>
      <c r="D859" s="11"/>
    </row>
    <row r="860">
      <c r="A860" s="21"/>
      <c r="B860" s="11"/>
      <c r="C860" s="11"/>
      <c r="D860" s="11"/>
    </row>
    <row r="861">
      <c r="A861" s="21"/>
      <c r="B861" s="11"/>
      <c r="C861" s="11"/>
      <c r="D861" s="11"/>
    </row>
    <row r="862">
      <c r="A862" s="21"/>
      <c r="B862" s="11"/>
      <c r="C862" s="11"/>
      <c r="D862" s="11"/>
    </row>
    <row r="863">
      <c r="A863" s="21"/>
      <c r="B863" s="11"/>
      <c r="C863" s="11"/>
      <c r="D863" s="11"/>
    </row>
    <row r="864">
      <c r="A864" s="21"/>
      <c r="B864" s="11"/>
      <c r="C864" s="11"/>
      <c r="D864" s="11"/>
    </row>
    <row r="865">
      <c r="A865" s="21"/>
      <c r="B865" s="11"/>
      <c r="C865" s="11"/>
      <c r="D865" s="11"/>
    </row>
    <row r="866">
      <c r="A866" s="21"/>
      <c r="B866" s="11"/>
      <c r="C866" s="11"/>
      <c r="D866" s="11"/>
    </row>
    <row r="867">
      <c r="A867" s="21"/>
      <c r="B867" s="11"/>
      <c r="C867" s="11"/>
      <c r="D867" s="11"/>
    </row>
    <row r="868">
      <c r="A868" s="21"/>
      <c r="B868" s="11"/>
      <c r="C868" s="11"/>
      <c r="D868" s="11"/>
    </row>
    <row r="869">
      <c r="A869" s="21"/>
      <c r="B869" s="11"/>
      <c r="C869" s="11"/>
      <c r="D869" s="11"/>
    </row>
    <row r="870">
      <c r="A870" s="21"/>
      <c r="B870" s="11"/>
      <c r="C870" s="11"/>
      <c r="D870" s="11"/>
    </row>
    <row r="871">
      <c r="A871" s="21"/>
      <c r="B871" s="11"/>
      <c r="C871" s="11"/>
      <c r="D871" s="11"/>
    </row>
    <row r="872">
      <c r="A872" s="21"/>
      <c r="B872" s="11"/>
      <c r="C872" s="11"/>
      <c r="D872" s="11"/>
    </row>
    <row r="873">
      <c r="A873" s="21"/>
      <c r="B873" s="11"/>
      <c r="C873" s="11"/>
      <c r="D873" s="11"/>
    </row>
    <row r="874">
      <c r="A874" s="21"/>
      <c r="B874" s="11"/>
      <c r="C874" s="11"/>
      <c r="D874" s="11"/>
    </row>
    <row r="875">
      <c r="A875" s="21"/>
      <c r="B875" s="11"/>
      <c r="C875" s="11"/>
      <c r="D875" s="11"/>
    </row>
    <row r="876">
      <c r="A876" s="21"/>
      <c r="B876" s="11"/>
      <c r="C876" s="11"/>
      <c r="D876" s="11"/>
    </row>
    <row r="877">
      <c r="A877" s="21"/>
      <c r="B877" s="11"/>
      <c r="C877" s="11"/>
      <c r="D877" s="11"/>
    </row>
    <row r="878">
      <c r="A878" s="21"/>
      <c r="B878" s="11"/>
      <c r="C878" s="11"/>
      <c r="D878" s="11"/>
    </row>
    <row r="879">
      <c r="A879" s="21"/>
      <c r="B879" s="11"/>
      <c r="C879" s="11"/>
      <c r="D879" s="11"/>
    </row>
    <row r="880">
      <c r="A880" s="21"/>
      <c r="B880" s="11"/>
      <c r="C880" s="11"/>
      <c r="D880" s="11"/>
    </row>
    <row r="881">
      <c r="A881" s="21"/>
      <c r="B881" s="11"/>
      <c r="C881" s="11"/>
      <c r="D881" s="11"/>
    </row>
    <row r="882">
      <c r="A882" s="21"/>
      <c r="B882" s="11"/>
      <c r="C882" s="11"/>
      <c r="D882" s="11"/>
    </row>
    <row r="883">
      <c r="A883" s="21"/>
      <c r="B883" s="11"/>
      <c r="C883" s="11"/>
      <c r="D883" s="11"/>
    </row>
    <row r="884">
      <c r="A884" s="21"/>
      <c r="B884" s="11"/>
      <c r="C884" s="11"/>
      <c r="D884" s="11"/>
    </row>
    <row r="885">
      <c r="A885" s="21"/>
      <c r="B885" s="11"/>
      <c r="C885" s="11"/>
      <c r="D885" s="11"/>
    </row>
    <row r="886">
      <c r="A886" s="21"/>
      <c r="B886" s="11"/>
      <c r="C886" s="11"/>
      <c r="D886" s="11"/>
    </row>
    <row r="887">
      <c r="A887" s="21"/>
      <c r="B887" s="11"/>
      <c r="C887" s="11"/>
      <c r="D887" s="11"/>
    </row>
    <row r="888">
      <c r="A888" s="21"/>
      <c r="B888" s="11"/>
      <c r="C888" s="11"/>
      <c r="D888" s="11"/>
    </row>
    <row r="889">
      <c r="A889" s="21"/>
      <c r="B889" s="11"/>
      <c r="C889" s="11"/>
      <c r="D889" s="11"/>
    </row>
    <row r="890">
      <c r="A890" s="21"/>
      <c r="B890" s="11"/>
      <c r="C890" s="11"/>
      <c r="D890" s="11"/>
    </row>
    <row r="891">
      <c r="A891" s="21"/>
      <c r="B891" s="11"/>
      <c r="C891" s="11"/>
      <c r="D891" s="11"/>
    </row>
    <row r="892">
      <c r="A892" s="21"/>
      <c r="B892" s="11"/>
      <c r="C892" s="11"/>
      <c r="D892" s="11"/>
    </row>
    <row r="893">
      <c r="A893" s="21"/>
      <c r="B893" s="11"/>
      <c r="C893" s="11"/>
      <c r="D893" s="11"/>
    </row>
    <row r="894">
      <c r="A894" s="21"/>
      <c r="B894" s="11"/>
      <c r="C894" s="11"/>
      <c r="D894" s="11"/>
    </row>
    <row r="895">
      <c r="A895" s="21"/>
      <c r="B895" s="11"/>
      <c r="C895" s="11"/>
      <c r="D895" s="11"/>
    </row>
    <row r="896">
      <c r="A896" s="21"/>
      <c r="B896" s="11"/>
      <c r="C896" s="11"/>
      <c r="D896" s="11"/>
    </row>
    <row r="897">
      <c r="A897" s="21"/>
      <c r="B897" s="11"/>
      <c r="C897" s="11"/>
      <c r="D897" s="11"/>
    </row>
    <row r="898">
      <c r="A898" s="21"/>
      <c r="B898" s="11"/>
      <c r="C898" s="11"/>
      <c r="D898" s="11"/>
    </row>
    <row r="899">
      <c r="A899" s="21"/>
      <c r="B899" s="11"/>
      <c r="C899" s="11"/>
      <c r="D899" s="11"/>
    </row>
    <row r="900">
      <c r="A900" s="21"/>
      <c r="B900" s="11"/>
      <c r="C900" s="11"/>
      <c r="D900" s="11"/>
    </row>
    <row r="901">
      <c r="A901" s="21"/>
      <c r="B901" s="11"/>
      <c r="C901" s="11"/>
      <c r="D901" s="11"/>
    </row>
    <row r="902">
      <c r="A902" s="21"/>
      <c r="B902" s="11"/>
      <c r="C902" s="11"/>
      <c r="D902" s="11"/>
    </row>
    <row r="903">
      <c r="A903" s="21"/>
      <c r="B903" s="11"/>
      <c r="C903" s="11"/>
      <c r="D903" s="11"/>
    </row>
    <row r="904">
      <c r="A904" s="21"/>
      <c r="B904" s="11"/>
      <c r="C904" s="11"/>
      <c r="D904" s="11"/>
    </row>
    <row r="905">
      <c r="A905" s="21"/>
      <c r="B905" s="11"/>
      <c r="C905" s="11"/>
      <c r="D905" s="11"/>
    </row>
    <row r="906">
      <c r="A906" s="21"/>
      <c r="B906" s="11"/>
      <c r="C906" s="11"/>
      <c r="D906" s="11"/>
    </row>
    <row r="907">
      <c r="A907" s="21"/>
      <c r="B907" s="11"/>
      <c r="C907" s="11"/>
      <c r="D907" s="11"/>
    </row>
    <row r="908">
      <c r="A908" s="21"/>
      <c r="B908" s="11"/>
      <c r="C908" s="11"/>
      <c r="D908" s="11"/>
    </row>
    <row r="909">
      <c r="A909" s="21"/>
      <c r="B909" s="11"/>
      <c r="C909" s="11"/>
      <c r="D909" s="11"/>
    </row>
    <row r="910">
      <c r="A910" s="21"/>
      <c r="B910" s="11"/>
      <c r="C910" s="11"/>
      <c r="D910" s="11"/>
    </row>
    <row r="911">
      <c r="A911" s="21"/>
      <c r="B911" s="11"/>
      <c r="C911" s="11"/>
      <c r="D911" s="11"/>
    </row>
    <row r="912">
      <c r="A912" s="21"/>
      <c r="B912" s="11"/>
      <c r="C912" s="11"/>
      <c r="D912" s="11"/>
    </row>
    <row r="913">
      <c r="A913" s="21"/>
      <c r="B913" s="11"/>
      <c r="C913" s="11"/>
      <c r="D913" s="11"/>
    </row>
    <row r="914">
      <c r="A914" s="21"/>
      <c r="B914" s="11"/>
      <c r="C914" s="11"/>
      <c r="D914" s="11"/>
    </row>
    <row r="915">
      <c r="A915" s="21"/>
      <c r="B915" s="11"/>
      <c r="C915" s="11"/>
      <c r="D915" s="11"/>
    </row>
    <row r="916">
      <c r="A916" s="21"/>
      <c r="B916" s="11"/>
      <c r="C916" s="11"/>
      <c r="D916" s="11"/>
    </row>
    <row r="917">
      <c r="A917" s="21"/>
      <c r="B917" s="11"/>
      <c r="C917" s="11"/>
      <c r="D917" s="11"/>
    </row>
    <row r="918">
      <c r="A918" s="21"/>
      <c r="B918" s="11"/>
      <c r="C918" s="11"/>
      <c r="D918" s="11"/>
    </row>
    <row r="919">
      <c r="A919" s="21"/>
      <c r="B919" s="11"/>
      <c r="C919" s="11"/>
      <c r="D919" s="11"/>
    </row>
    <row r="920">
      <c r="A920" s="21"/>
      <c r="B920" s="11"/>
      <c r="C920" s="11"/>
      <c r="D920" s="11"/>
    </row>
    <row r="921">
      <c r="A921" s="21"/>
      <c r="B921" s="11"/>
      <c r="C921" s="11"/>
      <c r="D921" s="11"/>
    </row>
    <row r="922">
      <c r="A922" s="21"/>
      <c r="B922" s="11"/>
      <c r="C922" s="11"/>
      <c r="D922" s="11"/>
    </row>
    <row r="923">
      <c r="A923" s="21"/>
      <c r="B923" s="11"/>
      <c r="C923" s="11"/>
      <c r="D923" s="11"/>
    </row>
    <row r="924">
      <c r="A924" s="21"/>
      <c r="B924" s="11"/>
      <c r="C924" s="11"/>
      <c r="D924" s="11"/>
    </row>
    <row r="925">
      <c r="A925" s="21"/>
      <c r="B925" s="11"/>
      <c r="C925" s="11"/>
      <c r="D925" s="11"/>
    </row>
    <row r="926">
      <c r="A926" s="21"/>
      <c r="B926" s="11"/>
      <c r="C926" s="11"/>
      <c r="D926" s="11"/>
    </row>
    <row r="927">
      <c r="A927" s="21"/>
      <c r="B927" s="11"/>
      <c r="C927" s="11"/>
      <c r="D927" s="11"/>
    </row>
    <row r="928">
      <c r="A928" s="21"/>
      <c r="B928" s="11"/>
      <c r="C928" s="11"/>
      <c r="D928" s="11"/>
    </row>
    <row r="929">
      <c r="A929" s="21"/>
      <c r="B929" s="11"/>
      <c r="C929" s="11"/>
      <c r="D929" s="11"/>
    </row>
    <row r="930">
      <c r="A930" s="21"/>
      <c r="B930" s="11"/>
      <c r="C930" s="11"/>
      <c r="D930" s="11"/>
    </row>
    <row r="931">
      <c r="A931" s="21"/>
      <c r="B931" s="11"/>
      <c r="C931" s="11"/>
      <c r="D931" s="11"/>
    </row>
    <row r="932">
      <c r="A932" s="21"/>
      <c r="B932" s="11"/>
      <c r="C932" s="11"/>
      <c r="D932" s="11"/>
    </row>
    <row r="933">
      <c r="A933" s="21"/>
      <c r="B933" s="11"/>
      <c r="C933" s="11"/>
      <c r="D933" s="11"/>
    </row>
    <row r="934">
      <c r="A934" s="21"/>
      <c r="B934" s="11"/>
      <c r="C934" s="11"/>
      <c r="D934" s="11"/>
    </row>
    <row r="935">
      <c r="A935" s="21"/>
      <c r="B935" s="11"/>
      <c r="C935" s="11"/>
      <c r="D935" s="11"/>
    </row>
    <row r="936">
      <c r="A936" s="21"/>
      <c r="B936" s="11"/>
      <c r="C936" s="11"/>
      <c r="D936" s="11"/>
    </row>
    <row r="937">
      <c r="A937" s="21"/>
      <c r="B937" s="11"/>
      <c r="C937" s="11"/>
      <c r="D937" s="11"/>
    </row>
    <row r="938">
      <c r="A938" s="21"/>
      <c r="B938" s="11"/>
      <c r="C938" s="11"/>
      <c r="D938" s="11"/>
    </row>
    <row r="939">
      <c r="A939" s="21"/>
      <c r="B939" s="11"/>
      <c r="C939" s="11"/>
      <c r="D939" s="11"/>
    </row>
    <row r="940">
      <c r="A940" s="21"/>
      <c r="B940" s="11"/>
      <c r="C940" s="11"/>
      <c r="D940" s="11"/>
    </row>
    <row r="941">
      <c r="A941" s="21"/>
      <c r="B941" s="11"/>
      <c r="C941" s="11"/>
      <c r="D941" s="11"/>
    </row>
    <row r="942">
      <c r="A942" s="21"/>
      <c r="B942" s="11"/>
      <c r="C942" s="11"/>
      <c r="D942" s="11"/>
    </row>
    <row r="943">
      <c r="A943" s="21"/>
      <c r="B943" s="11"/>
      <c r="C943" s="11"/>
      <c r="D943" s="11"/>
    </row>
    <row r="944">
      <c r="A944" s="21"/>
      <c r="B944" s="11"/>
      <c r="C944" s="11"/>
      <c r="D944" s="11"/>
    </row>
    <row r="945">
      <c r="A945" s="21"/>
      <c r="B945" s="11"/>
      <c r="C945" s="11"/>
      <c r="D945" s="11"/>
    </row>
    <row r="946">
      <c r="A946" s="21"/>
      <c r="B946" s="11"/>
      <c r="C946" s="11"/>
      <c r="D946" s="11"/>
    </row>
    <row r="947">
      <c r="A947" s="21"/>
      <c r="B947" s="11"/>
      <c r="C947" s="11"/>
      <c r="D947" s="11"/>
    </row>
    <row r="948">
      <c r="A948" s="21"/>
      <c r="B948" s="11"/>
      <c r="C948" s="11"/>
      <c r="D948" s="11"/>
    </row>
    <row r="949">
      <c r="A949" s="21"/>
      <c r="B949" s="11"/>
      <c r="C949" s="11"/>
      <c r="D949" s="11"/>
    </row>
    <row r="950">
      <c r="A950" s="21"/>
      <c r="B950" s="11"/>
      <c r="C950" s="11"/>
      <c r="D950" s="11"/>
    </row>
    <row r="951">
      <c r="A951" s="21"/>
      <c r="B951" s="11"/>
      <c r="C951" s="11"/>
      <c r="D951" s="11"/>
    </row>
    <row r="952">
      <c r="A952" s="21"/>
      <c r="B952" s="11"/>
      <c r="C952" s="11"/>
      <c r="D952" s="11"/>
    </row>
    <row r="953">
      <c r="A953" s="21"/>
      <c r="B953" s="11"/>
      <c r="C953" s="11"/>
      <c r="D953" s="11"/>
    </row>
    <row r="954">
      <c r="A954" s="21"/>
      <c r="B954" s="11"/>
      <c r="C954" s="11"/>
      <c r="D954" s="11"/>
    </row>
    <row r="955">
      <c r="A955" s="21"/>
      <c r="B955" s="11"/>
      <c r="C955" s="11"/>
      <c r="D955" s="11"/>
    </row>
    <row r="956">
      <c r="A956" s="21"/>
      <c r="B956" s="11"/>
      <c r="C956" s="11"/>
      <c r="D956" s="11"/>
    </row>
    <row r="957">
      <c r="A957" s="21"/>
      <c r="B957" s="11"/>
      <c r="C957" s="11"/>
      <c r="D957" s="11"/>
    </row>
    <row r="958">
      <c r="A958" s="21"/>
      <c r="B958" s="11"/>
      <c r="C958" s="11"/>
      <c r="D958" s="11"/>
    </row>
    <row r="959">
      <c r="A959" s="21"/>
      <c r="B959" s="11"/>
      <c r="C959" s="11"/>
      <c r="D959" s="11"/>
    </row>
    <row r="960">
      <c r="A960" s="21"/>
      <c r="B960" s="11"/>
      <c r="C960" s="11"/>
      <c r="D960" s="11"/>
    </row>
    <row r="961">
      <c r="A961" s="21"/>
      <c r="B961" s="11"/>
      <c r="C961" s="11"/>
      <c r="D961" s="11"/>
    </row>
    <row r="962">
      <c r="A962" s="21"/>
      <c r="B962" s="11"/>
      <c r="C962" s="11"/>
      <c r="D962" s="11"/>
    </row>
    <row r="963">
      <c r="A963" s="21"/>
      <c r="B963" s="11"/>
      <c r="C963" s="11"/>
      <c r="D963" s="11"/>
    </row>
    <row r="964">
      <c r="A964" s="21"/>
      <c r="B964" s="11"/>
      <c r="C964" s="11"/>
      <c r="D964" s="11"/>
    </row>
    <row r="965">
      <c r="A965" s="21"/>
      <c r="B965" s="11"/>
      <c r="C965" s="11"/>
      <c r="D965" s="11"/>
    </row>
    <row r="966">
      <c r="A966" s="21"/>
      <c r="B966" s="11"/>
      <c r="C966" s="11"/>
      <c r="D966" s="11"/>
    </row>
    <row r="967">
      <c r="A967" s="21"/>
      <c r="B967" s="11"/>
      <c r="C967" s="11"/>
      <c r="D967" s="11"/>
    </row>
    <row r="968">
      <c r="A968" s="21"/>
      <c r="B968" s="11"/>
      <c r="C968" s="11"/>
      <c r="D968" s="11"/>
    </row>
    <row r="969">
      <c r="A969" s="21"/>
      <c r="B969" s="11"/>
      <c r="C969" s="11"/>
      <c r="D969" s="11"/>
    </row>
    <row r="970">
      <c r="A970" s="21"/>
      <c r="B970" s="11"/>
      <c r="C970" s="11"/>
      <c r="D970" s="11"/>
    </row>
    <row r="971">
      <c r="A971" s="21"/>
      <c r="B971" s="11"/>
      <c r="C971" s="11"/>
      <c r="D971" s="11"/>
    </row>
    <row r="972">
      <c r="A972" s="21"/>
      <c r="B972" s="11"/>
      <c r="C972" s="11"/>
      <c r="D972" s="11"/>
    </row>
    <row r="973">
      <c r="A973" s="21"/>
      <c r="B973" s="11"/>
      <c r="C973" s="11"/>
      <c r="D973" s="11"/>
    </row>
    <row r="974">
      <c r="A974" s="21"/>
      <c r="B974" s="11"/>
      <c r="C974" s="11"/>
      <c r="D974" s="11"/>
    </row>
    <row r="975">
      <c r="A975" s="21"/>
      <c r="B975" s="11"/>
      <c r="C975" s="11"/>
      <c r="D975" s="11"/>
    </row>
    <row r="976">
      <c r="A976" s="21"/>
      <c r="B976" s="11"/>
      <c r="C976" s="11"/>
      <c r="D976" s="11"/>
    </row>
    <row r="977">
      <c r="A977" s="21"/>
      <c r="B977" s="11"/>
      <c r="C977" s="11"/>
      <c r="D977" s="11"/>
    </row>
    <row r="978">
      <c r="A978" s="21"/>
      <c r="B978" s="11"/>
      <c r="C978" s="11"/>
      <c r="D978" s="11"/>
    </row>
    <row r="979">
      <c r="A979" s="21"/>
      <c r="B979" s="11"/>
      <c r="C979" s="11"/>
      <c r="D979" s="11"/>
    </row>
    <row r="980">
      <c r="A980" s="21"/>
      <c r="B980" s="11"/>
      <c r="C980" s="11"/>
      <c r="D980" s="11"/>
    </row>
    <row r="981">
      <c r="A981" s="21"/>
      <c r="B981" s="11"/>
      <c r="C981" s="11"/>
      <c r="D981" s="11"/>
    </row>
    <row r="982">
      <c r="A982" s="21"/>
      <c r="B982" s="11"/>
      <c r="C982" s="11"/>
      <c r="D982" s="11"/>
    </row>
    <row r="983">
      <c r="A983" s="21"/>
      <c r="B983" s="11"/>
      <c r="C983" s="11"/>
      <c r="D983" s="11"/>
    </row>
    <row r="984">
      <c r="A984" s="21"/>
      <c r="B984" s="11"/>
      <c r="C984" s="11"/>
      <c r="D984" s="11"/>
    </row>
    <row r="985">
      <c r="A985" s="21"/>
      <c r="B985" s="11"/>
      <c r="C985" s="11"/>
      <c r="D985" s="11"/>
    </row>
    <row r="986">
      <c r="A986" s="21"/>
      <c r="B986" s="11"/>
      <c r="C986" s="11"/>
      <c r="D986" s="11"/>
    </row>
    <row r="987">
      <c r="A987" s="21"/>
      <c r="B987" s="11"/>
      <c r="C987" s="11"/>
      <c r="D987" s="11"/>
    </row>
    <row r="988">
      <c r="A988" s="21"/>
      <c r="B988" s="11"/>
      <c r="C988" s="11"/>
      <c r="D988" s="11"/>
    </row>
    <row r="989">
      <c r="A989" s="21"/>
      <c r="B989" s="11"/>
      <c r="C989" s="11"/>
      <c r="D989" s="11"/>
    </row>
    <row r="990">
      <c r="A990" s="21"/>
      <c r="B990" s="11"/>
      <c r="C990" s="11"/>
      <c r="D990" s="11"/>
    </row>
    <row r="991">
      <c r="A991" s="21"/>
      <c r="B991" s="11"/>
      <c r="C991" s="11"/>
      <c r="D991" s="11"/>
    </row>
    <row r="992">
      <c r="A992" s="21"/>
      <c r="B992" s="11"/>
      <c r="C992" s="11"/>
      <c r="D992" s="11"/>
    </row>
    <row r="993">
      <c r="A993" s="21"/>
      <c r="B993" s="11"/>
      <c r="C993" s="11"/>
      <c r="D993" s="11"/>
    </row>
    <row r="994">
      <c r="A994" s="21"/>
      <c r="B994" s="11"/>
      <c r="C994" s="11"/>
      <c r="D994" s="11"/>
    </row>
    <row r="995">
      <c r="A995" s="21"/>
      <c r="B995" s="11"/>
      <c r="C995" s="11"/>
      <c r="D995" s="11"/>
    </row>
    <row r="996">
      <c r="A996" s="21"/>
      <c r="B996" s="11"/>
      <c r="C996" s="11"/>
      <c r="D996" s="11"/>
    </row>
    <row r="997">
      <c r="A997" s="21"/>
      <c r="B997" s="11"/>
      <c r="C997" s="11"/>
      <c r="D997" s="11"/>
    </row>
    <row r="998">
      <c r="A998" s="21"/>
      <c r="B998" s="11"/>
      <c r="C998" s="11"/>
      <c r="D998" s="11"/>
    </row>
    <row r="999">
      <c r="A999" s="21"/>
      <c r="B999" s="11"/>
      <c r="C999" s="11"/>
      <c r="D999" s="11"/>
    </row>
    <row r="1000">
      <c r="A1000" s="21"/>
      <c r="B1000" s="11"/>
      <c r="C1000" s="11"/>
      <c r="D1000" s="11"/>
    </row>
  </sheetData>
  <mergeCells count="2">
    <mergeCell ref="E2:E13"/>
    <mergeCell ref="E14:E1000"/>
  </mergeCells>
  <conditionalFormatting sqref="B2:D1000">
    <cfRule type="cellIs" dxfId="4" priority="1" operator="equal">
      <formula>"-"</formula>
    </cfRule>
  </conditionalFormatting>
  <hyperlinks>
    <hyperlink r:id="rId1" ref="C2"/>
    <hyperlink r:id="rId2" ref="E2"/>
    <hyperlink r:id="rId3" ref="C3"/>
    <hyperlink r:id="rId4" ref="B4"/>
    <hyperlink r:id="rId5" ref="C4"/>
    <hyperlink r:id="rId6" ref="C5"/>
    <hyperlink r:id="rId7" ref="C6"/>
    <hyperlink r:id="rId8" ref="B7"/>
    <hyperlink r:id="rId9" ref="C7"/>
    <hyperlink r:id="rId10" ref="C8"/>
    <hyperlink r:id="rId11" ref="C9"/>
    <hyperlink r:id="rId12" ref="B10"/>
    <hyperlink r:id="rId13" ref="C10"/>
    <hyperlink r:id="rId14" ref="C11"/>
    <hyperlink r:id="rId15" ref="C12"/>
    <hyperlink r:id="rId16" ref="C13"/>
    <hyperlink r:id="rId17" ref="C14"/>
    <hyperlink r:id="rId18" ref="C15"/>
    <hyperlink r:id="rId19" ref="C16"/>
    <hyperlink r:id="rId20" ref="C17"/>
    <hyperlink r:id="rId21" ref="C18"/>
    <hyperlink r:id="rId22" ref="B19"/>
    <hyperlink r:id="rId23" ref="C19"/>
    <hyperlink r:id="rId24" ref="C20"/>
    <hyperlink r:id="rId25" ref="C21"/>
    <hyperlink r:id="rId26" ref="C22"/>
    <hyperlink r:id="rId27" ref="C23"/>
    <hyperlink r:id="rId28" ref="C24"/>
    <hyperlink r:id="rId29" ref="C25"/>
    <hyperlink r:id="rId30" ref="C26"/>
    <hyperlink r:id="rId31" ref="B27"/>
    <hyperlink r:id="rId32" ref="C27"/>
    <hyperlink r:id="rId33" ref="C28"/>
    <hyperlink r:id="rId34" ref="B29"/>
    <hyperlink r:id="rId35" ref="C29"/>
    <hyperlink r:id="rId36" ref="C30"/>
    <hyperlink r:id="rId37" ref="C31"/>
    <hyperlink r:id="rId38" ref="B32"/>
    <hyperlink r:id="rId39" ref="C32"/>
    <hyperlink r:id="rId40" ref="C33"/>
    <hyperlink r:id="rId41" ref="C34"/>
    <hyperlink r:id="rId42" ref="B35"/>
    <hyperlink r:id="rId43" ref="C35"/>
    <hyperlink r:id="rId44" ref="C36"/>
    <hyperlink r:id="rId45" ref="B37"/>
    <hyperlink r:id="rId46" ref="C38"/>
    <hyperlink r:id="rId47" ref="B39"/>
    <hyperlink r:id="rId48" ref="C39"/>
    <hyperlink r:id="rId49" ref="C40"/>
    <hyperlink r:id="rId50" ref="B41"/>
    <hyperlink r:id="rId51" ref="C42"/>
    <hyperlink r:id="rId52" ref="C43"/>
    <hyperlink r:id="rId53" ref="C44"/>
    <hyperlink r:id="rId54" ref="C45"/>
    <hyperlink r:id="rId55" ref="C46"/>
    <hyperlink r:id="rId56" ref="C47"/>
    <hyperlink r:id="rId57" ref="C48"/>
    <hyperlink r:id="rId58" ref="C49"/>
    <hyperlink r:id="rId59" ref="B50"/>
    <hyperlink r:id="rId60" ref="C50"/>
    <hyperlink r:id="rId61" ref="C51"/>
    <hyperlink r:id="rId62" ref="C52"/>
    <hyperlink r:id="rId63" ref="C53"/>
    <hyperlink r:id="rId64" ref="B54"/>
    <hyperlink r:id="rId65" ref="C54"/>
    <hyperlink r:id="rId66" ref="C55"/>
    <hyperlink r:id="rId67" ref="C56"/>
    <hyperlink r:id="rId68" ref="C57"/>
    <hyperlink r:id="rId69" ref="C58"/>
    <hyperlink r:id="rId70" ref="C59"/>
    <hyperlink r:id="rId71" ref="B60"/>
    <hyperlink r:id="rId72" ref="C60"/>
    <hyperlink r:id="rId73" ref="C61"/>
    <hyperlink r:id="rId74" ref="C62"/>
    <hyperlink r:id="rId75" ref="B63"/>
    <hyperlink r:id="rId76" ref="C63"/>
    <hyperlink r:id="rId77" ref="C64"/>
    <hyperlink r:id="rId78" ref="C65"/>
    <hyperlink r:id="rId79" ref="B66"/>
    <hyperlink r:id="rId80" ref="C66"/>
    <hyperlink r:id="rId81" ref="D66"/>
    <hyperlink r:id="rId82" ref="C67"/>
    <hyperlink r:id="rId83" ref="C68"/>
    <hyperlink r:id="rId84" ref="B69"/>
    <hyperlink r:id="rId85" ref="C70"/>
    <hyperlink r:id="rId86" ref="C71"/>
    <hyperlink r:id="rId87" ref="C72"/>
    <hyperlink r:id="rId88" ref="C73"/>
    <hyperlink r:id="rId89" ref="B74"/>
    <hyperlink r:id="rId90" ref="C74"/>
    <hyperlink r:id="rId91" ref="C75"/>
    <hyperlink r:id="rId92" ref="C76"/>
    <hyperlink r:id="rId93" ref="B77"/>
    <hyperlink r:id="rId94" ref="C77"/>
    <hyperlink r:id="rId95" ref="C78"/>
    <hyperlink r:id="rId96" ref="B79"/>
    <hyperlink r:id="rId97" ref="C79"/>
    <hyperlink r:id="rId98" ref="C82"/>
    <hyperlink r:id="rId99" ref="B83"/>
    <hyperlink r:id="rId100" ref="C83"/>
    <hyperlink r:id="rId101" ref="B84"/>
    <hyperlink r:id="rId102" ref="B86"/>
    <hyperlink r:id="rId103" ref="C86"/>
    <hyperlink r:id="rId104" ref="C87"/>
    <hyperlink r:id="rId105" ref="B88"/>
    <hyperlink r:id="rId106" ref="C88"/>
    <hyperlink r:id="rId107" ref="C89"/>
    <hyperlink r:id="rId108" ref="B90"/>
    <hyperlink r:id="rId109" ref="C90"/>
    <hyperlink r:id="rId110" ref="C91"/>
    <hyperlink r:id="rId111" ref="B92"/>
    <hyperlink r:id="rId112" ref="C93"/>
    <hyperlink r:id="rId113" ref="C94"/>
    <hyperlink r:id="rId114" ref="B95"/>
    <hyperlink r:id="rId115" ref="D95"/>
    <hyperlink r:id="rId116" ref="C96"/>
    <hyperlink r:id="rId117" ref="C97"/>
    <hyperlink r:id="rId118" ref="C98"/>
    <hyperlink r:id="rId119" ref="C99"/>
    <hyperlink r:id="rId120" ref="C100"/>
    <hyperlink r:id="rId121" ref="C101"/>
    <hyperlink r:id="rId122" ref="C102"/>
    <hyperlink r:id="rId123" ref="B104"/>
    <hyperlink r:id="rId124" ref="C104"/>
    <hyperlink r:id="rId125" ref="C105"/>
    <hyperlink r:id="rId126" ref="B106"/>
    <hyperlink r:id="rId127" ref="C106"/>
    <hyperlink r:id="rId128" ref="B107"/>
    <hyperlink r:id="rId129" ref="B108"/>
    <hyperlink r:id="rId130" ref="C110"/>
    <hyperlink r:id="rId131" ref="C111"/>
    <hyperlink r:id="rId132" ref="C112"/>
    <hyperlink r:id="rId133" ref="B113"/>
    <hyperlink r:id="rId134" ref="C113"/>
    <hyperlink r:id="rId135" ref="C114"/>
    <hyperlink r:id="rId136" ref="B115"/>
    <hyperlink r:id="rId137" ref="C115"/>
    <hyperlink r:id="rId138" ref="B116"/>
    <hyperlink r:id="rId139" ref="C117"/>
    <hyperlink r:id="rId140" ref="C118"/>
    <hyperlink r:id="rId141" ref="C119"/>
    <hyperlink r:id="rId142" ref="C120"/>
    <hyperlink r:id="rId143" ref="C121"/>
    <hyperlink r:id="rId144" ref="B122"/>
    <hyperlink r:id="rId145" ref="C122"/>
    <hyperlink r:id="rId146" ref="B123"/>
    <hyperlink r:id="rId147" ref="C123"/>
    <hyperlink r:id="rId148" ref="B124"/>
    <hyperlink r:id="rId149" ref="C124"/>
    <hyperlink r:id="rId150" ref="B125"/>
    <hyperlink r:id="rId151" ref="C125"/>
    <hyperlink r:id="rId152" ref="B126"/>
    <hyperlink r:id="rId153" ref="C126"/>
    <hyperlink r:id="rId154" ref="D126"/>
    <hyperlink r:id="rId155" ref="B127"/>
    <hyperlink r:id="rId156" ref="D127"/>
    <hyperlink r:id="rId157" ref="B128"/>
    <hyperlink r:id="rId158" ref="C128"/>
    <hyperlink r:id="rId159" ref="B129"/>
    <hyperlink r:id="rId160" ref="C130"/>
    <hyperlink r:id="rId161" ref="B131"/>
    <hyperlink r:id="rId162" ref="C131"/>
    <hyperlink r:id="rId163" ref="D131"/>
    <hyperlink r:id="rId164" ref="B132"/>
    <hyperlink r:id="rId165" ref="C132"/>
    <hyperlink r:id="rId166" ref="C134"/>
    <hyperlink r:id="rId167" ref="B135"/>
    <hyperlink r:id="rId168" ref="C135"/>
    <hyperlink r:id="rId169" ref="B136"/>
    <hyperlink r:id="rId170" ref="C136"/>
    <hyperlink r:id="rId171" ref="B137"/>
    <hyperlink r:id="rId172" ref="C137"/>
    <hyperlink r:id="rId173" ref="C139"/>
    <hyperlink r:id="rId174" ref="B140"/>
    <hyperlink r:id="rId175" ref="C140"/>
    <hyperlink r:id="rId176" ref="C141"/>
    <hyperlink r:id="rId177" ref="B142"/>
    <hyperlink r:id="rId178" ref="C142"/>
    <hyperlink r:id="rId179" ref="B144"/>
    <hyperlink r:id="rId180" ref="C144"/>
    <hyperlink r:id="rId181" ref="D144"/>
    <hyperlink r:id="rId182" ref="B149"/>
    <hyperlink r:id="rId183" ref="D149"/>
    <hyperlink r:id="rId184" ref="B150"/>
    <hyperlink r:id="rId185" ref="C150"/>
    <hyperlink r:id="rId186" ref="D150"/>
    <hyperlink r:id="rId187" ref="C153"/>
    <hyperlink r:id="rId188" ref="C154"/>
    <hyperlink r:id="rId189" ref="B155"/>
    <hyperlink r:id="rId190" ref="C155"/>
    <hyperlink r:id="rId191" ref="C156"/>
    <hyperlink r:id="rId192" ref="C157"/>
    <hyperlink r:id="rId193" ref="B158"/>
    <hyperlink r:id="rId194" ref="C158"/>
    <hyperlink r:id="rId195" ref="C159"/>
    <hyperlink r:id="rId196" ref="C160"/>
    <hyperlink r:id="rId197" ref="B161"/>
    <hyperlink r:id="rId198" ref="C161"/>
    <hyperlink r:id="rId199" ref="C162"/>
    <hyperlink r:id="rId200" ref="C163"/>
    <hyperlink r:id="rId201" ref="C164"/>
    <hyperlink r:id="rId202" ref="B165"/>
    <hyperlink r:id="rId203" ref="C165"/>
    <hyperlink r:id="rId204" ref="C166"/>
    <hyperlink r:id="rId205" ref="C168"/>
    <hyperlink r:id="rId206" ref="C169"/>
    <hyperlink r:id="rId207" ref="B170"/>
    <hyperlink r:id="rId208" ref="C170"/>
    <hyperlink r:id="rId209" ref="C171"/>
    <hyperlink r:id="rId210" ref="C172"/>
    <hyperlink r:id="rId211" ref="C173"/>
    <hyperlink r:id="rId212" ref="C174"/>
    <hyperlink r:id="rId213" ref="C176"/>
    <hyperlink r:id="rId214" ref="C177"/>
    <hyperlink r:id="rId215" ref="B179"/>
    <hyperlink r:id="rId216" ref="C179"/>
    <hyperlink r:id="rId217" ref="B182"/>
    <hyperlink r:id="rId218" ref="C183"/>
    <hyperlink r:id="rId219" ref="C184"/>
    <hyperlink r:id="rId220" ref="C185"/>
    <hyperlink r:id="rId221" ref="B187"/>
    <hyperlink r:id="rId222" ref="C187"/>
    <hyperlink r:id="rId223" ref="C188"/>
    <hyperlink r:id="rId224" ref="C189"/>
    <hyperlink r:id="rId225" ref="C190"/>
    <hyperlink r:id="rId226" ref="C193"/>
    <hyperlink r:id="rId227" ref="C194"/>
    <hyperlink r:id="rId228" ref="C195"/>
    <hyperlink r:id="rId229" ref="B196"/>
    <hyperlink r:id="rId230" ref="C196"/>
    <hyperlink r:id="rId231" ref="B197"/>
    <hyperlink r:id="rId232" ref="B198"/>
    <hyperlink r:id="rId233" ref="C199"/>
    <hyperlink r:id="rId234" ref="B200"/>
    <hyperlink r:id="rId235" ref="C200"/>
    <hyperlink r:id="rId236" ref="B201"/>
    <hyperlink r:id="rId237" ref="C201"/>
    <hyperlink r:id="rId238" ref="B203"/>
    <hyperlink r:id="rId239" ref="C203"/>
    <hyperlink r:id="rId240" ref="B204"/>
    <hyperlink r:id="rId241" ref="C204"/>
    <hyperlink r:id="rId242" ref="C205"/>
    <hyperlink r:id="rId243" ref="C206"/>
    <hyperlink r:id="rId244" ref="C208"/>
    <hyperlink r:id="rId245" ref="B209"/>
    <hyperlink r:id="rId246" ref="C209"/>
    <hyperlink r:id="rId247" ref="C210"/>
    <hyperlink r:id="rId248" ref="B211"/>
    <hyperlink r:id="rId249" ref="C211"/>
    <hyperlink r:id="rId250" ref="B212"/>
    <hyperlink r:id="rId251" ref="C212"/>
    <hyperlink r:id="rId252" ref="B213"/>
    <hyperlink r:id="rId253" ref="D213"/>
    <hyperlink r:id="rId254" ref="C214"/>
    <hyperlink r:id="rId255" ref="B215"/>
    <hyperlink r:id="rId256" ref="C215"/>
    <hyperlink r:id="rId257" ref="C217"/>
    <hyperlink r:id="rId258" ref="B218"/>
    <hyperlink r:id="rId259" ref="C218"/>
    <hyperlink r:id="rId260" ref="C219"/>
    <hyperlink r:id="rId261" ref="B220"/>
    <hyperlink r:id="rId262" ref="C220"/>
    <hyperlink r:id="rId263" ref="B222"/>
    <hyperlink r:id="rId264" ref="C222"/>
    <hyperlink r:id="rId265" ref="C223"/>
    <hyperlink r:id="rId266" ref="C224"/>
    <hyperlink r:id="rId267" ref="C225"/>
    <hyperlink r:id="rId268" ref="C226"/>
    <hyperlink r:id="rId269" ref="B227"/>
    <hyperlink r:id="rId270" ref="C227"/>
    <hyperlink r:id="rId271" ref="B228"/>
    <hyperlink r:id="rId272" ref="C228"/>
    <hyperlink r:id="rId273" ref="C229"/>
    <hyperlink r:id="rId274" ref="B230"/>
    <hyperlink r:id="rId275" ref="C230"/>
    <hyperlink r:id="rId276" ref="B231"/>
    <hyperlink r:id="rId277" ref="B233"/>
    <hyperlink r:id="rId278" ref="C233"/>
    <hyperlink r:id="rId279" ref="B236"/>
    <hyperlink r:id="rId280" ref="B238"/>
    <hyperlink r:id="rId281" ref="C241"/>
    <hyperlink r:id="rId282" ref="B242"/>
    <hyperlink r:id="rId283" ref="C242"/>
    <hyperlink r:id="rId284" ref="C247"/>
    <hyperlink r:id="rId285" ref="B248"/>
    <hyperlink r:id="rId286" ref="C248"/>
    <hyperlink r:id="rId287" ref="B249"/>
    <hyperlink r:id="rId288" ref="D249"/>
    <hyperlink r:id="rId289" ref="D253"/>
    <hyperlink r:id="rId290" ref="D254"/>
    <hyperlink r:id="rId291" ref="D255"/>
    <hyperlink r:id="rId292" ref="D256"/>
    <hyperlink r:id="rId293" ref="D257"/>
    <hyperlink r:id="rId294" ref="D258"/>
    <hyperlink r:id="rId295" ref="D259"/>
    <hyperlink r:id="rId296" ref="D260"/>
    <hyperlink r:id="rId297" ref="D261"/>
    <hyperlink r:id="rId298" ref="D262"/>
    <hyperlink r:id="rId299" ref="D263"/>
    <hyperlink r:id="rId300" ref="D264"/>
    <hyperlink r:id="rId301" ref="D265"/>
    <hyperlink r:id="rId302" ref="D266"/>
    <hyperlink r:id="rId303" ref="D267"/>
    <hyperlink r:id="rId304" ref="D268"/>
    <hyperlink r:id="rId305" ref="D269"/>
    <hyperlink r:id="rId306" ref="D270"/>
    <hyperlink r:id="rId307" ref="D271"/>
    <hyperlink r:id="rId308" ref="D272"/>
    <hyperlink r:id="rId309" ref="D273"/>
    <hyperlink r:id="rId310" ref="D274"/>
    <hyperlink r:id="rId311" ref="D275"/>
    <hyperlink r:id="rId312" ref="D276"/>
    <hyperlink r:id="rId313" ref="D277"/>
    <hyperlink r:id="rId314" ref="D278"/>
    <hyperlink r:id="rId315" ref="D279"/>
    <hyperlink r:id="rId316" ref="D280"/>
    <hyperlink r:id="rId317" ref="D281"/>
    <hyperlink r:id="rId318" ref="D282"/>
    <hyperlink r:id="rId319" ref="D283"/>
    <hyperlink r:id="rId320" ref="D284"/>
    <hyperlink r:id="rId321" ref="D285"/>
    <hyperlink r:id="rId322" ref="D286"/>
    <hyperlink r:id="rId323" ref="D287"/>
    <hyperlink r:id="rId324" ref="D288"/>
    <hyperlink r:id="rId325" ref="D289"/>
    <hyperlink r:id="rId326" ref="D290"/>
    <hyperlink r:id="rId327" ref="D291"/>
    <hyperlink r:id="rId328" ref="D292"/>
    <hyperlink r:id="rId329" ref="D293"/>
    <hyperlink r:id="rId330" ref="D294"/>
    <hyperlink r:id="rId331" ref="D295"/>
    <hyperlink r:id="rId332" ref="D296"/>
    <hyperlink r:id="rId333" ref="D297"/>
    <hyperlink r:id="rId334" ref="D298"/>
    <hyperlink r:id="rId335" ref="D299"/>
    <hyperlink r:id="rId336" ref="D300"/>
    <hyperlink r:id="rId337" ref="D301"/>
    <hyperlink r:id="rId338" ref="D302"/>
    <hyperlink r:id="rId339" ref="D303"/>
    <hyperlink r:id="rId340" ref="D304"/>
    <hyperlink r:id="rId341" ref="D305"/>
    <hyperlink r:id="rId342" ref="D306"/>
    <hyperlink r:id="rId343" ref="D307"/>
    <hyperlink r:id="rId344" ref="D308"/>
    <hyperlink r:id="rId345" ref="D309"/>
    <hyperlink r:id="rId346" ref="D310"/>
    <hyperlink r:id="rId347" ref="D311"/>
    <hyperlink r:id="rId348" ref="D312"/>
    <hyperlink r:id="rId349" ref="D313"/>
    <hyperlink r:id="rId350" ref="D314"/>
    <hyperlink r:id="rId351" ref="D315"/>
    <hyperlink r:id="rId352" ref="D316"/>
    <hyperlink r:id="rId353" ref="D317"/>
    <hyperlink r:id="rId354" ref="D318"/>
    <hyperlink r:id="rId355" ref="D319"/>
    <hyperlink r:id="rId356" ref="D320"/>
    <hyperlink r:id="rId357" ref="D321"/>
    <hyperlink r:id="rId358" ref="D322"/>
    <hyperlink r:id="rId359" ref="D323"/>
    <hyperlink r:id="rId360" ref="D324"/>
    <hyperlink r:id="rId361" ref="D325"/>
    <hyperlink r:id="rId362" ref="D326"/>
    <hyperlink r:id="rId363" ref="D327"/>
    <hyperlink r:id="rId364" ref="D328"/>
    <hyperlink r:id="rId365" ref="D329"/>
    <hyperlink r:id="rId366" ref="D330"/>
    <hyperlink r:id="rId367" ref="D331"/>
    <hyperlink r:id="rId368" ref="D332"/>
    <hyperlink r:id="rId369" ref="D333"/>
    <hyperlink r:id="rId370" ref="D334"/>
    <hyperlink r:id="rId371" ref="D335"/>
    <hyperlink r:id="rId372" ref="D336"/>
    <hyperlink r:id="rId373" ref="D337"/>
    <hyperlink r:id="rId374" ref="D338"/>
    <hyperlink r:id="rId375" ref="D339"/>
    <hyperlink r:id="rId376" ref="D340"/>
    <hyperlink r:id="rId377" ref="D341"/>
    <hyperlink r:id="rId378" ref="D342"/>
    <hyperlink r:id="rId379" ref="D343"/>
    <hyperlink r:id="rId380" ref="D344"/>
    <hyperlink r:id="rId381" ref="D345"/>
    <hyperlink r:id="rId382" ref="D347"/>
    <hyperlink r:id="rId383" ref="D348"/>
    <hyperlink r:id="rId384" ref="D349"/>
    <hyperlink r:id="rId385" ref="D350"/>
    <hyperlink r:id="rId386" ref="D351"/>
    <hyperlink r:id="rId387" ref="D352"/>
    <hyperlink r:id="rId388" ref="D353"/>
    <hyperlink r:id="rId389" ref="D354"/>
    <hyperlink r:id="rId390" ref="D355"/>
    <hyperlink r:id="rId391" ref="D356"/>
    <hyperlink r:id="rId392" ref="D357"/>
    <hyperlink r:id="rId393" ref="D358"/>
    <hyperlink r:id="rId394" ref="D359"/>
    <hyperlink r:id="rId395" ref="D360"/>
    <hyperlink r:id="rId396" ref="D361"/>
    <hyperlink r:id="rId397" ref="D362"/>
    <hyperlink r:id="rId398" ref="D363"/>
    <hyperlink r:id="rId399" ref="D366"/>
    <hyperlink r:id="rId400" ref="D367"/>
    <hyperlink r:id="rId401" ref="D368"/>
    <hyperlink r:id="rId402" ref="D369"/>
    <hyperlink r:id="rId403" ref="D370"/>
    <hyperlink r:id="rId404" ref="D371"/>
    <hyperlink r:id="rId405" ref="D372"/>
    <hyperlink r:id="rId406" ref="D373"/>
    <hyperlink r:id="rId407" ref="D374"/>
    <hyperlink r:id="rId408" ref="D375"/>
    <hyperlink r:id="rId409" ref="D376"/>
    <hyperlink r:id="rId410" ref="D377"/>
    <hyperlink r:id="rId411" ref="C388"/>
    <hyperlink r:id="rId412" ref="C389"/>
    <hyperlink r:id="rId413" ref="B390"/>
    <hyperlink r:id="rId414" ref="C391"/>
    <hyperlink r:id="rId415" ref="C392"/>
    <hyperlink r:id="rId416" ref="B393"/>
    <hyperlink r:id="rId417" ref="C394"/>
    <hyperlink r:id="rId418" ref="C395"/>
    <hyperlink r:id="rId419" ref="B396"/>
    <hyperlink r:id="rId420" ref="D398"/>
    <hyperlink r:id="rId421" ref="B399"/>
    <hyperlink r:id="rId422" ref="C401"/>
    <hyperlink r:id="rId423" ref="D402"/>
    <hyperlink r:id="rId424" ref="B404"/>
    <hyperlink r:id="rId425" ref="D405"/>
    <hyperlink r:id="rId426" ref="D406"/>
    <hyperlink r:id="rId427" ref="B407"/>
    <hyperlink r:id="rId428" ref="D408"/>
    <hyperlink r:id="rId429" ref="D409"/>
    <hyperlink r:id="rId430" ref="B410"/>
    <hyperlink r:id="rId431" ref="B411"/>
    <hyperlink r:id="rId432" ref="D412"/>
    <hyperlink r:id="rId433" ref="D413"/>
    <hyperlink r:id="rId434" ref="C414"/>
    <hyperlink r:id="rId435" ref="D415"/>
    <hyperlink r:id="rId436" ref="B419"/>
    <hyperlink r:id="rId437" ref="B422"/>
    <hyperlink r:id="rId438" ref="C423"/>
    <hyperlink r:id="rId439" ref="B424"/>
    <hyperlink r:id="rId440" ref="D425"/>
    <hyperlink r:id="rId441" ref="B426"/>
    <hyperlink r:id="rId442" ref="D426"/>
    <hyperlink r:id="rId443" ref="B427"/>
  </hyperlinks>
  <drawing r:id="rId44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75"/>
    <col customWidth="1" min="2" max="2" width="1.5"/>
    <col customWidth="1" min="3" max="3" width="52.25"/>
    <col customWidth="1" min="4" max="4" width="65.75"/>
  </cols>
  <sheetData>
    <row r="1">
      <c r="A1" s="38" t="s">
        <v>381</v>
      </c>
      <c r="B1" s="39"/>
      <c r="C1" s="38" t="str">
        <f>"Pokemons que dropam '" &amp; A2 &amp; "'"</f>
        <v>Pokemons que dropam 'bottle of poison'</v>
      </c>
      <c r="D1" s="40" t="s">
        <v>387</v>
      </c>
    </row>
    <row r="2">
      <c r="A2" s="41" t="s">
        <v>389</v>
      </c>
      <c r="B2" s="42"/>
      <c r="C2" s="43" t="str">
        <f>IFERROR(__xludf.DUMMYFUNCTION("FILTER(Drops!A:A, (Drops!B:B=A2) + (Drops!C:C=A2) + (Drops!D:D=A2) + (Drops!E:E=A2) + (Drops!F:F=A2) + (Drops!G:G=A2) + (Drops!H:H=A2) + (Drops!I:I=A2) + (Drops!J:J=A2) + (Drops!K:K=A2))"),"Bulbasaur")</f>
        <v>Bulbasaur</v>
      </c>
    </row>
    <row r="3">
      <c r="B3" s="42"/>
      <c r="C3" s="44" t="str">
        <f>IFERROR(__xludf.DUMMYFUNCTION("""COMPUTED_VALUE"""),"Shiny Bulbasaur")</f>
        <v>Shiny Bulbasaur</v>
      </c>
    </row>
    <row r="4">
      <c r="A4" s="45"/>
      <c r="B4" s="42"/>
      <c r="C4" s="43" t="str">
        <f>IFERROR(__xludf.DUMMYFUNCTION("""COMPUTED_VALUE"""),"Ivysaur")</f>
        <v>Ivysaur</v>
      </c>
    </row>
    <row r="5">
      <c r="B5" s="42"/>
      <c r="C5" s="44" t="str">
        <f>IFERROR(__xludf.DUMMYFUNCTION("""COMPUTED_VALUE"""),"Shiny Ivysaur")</f>
        <v>Shiny Ivysaur</v>
      </c>
    </row>
    <row r="6">
      <c r="B6" s="42"/>
      <c r="C6" s="43" t="str">
        <f>IFERROR(__xludf.DUMMYFUNCTION("""COMPUTED_VALUE"""),"Venusaur")</f>
        <v>Venusaur</v>
      </c>
    </row>
    <row r="7">
      <c r="B7" s="42"/>
      <c r="C7" s="44" t="str">
        <f>IFERROR(__xludf.DUMMYFUNCTION("""COMPUTED_VALUE"""),"Shiny Venusaur")</f>
        <v>Shiny Venusaur</v>
      </c>
    </row>
    <row r="8">
      <c r="B8" s="42"/>
      <c r="C8" s="43" t="str">
        <f>IFERROR(__xludf.DUMMYFUNCTION("""COMPUTED_VALUE"""),"Weedle")</f>
        <v>Weedle</v>
      </c>
    </row>
    <row r="9">
      <c r="B9" s="42"/>
      <c r="C9" s="44" t="str">
        <f>IFERROR(__xludf.DUMMYFUNCTION("""COMPUTED_VALUE"""),"Shiny Weedle")</f>
        <v>Shiny Weedle</v>
      </c>
      <c r="D9" s="46"/>
    </row>
    <row r="10">
      <c r="B10" s="42"/>
      <c r="C10" s="43" t="str">
        <f>IFERROR(__xludf.DUMMYFUNCTION("""COMPUTED_VALUE"""),"Kakuna")</f>
        <v>Kakuna</v>
      </c>
      <c r="D10" s="46"/>
    </row>
    <row r="11">
      <c r="B11" s="42"/>
      <c r="C11" s="44" t="str">
        <f>IFERROR(__xludf.DUMMYFUNCTION("""COMPUTED_VALUE"""),"Shiny Kakuna")</f>
        <v>Shiny Kakuna</v>
      </c>
      <c r="D11" s="46"/>
    </row>
    <row r="12">
      <c r="B12" s="42"/>
      <c r="C12" s="43" t="str">
        <f>IFERROR(__xludf.DUMMYFUNCTION("""COMPUTED_VALUE"""),"Beedrill")</f>
        <v>Beedrill</v>
      </c>
      <c r="D12" s="46"/>
    </row>
    <row r="13">
      <c r="B13" s="42"/>
      <c r="C13" s="44" t="str">
        <f>IFERROR(__xludf.DUMMYFUNCTION("""COMPUTED_VALUE"""),"Shiny Beedrill")</f>
        <v>Shiny Beedrill</v>
      </c>
      <c r="D13" s="46"/>
    </row>
    <row r="14">
      <c r="B14" s="42"/>
      <c r="C14" s="43" t="str">
        <f>IFERROR(__xludf.DUMMYFUNCTION("""COMPUTED_VALUE"""),"Ekans")</f>
        <v>Ekans</v>
      </c>
      <c r="D14" s="46"/>
    </row>
    <row r="15">
      <c r="B15" s="42"/>
      <c r="C15" s="44" t="str">
        <f>IFERROR(__xludf.DUMMYFUNCTION("""COMPUTED_VALUE"""),"Shiny Ekans")</f>
        <v>Shiny Ekans</v>
      </c>
      <c r="D15" s="46"/>
    </row>
    <row r="16">
      <c r="B16" s="42"/>
      <c r="C16" s="43" t="str">
        <f>IFERROR(__xludf.DUMMYFUNCTION("""COMPUTED_VALUE"""),"Arbok")</f>
        <v>Arbok</v>
      </c>
      <c r="D16" s="46"/>
    </row>
    <row r="17">
      <c r="B17" s="42"/>
      <c r="C17" s="44" t="str">
        <f>IFERROR(__xludf.DUMMYFUNCTION("""COMPUTED_VALUE"""),"Shiny Arbok")</f>
        <v>Shiny Arbok</v>
      </c>
      <c r="D17" s="46"/>
    </row>
    <row r="18">
      <c r="B18" s="42"/>
      <c r="C18" s="43" t="str">
        <f>IFERROR(__xludf.DUMMYFUNCTION("""COMPUTED_VALUE"""),"Nidoran female")</f>
        <v>Nidoran female</v>
      </c>
      <c r="D18" s="46"/>
    </row>
    <row r="19">
      <c r="B19" s="42"/>
      <c r="C19" s="44" t="str">
        <f>IFERROR(__xludf.DUMMYFUNCTION("""COMPUTED_VALUE"""),"Shiny Nidoran female")</f>
        <v>Shiny Nidoran female</v>
      </c>
      <c r="D19" s="46"/>
    </row>
    <row r="20">
      <c r="B20" s="42"/>
      <c r="C20" s="43" t="str">
        <f>IFERROR(__xludf.DUMMYFUNCTION("""COMPUTED_VALUE"""),"Nidorina")</f>
        <v>Nidorina</v>
      </c>
      <c r="D20" s="46"/>
    </row>
    <row r="21">
      <c r="B21" s="42"/>
      <c r="C21" s="44" t="str">
        <f>IFERROR(__xludf.DUMMYFUNCTION("""COMPUTED_VALUE"""),"Shiny Nidorina")</f>
        <v>Shiny Nidorina</v>
      </c>
      <c r="D21" s="46"/>
    </row>
    <row r="22">
      <c r="B22" s="42"/>
      <c r="C22" s="43" t="str">
        <f>IFERROR(__xludf.DUMMYFUNCTION("""COMPUTED_VALUE"""),"Nidoqueen")</f>
        <v>Nidoqueen</v>
      </c>
      <c r="D22" s="46"/>
    </row>
    <row r="23">
      <c r="B23" s="42"/>
      <c r="C23" s="44" t="str">
        <f>IFERROR(__xludf.DUMMYFUNCTION("""COMPUTED_VALUE"""),"Shiny Nidoqueen")</f>
        <v>Shiny Nidoqueen</v>
      </c>
      <c r="D23" s="46"/>
    </row>
    <row r="24">
      <c r="B24" s="42"/>
      <c r="C24" s="43" t="str">
        <f>IFERROR(__xludf.DUMMYFUNCTION("""COMPUTED_VALUE"""),"Nidoran Male")</f>
        <v>Nidoran Male</v>
      </c>
      <c r="D24" s="46"/>
    </row>
    <row r="25">
      <c r="B25" s="42"/>
      <c r="C25" s="44" t="str">
        <f>IFERROR(__xludf.DUMMYFUNCTION("""COMPUTED_VALUE"""),"Shiny Nidoran Male")</f>
        <v>Shiny Nidoran Male</v>
      </c>
      <c r="D25" s="46"/>
    </row>
    <row r="26">
      <c r="B26" s="42"/>
      <c r="C26" s="43" t="str">
        <f>IFERROR(__xludf.DUMMYFUNCTION("""COMPUTED_VALUE"""),"Nidorino")</f>
        <v>Nidorino</v>
      </c>
      <c r="D26" s="46"/>
    </row>
    <row r="27">
      <c r="B27" s="42"/>
      <c r="C27" s="44" t="str">
        <f>IFERROR(__xludf.DUMMYFUNCTION("""COMPUTED_VALUE"""),"Shiny Nidorino")</f>
        <v>Shiny Nidorino</v>
      </c>
      <c r="D27" s="46"/>
    </row>
    <row r="28">
      <c r="B28" s="42"/>
      <c r="C28" s="43" t="str">
        <f>IFERROR(__xludf.DUMMYFUNCTION("""COMPUTED_VALUE"""),"Nidoking")</f>
        <v>Nidoking</v>
      </c>
      <c r="D28" s="46"/>
    </row>
    <row r="29">
      <c r="B29" s="42"/>
      <c r="C29" s="44" t="str">
        <f>IFERROR(__xludf.DUMMYFUNCTION("""COMPUTED_VALUE"""),"Shiny Nidoking")</f>
        <v>Shiny Nidoking</v>
      </c>
      <c r="D29" s="46"/>
    </row>
    <row r="30">
      <c r="B30" s="42"/>
      <c r="C30" s="43" t="str">
        <f>IFERROR(__xludf.DUMMYFUNCTION("""COMPUTED_VALUE"""),"Zubat")</f>
        <v>Zubat</v>
      </c>
      <c r="D30" s="46"/>
    </row>
    <row r="31">
      <c r="B31" s="42"/>
      <c r="C31" s="44" t="str">
        <f>IFERROR(__xludf.DUMMYFUNCTION("""COMPUTED_VALUE"""),"Shiny Zubat")</f>
        <v>Shiny Zubat</v>
      </c>
      <c r="D31" s="46"/>
    </row>
    <row r="32">
      <c r="B32" s="42"/>
      <c r="C32" s="43" t="str">
        <f>IFERROR(__xludf.DUMMYFUNCTION("""COMPUTED_VALUE"""),"Golbat")</f>
        <v>Golbat</v>
      </c>
      <c r="D32" s="46"/>
    </row>
    <row r="33">
      <c r="B33" s="42"/>
      <c r="C33" s="44" t="str">
        <f>IFERROR(__xludf.DUMMYFUNCTION("""COMPUTED_VALUE"""),"Shiny Golbat")</f>
        <v>Shiny Golbat</v>
      </c>
      <c r="D33" s="46"/>
    </row>
    <row r="34">
      <c r="B34" s="42"/>
      <c r="C34" s="43" t="str">
        <f>IFERROR(__xludf.DUMMYFUNCTION("""COMPUTED_VALUE"""),"Oddish")</f>
        <v>Oddish</v>
      </c>
      <c r="D34" s="46"/>
    </row>
    <row r="35">
      <c r="B35" s="42"/>
      <c r="C35" s="44" t="str">
        <f>IFERROR(__xludf.DUMMYFUNCTION("""COMPUTED_VALUE"""),"Shiny Oddish")</f>
        <v>Shiny Oddish</v>
      </c>
      <c r="D35" s="46"/>
    </row>
    <row r="36">
      <c r="B36" s="42"/>
      <c r="C36" s="43" t="str">
        <f>IFERROR(__xludf.DUMMYFUNCTION("""COMPUTED_VALUE"""),"Gloom")</f>
        <v>Gloom</v>
      </c>
      <c r="D36" s="46"/>
    </row>
    <row r="37">
      <c r="B37" s="42"/>
      <c r="C37" s="44" t="str">
        <f>IFERROR(__xludf.DUMMYFUNCTION("""COMPUTED_VALUE"""),"Shiny Gloom")</f>
        <v>Shiny Gloom</v>
      </c>
      <c r="D37" s="46"/>
    </row>
    <row r="38">
      <c r="B38" s="42"/>
      <c r="C38" s="43" t="str">
        <f>IFERROR(__xludf.DUMMYFUNCTION("""COMPUTED_VALUE"""),"Vileplume")</f>
        <v>Vileplume</v>
      </c>
      <c r="D38" s="46"/>
    </row>
    <row r="39">
      <c r="B39" s="42"/>
      <c r="C39" s="44" t="str">
        <f>IFERROR(__xludf.DUMMYFUNCTION("""COMPUTED_VALUE"""),"Shiny Vileplume")</f>
        <v>Shiny Vileplume</v>
      </c>
      <c r="D39" s="46"/>
    </row>
    <row r="40">
      <c r="B40" s="42"/>
      <c r="C40" s="43" t="str">
        <f>IFERROR(__xludf.DUMMYFUNCTION("""COMPUTED_VALUE"""),"Venonat")</f>
        <v>Venonat</v>
      </c>
      <c r="D40" s="46"/>
    </row>
    <row r="41">
      <c r="B41" s="42"/>
      <c r="C41" s="44" t="str">
        <f>IFERROR(__xludf.DUMMYFUNCTION("""COMPUTED_VALUE"""),"Shiny Venonat")</f>
        <v>Shiny Venonat</v>
      </c>
      <c r="D41" s="46"/>
    </row>
    <row r="42">
      <c r="B42" s="42"/>
      <c r="C42" s="43" t="str">
        <f>IFERROR(__xludf.DUMMYFUNCTION("""COMPUTED_VALUE"""),"Venomoth")</f>
        <v>Venomoth</v>
      </c>
      <c r="D42" s="46"/>
    </row>
    <row r="43">
      <c r="B43" s="42"/>
      <c r="C43" s="44" t="str">
        <f>IFERROR(__xludf.DUMMYFUNCTION("""COMPUTED_VALUE"""),"Shiny Venomoth")</f>
        <v>Shiny Venomoth</v>
      </c>
      <c r="D43" s="46"/>
    </row>
    <row r="44">
      <c r="B44" s="42"/>
      <c r="C44" s="43" t="str">
        <f>IFERROR(__xludf.DUMMYFUNCTION("""COMPUTED_VALUE"""),"Bellsprout")</f>
        <v>Bellsprout</v>
      </c>
      <c r="D44" s="46"/>
    </row>
    <row r="45">
      <c r="B45" s="42"/>
      <c r="C45" s="44" t="str">
        <f>IFERROR(__xludf.DUMMYFUNCTION("""COMPUTED_VALUE"""),"Shiny Bellsprout")</f>
        <v>Shiny Bellsprout</v>
      </c>
      <c r="D45" s="46"/>
    </row>
    <row r="46">
      <c r="B46" s="42"/>
      <c r="C46" s="43" t="str">
        <f>IFERROR(__xludf.DUMMYFUNCTION("""COMPUTED_VALUE"""),"Weepinbell")</f>
        <v>Weepinbell</v>
      </c>
      <c r="D46" s="46"/>
    </row>
    <row r="47">
      <c r="B47" s="42"/>
      <c r="C47" s="44" t="str">
        <f>IFERROR(__xludf.DUMMYFUNCTION("""COMPUTED_VALUE"""),"Shiny Weepinbell")</f>
        <v>Shiny Weepinbell</v>
      </c>
      <c r="D47" s="46"/>
    </row>
    <row r="48">
      <c r="B48" s="42"/>
      <c r="C48" s="43" t="str">
        <f>IFERROR(__xludf.DUMMYFUNCTION("""COMPUTED_VALUE"""),"Victreebel")</f>
        <v>Victreebel</v>
      </c>
      <c r="D48" s="46"/>
    </row>
    <row r="49">
      <c r="B49" s="42"/>
      <c r="C49" s="44" t="str">
        <f>IFERROR(__xludf.DUMMYFUNCTION("""COMPUTED_VALUE"""),"Shiny Victreebel")</f>
        <v>Shiny Victreebel</v>
      </c>
      <c r="D49" s="46"/>
    </row>
    <row r="50">
      <c r="B50" s="42"/>
      <c r="C50" s="43" t="str">
        <f>IFERROR(__xludf.DUMMYFUNCTION("""COMPUTED_VALUE"""),"Tentacool")</f>
        <v>Tentacool</v>
      </c>
      <c r="D50" s="46"/>
    </row>
    <row r="51">
      <c r="B51" s="42"/>
      <c r="C51" s="44" t="str">
        <f>IFERROR(__xludf.DUMMYFUNCTION("""COMPUTED_VALUE"""),"Shiny Tentacool")</f>
        <v>Shiny Tentacool</v>
      </c>
      <c r="D51" s="46"/>
    </row>
    <row r="52">
      <c r="B52" s="42"/>
      <c r="C52" s="43" t="str">
        <f>IFERROR(__xludf.DUMMYFUNCTION("""COMPUTED_VALUE"""),"Tentacruel")</f>
        <v>Tentacruel</v>
      </c>
      <c r="D52" s="46"/>
    </row>
    <row r="53">
      <c r="B53" s="42"/>
      <c r="C53" s="44" t="str">
        <f>IFERROR(__xludf.DUMMYFUNCTION("""COMPUTED_VALUE"""),"Shiny Tentacruel")</f>
        <v>Shiny Tentacruel</v>
      </c>
      <c r="D53" s="46"/>
    </row>
    <row r="54">
      <c r="B54" s="42"/>
      <c r="C54" s="43" t="str">
        <f>IFERROR(__xludf.DUMMYFUNCTION("""COMPUTED_VALUE"""),"Grimer")</f>
        <v>Grimer</v>
      </c>
      <c r="D54" s="46"/>
    </row>
    <row r="55">
      <c r="B55" s="42"/>
      <c r="C55" s="44" t="str">
        <f>IFERROR(__xludf.DUMMYFUNCTION("""COMPUTED_VALUE"""),"Shiny Grimer")</f>
        <v>Shiny Grimer</v>
      </c>
      <c r="D55" s="46"/>
    </row>
    <row r="56">
      <c r="B56" s="42"/>
      <c r="C56" s="43" t="str">
        <f>IFERROR(__xludf.DUMMYFUNCTION("""COMPUTED_VALUE"""),"Muk")</f>
        <v>Muk</v>
      </c>
      <c r="D56" s="46"/>
    </row>
    <row r="57">
      <c r="B57" s="42"/>
      <c r="C57" s="44" t="str">
        <f>IFERROR(__xludf.DUMMYFUNCTION("""COMPUTED_VALUE"""),"Shiny Muk")</f>
        <v>Shiny Muk</v>
      </c>
      <c r="D57" s="46"/>
    </row>
    <row r="58">
      <c r="B58" s="42"/>
      <c r="C58" s="43" t="str">
        <f>IFERROR(__xludf.DUMMYFUNCTION("""COMPUTED_VALUE"""),"Gastly")</f>
        <v>Gastly</v>
      </c>
      <c r="D58" s="46"/>
    </row>
    <row r="59">
      <c r="B59" s="42"/>
      <c r="C59" s="44" t="str">
        <f>IFERROR(__xludf.DUMMYFUNCTION("""COMPUTED_VALUE"""),"Shiny Gastly")</f>
        <v>Shiny Gastly</v>
      </c>
      <c r="D59" s="46"/>
    </row>
    <row r="60">
      <c r="B60" s="42"/>
      <c r="C60" s="43" t="str">
        <f>IFERROR(__xludf.DUMMYFUNCTION("""COMPUTED_VALUE"""),"Haunter")</f>
        <v>Haunter</v>
      </c>
      <c r="D60" s="46"/>
    </row>
    <row r="61">
      <c r="B61" s="42"/>
      <c r="C61" s="44" t="str">
        <f>IFERROR(__xludf.DUMMYFUNCTION("""COMPUTED_VALUE"""),"Shiny Haunter")</f>
        <v>Shiny Haunter</v>
      </c>
      <c r="D61" s="46"/>
    </row>
    <row r="62">
      <c r="B62" s="42"/>
      <c r="C62" s="43" t="str">
        <f>IFERROR(__xludf.DUMMYFUNCTION("""COMPUTED_VALUE"""),"Gengar")</f>
        <v>Gengar</v>
      </c>
      <c r="D62" s="46"/>
    </row>
    <row r="63">
      <c r="B63" s="42"/>
      <c r="C63" s="44" t="str">
        <f>IFERROR(__xludf.DUMMYFUNCTION("""COMPUTED_VALUE"""),"Shiny Gengar")</f>
        <v>Shiny Gengar</v>
      </c>
      <c r="D63" s="46"/>
    </row>
    <row r="64">
      <c r="B64" s="42"/>
      <c r="C64" s="43" t="str">
        <f>IFERROR(__xludf.DUMMYFUNCTION("""COMPUTED_VALUE"""),"Koffing")</f>
        <v>Koffing</v>
      </c>
      <c r="D64" s="46"/>
    </row>
    <row r="65">
      <c r="B65" s="42"/>
      <c r="C65" s="44" t="str">
        <f>IFERROR(__xludf.DUMMYFUNCTION("""COMPUTED_VALUE"""),"Shiny Koffing")</f>
        <v>Shiny Koffing</v>
      </c>
      <c r="D65" s="46"/>
    </row>
    <row r="66">
      <c r="B66" s="42"/>
      <c r="C66" s="43" t="str">
        <f>IFERROR(__xludf.DUMMYFUNCTION("""COMPUTED_VALUE"""),"Weezing")</f>
        <v>Weezing</v>
      </c>
      <c r="D66" s="46"/>
    </row>
    <row r="67">
      <c r="B67" s="42"/>
      <c r="C67" s="44" t="str">
        <f>IFERROR(__xludf.DUMMYFUNCTION("""COMPUTED_VALUE"""),"Shiny Weezing")</f>
        <v>Shiny Weezing</v>
      </c>
      <c r="D67" s="46"/>
    </row>
    <row r="68">
      <c r="B68" s="42"/>
      <c r="C68" s="43" t="str">
        <f>IFERROR(__xludf.DUMMYFUNCTION("""COMPUTED_VALUE"""),"Spinarak")</f>
        <v>Spinarak</v>
      </c>
      <c r="D68" s="46"/>
    </row>
    <row r="69">
      <c r="B69" s="42"/>
      <c r="C69" s="44" t="str">
        <f>IFERROR(__xludf.DUMMYFUNCTION("""COMPUTED_VALUE"""),"Shiny Spinarak")</f>
        <v>Shiny Spinarak</v>
      </c>
      <c r="D69" s="46"/>
    </row>
    <row r="70">
      <c r="B70" s="42"/>
      <c r="C70" s="43" t="str">
        <f>IFERROR(__xludf.DUMMYFUNCTION("""COMPUTED_VALUE"""),"Ariados")</f>
        <v>Ariados</v>
      </c>
      <c r="D70" s="46"/>
    </row>
    <row r="71">
      <c r="B71" s="42"/>
      <c r="C71" s="44" t="str">
        <f>IFERROR(__xludf.DUMMYFUNCTION("""COMPUTED_VALUE"""),"Crobat")</f>
        <v>Crobat</v>
      </c>
      <c r="D71" s="46"/>
    </row>
    <row r="72">
      <c r="B72" s="42"/>
      <c r="C72" s="43" t="str">
        <f>IFERROR(__xludf.DUMMYFUNCTION("""COMPUTED_VALUE"""),"Shiny Crobat")</f>
        <v>Shiny Crobat</v>
      </c>
      <c r="D72" s="46"/>
    </row>
    <row r="73">
      <c r="B73" s="42"/>
      <c r="C73" s="44" t="str">
        <f>IFERROR(__xludf.DUMMYFUNCTION("""COMPUTED_VALUE"""),"Qwilfish")</f>
        <v>Qwilfish</v>
      </c>
      <c r="D73" s="46"/>
    </row>
    <row r="74">
      <c r="B74" s="42"/>
      <c r="C74" s="43" t="str">
        <f>IFERROR(__xludf.DUMMYFUNCTION("""COMPUTED_VALUE"""),"Shiny Qwilfish")</f>
        <v>Shiny Qwilfish</v>
      </c>
      <c r="D74" s="46"/>
    </row>
    <row r="75">
      <c r="B75" s="42"/>
      <c r="C75" s="44" t="str">
        <f>IFERROR(__xludf.DUMMYFUNCTION("""COMPUTED_VALUE"""),"Toxicroak")</f>
        <v>Toxicroak</v>
      </c>
      <c r="D75" s="46"/>
    </row>
    <row r="76">
      <c r="B76" s="42"/>
      <c r="C76" s="43" t="str">
        <f>IFERROR(__xludf.DUMMYFUNCTION("""COMPUTED_VALUE"""),"Shiny Toxicroak")</f>
        <v>Shiny Toxicroak</v>
      </c>
      <c r="D76" s="46"/>
    </row>
    <row r="77">
      <c r="B77" s="42"/>
      <c r="C77" s="44" t="str">
        <f>IFERROR(__xludf.DUMMYFUNCTION("""COMPUTED_VALUE"""),"Scolipede")</f>
        <v>Scolipede</v>
      </c>
      <c r="D77" s="46"/>
    </row>
    <row r="78">
      <c r="B78" s="42"/>
      <c r="C78" s="43" t="str">
        <f>IFERROR(__xludf.DUMMYFUNCTION("""COMPUTED_VALUE"""),"Mega Scolipede")</f>
        <v>Mega Scolipede</v>
      </c>
      <c r="D78" s="46"/>
    </row>
    <row r="79">
      <c r="B79" s="42"/>
      <c r="C79" s="44" t="str">
        <f>IFERROR(__xludf.DUMMYFUNCTION("""COMPUTED_VALUE"""),"Trubbish")</f>
        <v>Trubbish</v>
      </c>
      <c r="D79" s="46"/>
    </row>
    <row r="80">
      <c r="B80" s="42"/>
      <c r="C80" s="43" t="str">
        <f>IFERROR(__xludf.DUMMYFUNCTION("""COMPUTED_VALUE"""),"Shiny Trubbish")</f>
        <v>Shiny Trubbish</v>
      </c>
      <c r="D80" s="46"/>
    </row>
    <row r="81">
      <c r="B81" s="42"/>
      <c r="C81" s="47"/>
      <c r="D81" s="46"/>
    </row>
    <row r="82">
      <c r="B82" s="42"/>
      <c r="C82" s="47"/>
      <c r="D82" s="46"/>
    </row>
    <row r="83">
      <c r="B83" s="42"/>
      <c r="C83" s="47"/>
      <c r="D83" s="46"/>
    </row>
    <row r="84">
      <c r="B84" s="42"/>
      <c r="C84" s="47"/>
      <c r="D84" s="46"/>
    </row>
    <row r="85">
      <c r="B85" s="42"/>
      <c r="C85" s="47"/>
      <c r="D85" s="46"/>
    </row>
    <row r="86">
      <c r="B86" s="42"/>
      <c r="C86" s="47"/>
      <c r="D86" s="46"/>
    </row>
    <row r="87">
      <c r="B87" s="42"/>
      <c r="C87" s="47"/>
      <c r="D87" s="46"/>
    </row>
    <row r="88">
      <c r="B88" s="42"/>
      <c r="C88" s="47"/>
      <c r="D88" s="46"/>
    </row>
    <row r="89">
      <c r="B89" s="42"/>
      <c r="C89" s="47"/>
      <c r="D89" s="46"/>
    </row>
    <row r="90">
      <c r="B90" s="42"/>
      <c r="C90" s="47"/>
      <c r="D90" s="46"/>
    </row>
    <row r="91">
      <c r="B91" s="42"/>
      <c r="C91" s="47"/>
      <c r="D91" s="46"/>
    </row>
    <row r="92">
      <c r="B92" s="42"/>
      <c r="C92" s="47"/>
      <c r="D92" s="46"/>
    </row>
    <row r="93">
      <c r="B93" s="42"/>
      <c r="C93" s="47"/>
      <c r="D93" s="46"/>
    </row>
    <row r="94">
      <c r="B94" s="42"/>
      <c r="C94" s="47"/>
      <c r="D94" s="46"/>
    </row>
    <row r="95">
      <c r="B95" s="42"/>
      <c r="C95" s="47"/>
      <c r="D95" s="46"/>
    </row>
    <row r="96">
      <c r="B96" s="42"/>
      <c r="C96" s="47"/>
      <c r="D96" s="46"/>
    </row>
    <row r="97">
      <c r="B97" s="42"/>
      <c r="C97" s="47"/>
      <c r="D97" s="46"/>
    </row>
    <row r="98">
      <c r="B98" s="42"/>
      <c r="C98" s="47"/>
      <c r="D98" s="46"/>
    </row>
    <row r="99">
      <c r="B99" s="42"/>
      <c r="C99" s="47"/>
      <c r="D99" s="46"/>
    </row>
    <row r="100">
      <c r="B100" s="42"/>
      <c r="C100" s="47"/>
      <c r="D100" s="46"/>
    </row>
    <row r="101">
      <c r="B101" s="42"/>
      <c r="C101" s="47"/>
      <c r="D101" s="46"/>
    </row>
    <row r="102">
      <c r="B102" s="42"/>
      <c r="C102" s="47"/>
      <c r="D102" s="46"/>
    </row>
    <row r="103">
      <c r="B103" s="42"/>
      <c r="C103" s="47"/>
      <c r="D103" s="46"/>
    </row>
    <row r="104">
      <c r="B104" s="42"/>
      <c r="C104" s="47"/>
      <c r="D104" s="46"/>
    </row>
    <row r="105">
      <c r="B105" s="42"/>
      <c r="C105" s="47"/>
      <c r="D105" s="46"/>
    </row>
    <row r="106">
      <c r="B106" s="42"/>
      <c r="C106" s="47"/>
      <c r="D106" s="46"/>
    </row>
    <row r="107">
      <c r="B107" s="42"/>
      <c r="C107" s="47"/>
      <c r="D107" s="46"/>
    </row>
    <row r="108">
      <c r="B108" s="42"/>
      <c r="C108" s="47"/>
      <c r="D108" s="46"/>
    </row>
    <row r="109">
      <c r="B109" s="42"/>
      <c r="C109" s="47"/>
      <c r="D109" s="46"/>
    </row>
    <row r="110">
      <c r="B110" s="42"/>
      <c r="C110" s="47"/>
      <c r="D110" s="46"/>
    </row>
    <row r="111">
      <c r="B111" s="42"/>
      <c r="C111" s="47"/>
      <c r="D111" s="46"/>
    </row>
    <row r="112">
      <c r="B112" s="42"/>
      <c r="C112" s="47"/>
      <c r="D112" s="46"/>
    </row>
    <row r="113">
      <c r="B113" s="42"/>
      <c r="C113" s="47"/>
      <c r="D113" s="46"/>
    </row>
    <row r="114">
      <c r="B114" s="42"/>
      <c r="C114" s="47"/>
      <c r="D114" s="46"/>
    </row>
    <row r="115">
      <c r="B115" s="42"/>
      <c r="C115" s="47"/>
      <c r="D115" s="46"/>
    </row>
    <row r="116">
      <c r="B116" s="42"/>
      <c r="C116" s="47"/>
      <c r="D116" s="46"/>
    </row>
    <row r="117">
      <c r="B117" s="42"/>
      <c r="C117" s="47"/>
      <c r="D117" s="46"/>
    </row>
    <row r="118">
      <c r="B118" s="42"/>
      <c r="C118" s="47"/>
      <c r="D118" s="46"/>
    </row>
    <row r="119">
      <c r="B119" s="42"/>
      <c r="C119" s="47"/>
      <c r="D119" s="46"/>
    </row>
    <row r="120">
      <c r="B120" s="42"/>
      <c r="C120" s="47"/>
      <c r="D120" s="46"/>
    </row>
    <row r="121">
      <c r="B121" s="42"/>
      <c r="C121" s="47"/>
      <c r="D121" s="46"/>
    </row>
    <row r="122">
      <c r="B122" s="42"/>
      <c r="C122" s="47"/>
      <c r="D122" s="46"/>
    </row>
    <row r="123">
      <c r="B123" s="42"/>
      <c r="C123" s="47"/>
      <c r="D123" s="46"/>
    </row>
    <row r="124">
      <c r="B124" s="42"/>
      <c r="C124" s="47"/>
      <c r="D124" s="46"/>
    </row>
    <row r="125">
      <c r="B125" s="42"/>
      <c r="C125" s="47"/>
      <c r="D125" s="46"/>
    </row>
    <row r="126">
      <c r="B126" s="42"/>
      <c r="C126" s="47"/>
      <c r="D126" s="46"/>
    </row>
    <row r="127">
      <c r="B127" s="42"/>
      <c r="C127" s="47"/>
      <c r="D127" s="46"/>
    </row>
    <row r="128">
      <c r="B128" s="42"/>
      <c r="C128" s="47"/>
      <c r="D128" s="46"/>
    </row>
    <row r="129">
      <c r="B129" s="42"/>
      <c r="C129" s="47"/>
      <c r="D129" s="46"/>
    </row>
    <row r="130">
      <c r="B130" s="42"/>
      <c r="C130" s="47"/>
      <c r="D130" s="46"/>
    </row>
    <row r="131">
      <c r="B131" s="42"/>
      <c r="C131" s="47"/>
      <c r="D131" s="46"/>
    </row>
    <row r="132">
      <c r="B132" s="42"/>
      <c r="C132" s="47"/>
      <c r="D132" s="46"/>
    </row>
    <row r="133">
      <c r="B133" s="42"/>
      <c r="C133" s="47"/>
      <c r="D133" s="46"/>
    </row>
    <row r="134">
      <c r="B134" s="42"/>
      <c r="C134" s="47"/>
      <c r="D134" s="46"/>
    </row>
    <row r="135">
      <c r="B135" s="42"/>
      <c r="C135" s="47"/>
      <c r="D135" s="46"/>
    </row>
    <row r="136">
      <c r="B136" s="42"/>
      <c r="C136" s="47"/>
      <c r="D136" s="46"/>
    </row>
    <row r="137">
      <c r="B137" s="42"/>
      <c r="C137" s="47"/>
      <c r="D137" s="46"/>
    </row>
    <row r="138">
      <c r="B138" s="42"/>
      <c r="C138" s="47"/>
      <c r="D138" s="46"/>
    </row>
    <row r="139">
      <c r="B139" s="42"/>
      <c r="C139" s="47"/>
      <c r="D139" s="46"/>
    </row>
    <row r="140">
      <c r="B140" s="42"/>
      <c r="C140" s="47"/>
      <c r="D140" s="46"/>
    </row>
    <row r="141">
      <c r="B141" s="42"/>
      <c r="C141" s="47"/>
      <c r="D141" s="46"/>
    </row>
    <row r="142">
      <c r="B142" s="42"/>
      <c r="C142" s="47"/>
      <c r="D142" s="46"/>
    </row>
    <row r="143">
      <c r="B143" s="42"/>
      <c r="C143" s="47"/>
      <c r="D143" s="46"/>
    </row>
    <row r="144">
      <c r="B144" s="42"/>
      <c r="C144" s="47"/>
      <c r="D144" s="46"/>
    </row>
    <row r="145">
      <c r="B145" s="42"/>
      <c r="C145" s="47"/>
      <c r="D145" s="46"/>
    </row>
    <row r="146">
      <c r="B146" s="42"/>
      <c r="C146" s="47"/>
      <c r="D146" s="46"/>
    </row>
    <row r="147">
      <c r="B147" s="42"/>
      <c r="C147" s="47"/>
      <c r="D147" s="46"/>
    </row>
    <row r="148">
      <c r="B148" s="42"/>
      <c r="C148" s="47"/>
      <c r="D148" s="46"/>
    </row>
    <row r="149">
      <c r="B149" s="42"/>
      <c r="C149" s="47"/>
      <c r="D149" s="46"/>
    </row>
    <row r="150">
      <c r="B150" s="42"/>
      <c r="C150" s="47"/>
      <c r="D150" s="46"/>
    </row>
    <row r="151">
      <c r="B151" s="42"/>
      <c r="C151" s="47"/>
      <c r="D151" s="46"/>
    </row>
    <row r="152">
      <c r="B152" s="42"/>
      <c r="C152" s="47"/>
      <c r="D152" s="46"/>
    </row>
    <row r="153">
      <c r="B153" s="42"/>
      <c r="C153" s="47"/>
      <c r="D153" s="46"/>
    </row>
    <row r="154">
      <c r="B154" s="42"/>
      <c r="C154" s="47"/>
      <c r="D154" s="46"/>
    </row>
    <row r="155">
      <c r="B155" s="42"/>
      <c r="C155" s="47"/>
      <c r="D155" s="46"/>
    </row>
    <row r="156">
      <c r="B156" s="42"/>
      <c r="C156" s="47"/>
      <c r="D156" s="46"/>
    </row>
    <row r="157">
      <c r="B157" s="42"/>
      <c r="C157" s="47"/>
      <c r="D157" s="46"/>
    </row>
    <row r="158">
      <c r="B158" s="42"/>
      <c r="C158" s="47"/>
      <c r="D158" s="46"/>
    </row>
    <row r="159">
      <c r="B159" s="42"/>
      <c r="C159" s="47"/>
      <c r="D159" s="46"/>
    </row>
    <row r="160">
      <c r="B160" s="42"/>
      <c r="C160" s="47"/>
      <c r="D160" s="46"/>
    </row>
    <row r="161">
      <c r="B161" s="42"/>
      <c r="C161" s="47"/>
      <c r="D161" s="46"/>
    </row>
    <row r="162">
      <c r="B162" s="42"/>
      <c r="C162" s="47"/>
      <c r="D162" s="46"/>
    </row>
    <row r="163">
      <c r="B163" s="42"/>
      <c r="C163" s="47"/>
      <c r="D163" s="46"/>
    </row>
    <row r="164">
      <c r="B164" s="42"/>
      <c r="C164" s="47"/>
      <c r="D164" s="46"/>
    </row>
    <row r="165">
      <c r="B165" s="42"/>
      <c r="C165" s="47"/>
      <c r="D165" s="46"/>
    </row>
    <row r="166">
      <c r="B166" s="42"/>
      <c r="C166" s="47"/>
      <c r="D166" s="46"/>
    </row>
    <row r="167">
      <c r="B167" s="42"/>
      <c r="C167" s="47"/>
      <c r="D167" s="46"/>
    </row>
    <row r="168">
      <c r="B168" s="42"/>
      <c r="C168" s="47"/>
      <c r="D168" s="46"/>
    </row>
    <row r="169">
      <c r="B169" s="42"/>
      <c r="C169" s="47"/>
      <c r="D169" s="46"/>
    </row>
    <row r="170">
      <c r="B170" s="42"/>
      <c r="C170" s="47"/>
      <c r="D170" s="46"/>
    </row>
    <row r="171">
      <c r="B171" s="42"/>
      <c r="C171" s="47"/>
      <c r="D171" s="46"/>
    </row>
    <row r="172">
      <c r="B172" s="42"/>
      <c r="C172" s="47"/>
      <c r="D172" s="46"/>
    </row>
    <row r="173">
      <c r="B173" s="42"/>
      <c r="C173" s="47"/>
      <c r="D173" s="46"/>
    </row>
    <row r="174">
      <c r="B174" s="42"/>
      <c r="C174" s="47"/>
      <c r="D174" s="46"/>
    </row>
    <row r="175">
      <c r="B175" s="42"/>
      <c r="C175" s="47"/>
      <c r="D175" s="46"/>
    </row>
    <row r="176">
      <c r="B176" s="42"/>
      <c r="C176" s="47"/>
      <c r="D176" s="46"/>
    </row>
    <row r="177">
      <c r="B177" s="42"/>
      <c r="C177" s="47"/>
      <c r="D177" s="46"/>
    </row>
    <row r="178">
      <c r="B178" s="42"/>
      <c r="C178" s="47"/>
      <c r="D178" s="46"/>
    </row>
    <row r="179">
      <c r="B179" s="42"/>
      <c r="C179" s="47"/>
      <c r="D179" s="46"/>
    </row>
    <row r="180">
      <c r="B180" s="42"/>
      <c r="C180" s="47"/>
      <c r="D180" s="46"/>
    </row>
    <row r="181">
      <c r="B181" s="42"/>
      <c r="C181" s="47"/>
      <c r="D181" s="46"/>
    </row>
    <row r="182">
      <c r="B182" s="42"/>
      <c r="C182" s="47"/>
      <c r="D182" s="46"/>
    </row>
    <row r="183">
      <c r="B183" s="42"/>
      <c r="C183" s="47"/>
      <c r="D183" s="46"/>
    </row>
    <row r="184">
      <c r="B184" s="42"/>
      <c r="C184" s="47"/>
      <c r="D184" s="46"/>
    </row>
    <row r="185">
      <c r="B185" s="42"/>
      <c r="C185" s="47"/>
      <c r="D185" s="46"/>
    </row>
    <row r="186">
      <c r="B186" s="42"/>
      <c r="C186" s="47"/>
      <c r="D186" s="46"/>
    </row>
    <row r="187">
      <c r="B187" s="42"/>
      <c r="C187" s="47"/>
      <c r="D187" s="46"/>
    </row>
    <row r="188">
      <c r="B188" s="42"/>
      <c r="C188" s="47"/>
      <c r="D188" s="46"/>
    </row>
    <row r="189">
      <c r="B189" s="42"/>
      <c r="C189" s="47"/>
      <c r="D189" s="46"/>
    </row>
    <row r="190">
      <c r="B190" s="42"/>
      <c r="C190" s="47"/>
      <c r="D190" s="46"/>
    </row>
    <row r="191">
      <c r="B191" s="42"/>
      <c r="C191" s="47"/>
      <c r="D191" s="46"/>
    </row>
    <row r="192">
      <c r="B192" s="42"/>
      <c r="C192" s="47"/>
      <c r="D192" s="46"/>
    </row>
    <row r="193">
      <c r="B193" s="42"/>
      <c r="C193" s="47"/>
      <c r="D193" s="46"/>
    </row>
    <row r="194">
      <c r="B194" s="42"/>
      <c r="C194" s="47"/>
      <c r="D194" s="46"/>
    </row>
    <row r="195">
      <c r="B195" s="42"/>
      <c r="C195" s="47"/>
      <c r="D195" s="46"/>
    </row>
    <row r="196">
      <c r="B196" s="42"/>
      <c r="C196" s="47"/>
      <c r="D196" s="46"/>
    </row>
    <row r="197">
      <c r="B197" s="42"/>
      <c r="C197" s="47"/>
      <c r="D197" s="46"/>
    </row>
    <row r="198">
      <c r="B198" s="42"/>
      <c r="C198" s="47"/>
      <c r="D198" s="46"/>
    </row>
    <row r="199">
      <c r="B199" s="42"/>
      <c r="C199" s="47"/>
      <c r="D199" s="46"/>
    </row>
    <row r="200">
      <c r="B200" s="42"/>
      <c r="C200" s="47"/>
      <c r="D200" s="46"/>
    </row>
    <row r="201">
      <c r="B201" s="42"/>
      <c r="C201" s="47"/>
      <c r="D201" s="46"/>
    </row>
    <row r="202">
      <c r="B202" s="42"/>
      <c r="C202" s="47"/>
      <c r="D202" s="46"/>
    </row>
    <row r="203">
      <c r="B203" s="42"/>
      <c r="C203" s="47"/>
      <c r="D203" s="46"/>
    </row>
    <row r="204">
      <c r="B204" s="42"/>
      <c r="C204" s="47"/>
      <c r="D204" s="46"/>
    </row>
    <row r="205">
      <c r="B205" s="42"/>
      <c r="C205" s="47"/>
      <c r="D205" s="46"/>
    </row>
    <row r="206">
      <c r="B206" s="42"/>
      <c r="C206" s="47"/>
      <c r="D206" s="46"/>
    </row>
    <row r="207">
      <c r="B207" s="42"/>
      <c r="C207" s="47"/>
      <c r="D207" s="46"/>
    </row>
    <row r="208">
      <c r="B208" s="42"/>
      <c r="C208" s="47"/>
      <c r="D208" s="46"/>
    </row>
    <row r="209">
      <c r="B209" s="42"/>
      <c r="C209" s="47"/>
      <c r="D209" s="46"/>
    </row>
    <row r="210">
      <c r="B210" s="42"/>
      <c r="C210" s="47"/>
      <c r="D210" s="46"/>
    </row>
    <row r="211">
      <c r="B211" s="42"/>
      <c r="C211" s="47"/>
      <c r="D211" s="46"/>
    </row>
    <row r="212">
      <c r="B212" s="42"/>
      <c r="C212" s="47"/>
      <c r="D212" s="46"/>
    </row>
    <row r="213">
      <c r="B213" s="42"/>
      <c r="C213" s="47"/>
      <c r="D213" s="46"/>
    </row>
    <row r="214">
      <c r="B214" s="42"/>
      <c r="C214" s="47"/>
      <c r="D214" s="46"/>
    </row>
    <row r="215">
      <c r="B215" s="42"/>
      <c r="C215" s="47"/>
      <c r="D215" s="46"/>
    </row>
    <row r="216">
      <c r="B216" s="42"/>
      <c r="C216" s="47"/>
      <c r="D216" s="46"/>
    </row>
    <row r="217">
      <c r="B217" s="42"/>
      <c r="C217" s="47"/>
      <c r="D217" s="46"/>
    </row>
    <row r="218">
      <c r="B218" s="42"/>
      <c r="C218" s="47"/>
      <c r="D218" s="46"/>
    </row>
    <row r="219">
      <c r="B219" s="42"/>
      <c r="C219" s="47"/>
      <c r="D219" s="46"/>
    </row>
    <row r="220">
      <c r="B220" s="42"/>
      <c r="C220" s="47"/>
      <c r="D220" s="46"/>
    </row>
    <row r="221">
      <c r="B221" s="42"/>
      <c r="C221" s="47"/>
      <c r="D221" s="46"/>
    </row>
    <row r="222">
      <c r="B222" s="42"/>
      <c r="C222" s="47"/>
      <c r="D222" s="46"/>
    </row>
    <row r="223">
      <c r="B223" s="42"/>
      <c r="C223" s="47"/>
      <c r="D223" s="46"/>
    </row>
    <row r="224">
      <c r="B224" s="42"/>
      <c r="C224" s="47"/>
      <c r="D224" s="46"/>
    </row>
    <row r="225">
      <c r="B225" s="42"/>
      <c r="C225" s="47"/>
      <c r="D225" s="46"/>
    </row>
    <row r="226">
      <c r="B226" s="42"/>
      <c r="C226" s="47"/>
      <c r="D226" s="46"/>
    </row>
    <row r="227">
      <c r="B227" s="42"/>
      <c r="C227" s="47"/>
      <c r="D227" s="46"/>
    </row>
    <row r="228">
      <c r="B228" s="42"/>
      <c r="C228" s="47"/>
      <c r="D228" s="46"/>
    </row>
    <row r="229">
      <c r="B229" s="42"/>
      <c r="C229" s="47"/>
      <c r="D229" s="46"/>
    </row>
    <row r="230">
      <c r="B230" s="42"/>
      <c r="C230" s="47"/>
      <c r="D230" s="46"/>
    </row>
    <row r="231">
      <c r="B231" s="42"/>
      <c r="C231" s="47"/>
      <c r="D231" s="46"/>
    </row>
    <row r="232">
      <c r="B232" s="42"/>
      <c r="C232" s="47"/>
      <c r="D232" s="46"/>
    </row>
    <row r="233">
      <c r="B233" s="42"/>
      <c r="C233" s="47"/>
      <c r="D233" s="46"/>
    </row>
    <row r="234">
      <c r="B234" s="42"/>
      <c r="C234" s="47"/>
      <c r="D234" s="46"/>
    </row>
    <row r="235">
      <c r="B235" s="42"/>
      <c r="C235" s="47"/>
      <c r="D235" s="46"/>
    </row>
    <row r="236">
      <c r="B236" s="42"/>
      <c r="C236" s="47"/>
      <c r="D236" s="46"/>
    </row>
    <row r="237">
      <c r="B237" s="42"/>
      <c r="C237" s="47"/>
      <c r="D237" s="46"/>
    </row>
    <row r="238">
      <c r="B238" s="42"/>
      <c r="C238" s="47"/>
      <c r="D238" s="46"/>
    </row>
    <row r="239">
      <c r="B239" s="42"/>
      <c r="C239" s="47"/>
      <c r="D239" s="46"/>
    </row>
    <row r="240">
      <c r="B240" s="42"/>
      <c r="C240" s="47"/>
      <c r="D240" s="46"/>
    </row>
    <row r="241">
      <c r="B241" s="42"/>
      <c r="C241" s="47"/>
      <c r="D241" s="46"/>
    </row>
    <row r="242">
      <c r="B242" s="42"/>
      <c r="C242" s="47"/>
      <c r="D242" s="46"/>
    </row>
    <row r="243">
      <c r="B243" s="42"/>
      <c r="C243" s="47"/>
      <c r="D243" s="46"/>
    </row>
    <row r="244">
      <c r="B244" s="42"/>
      <c r="C244" s="47"/>
      <c r="D244" s="46"/>
    </row>
    <row r="245">
      <c r="B245" s="42"/>
      <c r="C245" s="47"/>
      <c r="D245" s="46"/>
    </row>
    <row r="246">
      <c r="B246" s="42"/>
      <c r="C246" s="47"/>
      <c r="D246" s="46"/>
    </row>
    <row r="247">
      <c r="B247" s="42"/>
      <c r="C247" s="47"/>
      <c r="D247" s="46"/>
    </row>
    <row r="248">
      <c r="B248" s="42"/>
      <c r="C248" s="47"/>
      <c r="D248" s="46"/>
    </row>
    <row r="249">
      <c r="B249" s="42"/>
      <c r="C249" s="47"/>
      <c r="D249" s="46"/>
    </row>
    <row r="250">
      <c r="B250" s="42"/>
      <c r="C250" s="47"/>
      <c r="D250" s="46"/>
    </row>
    <row r="251">
      <c r="B251" s="42"/>
      <c r="C251" s="47"/>
      <c r="D251" s="46"/>
    </row>
    <row r="252">
      <c r="B252" s="42"/>
      <c r="C252" s="47"/>
      <c r="D252" s="46"/>
    </row>
    <row r="253">
      <c r="B253" s="42"/>
      <c r="C253" s="47"/>
      <c r="D253" s="46"/>
    </row>
    <row r="254">
      <c r="B254" s="42"/>
      <c r="C254" s="47"/>
      <c r="D254" s="46"/>
    </row>
    <row r="255">
      <c r="B255" s="42"/>
      <c r="C255" s="47"/>
      <c r="D255" s="46"/>
    </row>
    <row r="256">
      <c r="B256" s="42"/>
      <c r="C256" s="47"/>
      <c r="D256" s="46"/>
    </row>
    <row r="257">
      <c r="B257" s="42"/>
      <c r="C257" s="47"/>
      <c r="D257" s="46"/>
    </row>
    <row r="258">
      <c r="B258" s="42"/>
      <c r="C258" s="47"/>
      <c r="D258" s="46"/>
    </row>
    <row r="259">
      <c r="B259" s="42"/>
      <c r="C259" s="47"/>
      <c r="D259" s="46"/>
    </row>
    <row r="260">
      <c r="B260" s="42"/>
      <c r="C260" s="47"/>
      <c r="D260" s="46"/>
    </row>
    <row r="261">
      <c r="B261" s="42"/>
      <c r="C261" s="47"/>
      <c r="D261" s="46"/>
    </row>
    <row r="262">
      <c r="B262" s="42"/>
      <c r="C262" s="47"/>
      <c r="D262" s="46"/>
    </row>
    <row r="263">
      <c r="B263" s="42"/>
      <c r="C263" s="47"/>
      <c r="D263" s="46"/>
    </row>
    <row r="264">
      <c r="B264" s="42"/>
      <c r="C264" s="47"/>
      <c r="D264" s="46"/>
    </row>
    <row r="265">
      <c r="B265" s="42"/>
      <c r="C265" s="47"/>
      <c r="D265" s="46"/>
    </row>
    <row r="266">
      <c r="B266" s="42"/>
      <c r="C266" s="47"/>
      <c r="D266" s="46"/>
    </row>
    <row r="267">
      <c r="B267" s="42"/>
      <c r="C267" s="47"/>
      <c r="D267" s="46"/>
    </row>
    <row r="268">
      <c r="B268" s="42"/>
      <c r="C268" s="47"/>
      <c r="D268" s="46"/>
    </row>
    <row r="269">
      <c r="B269" s="42"/>
      <c r="C269" s="47"/>
      <c r="D269" s="46"/>
    </row>
    <row r="270">
      <c r="B270" s="42"/>
      <c r="C270" s="47"/>
      <c r="D270" s="46"/>
    </row>
    <row r="271">
      <c r="B271" s="42"/>
      <c r="C271" s="47"/>
      <c r="D271" s="46"/>
    </row>
    <row r="272">
      <c r="B272" s="42"/>
      <c r="C272" s="47"/>
      <c r="D272" s="46"/>
    </row>
    <row r="273">
      <c r="B273" s="42"/>
      <c r="C273" s="47"/>
      <c r="D273" s="46"/>
    </row>
    <row r="274">
      <c r="B274" s="42"/>
      <c r="C274" s="47"/>
      <c r="D274" s="46"/>
    </row>
    <row r="275">
      <c r="B275" s="42"/>
      <c r="C275" s="47"/>
      <c r="D275" s="46"/>
    </row>
    <row r="276">
      <c r="B276" s="42"/>
      <c r="C276" s="47"/>
      <c r="D276" s="46"/>
    </row>
    <row r="277">
      <c r="B277" s="42"/>
      <c r="C277" s="47"/>
      <c r="D277" s="46"/>
    </row>
    <row r="278">
      <c r="B278" s="42"/>
      <c r="C278" s="47"/>
      <c r="D278" s="46"/>
    </row>
    <row r="279">
      <c r="B279" s="42"/>
      <c r="C279" s="47"/>
      <c r="D279" s="46"/>
    </row>
    <row r="280">
      <c r="B280" s="42"/>
      <c r="C280" s="47"/>
      <c r="D280" s="46"/>
    </row>
    <row r="281">
      <c r="B281" s="42"/>
      <c r="C281" s="47"/>
      <c r="D281" s="46"/>
    </row>
    <row r="282">
      <c r="B282" s="42"/>
      <c r="C282" s="47"/>
      <c r="D282" s="46"/>
    </row>
    <row r="283">
      <c r="B283" s="42"/>
      <c r="C283" s="47"/>
      <c r="D283" s="46"/>
    </row>
    <row r="284">
      <c r="B284" s="42"/>
      <c r="C284" s="47"/>
      <c r="D284" s="46"/>
    </row>
    <row r="285">
      <c r="B285" s="42"/>
      <c r="C285" s="47"/>
      <c r="D285" s="46"/>
    </row>
    <row r="286">
      <c r="B286" s="42"/>
      <c r="C286" s="47"/>
      <c r="D286" s="46"/>
    </row>
    <row r="287">
      <c r="B287" s="42"/>
      <c r="C287" s="47"/>
      <c r="D287" s="46"/>
    </row>
    <row r="288">
      <c r="B288" s="42"/>
      <c r="C288" s="47"/>
      <c r="D288" s="46"/>
    </row>
    <row r="289">
      <c r="B289" s="42"/>
      <c r="C289" s="47"/>
      <c r="D289" s="46"/>
    </row>
    <row r="290">
      <c r="B290" s="42"/>
      <c r="C290" s="47"/>
      <c r="D290" s="46"/>
    </row>
    <row r="291">
      <c r="B291" s="42"/>
      <c r="C291" s="47"/>
      <c r="D291" s="46"/>
    </row>
    <row r="292">
      <c r="B292" s="42"/>
      <c r="C292" s="47"/>
      <c r="D292" s="46"/>
    </row>
    <row r="293">
      <c r="B293" s="42"/>
      <c r="C293" s="47"/>
      <c r="D293" s="46"/>
    </row>
    <row r="294">
      <c r="B294" s="42"/>
      <c r="C294" s="47"/>
      <c r="D294" s="46"/>
    </row>
    <row r="295">
      <c r="B295" s="42"/>
      <c r="C295" s="47"/>
      <c r="D295" s="46"/>
    </row>
    <row r="296">
      <c r="B296" s="42"/>
      <c r="C296" s="47"/>
      <c r="D296" s="46"/>
    </row>
    <row r="297">
      <c r="B297" s="42"/>
      <c r="C297" s="47"/>
      <c r="D297" s="46"/>
    </row>
    <row r="298">
      <c r="B298" s="42"/>
      <c r="C298" s="47"/>
      <c r="D298" s="46"/>
    </row>
    <row r="299">
      <c r="B299" s="42"/>
      <c r="C299" s="47"/>
      <c r="D299" s="46"/>
    </row>
    <row r="300">
      <c r="B300" s="42"/>
      <c r="C300" s="47"/>
      <c r="D300" s="46"/>
    </row>
    <row r="301">
      <c r="B301" s="42"/>
      <c r="C301" s="47"/>
      <c r="D301" s="46"/>
    </row>
    <row r="302">
      <c r="B302" s="42"/>
      <c r="C302" s="47"/>
      <c r="D302" s="46"/>
    </row>
    <row r="303">
      <c r="B303" s="42"/>
      <c r="C303" s="47"/>
      <c r="D303" s="46"/>
    </row>
    <row r="304">
      <c r="B304" s="42"/>
      <c r="C304" s="47"/>
      <c r="D304" s="46"/>
    </row>
    <row r="305">
      <c r="B305" s="42"/>
      <c r="C305" s="47"/>
      <c r="D305" s="46"/>
    </row>
    <row r="306">
      <c r="B306" s="42"/>
      <c r="C306" s="47"/>
      <c r="D306" s="46"/>
    </row>
    <row r="307">
      <c r="B307" s="42"/>
      <c r="C307" s="47"/>
      <c r="D307" s="46"/>
    </row>
    <row r="308">
      <c r="B308" s="42"/>
      <c r="C308" s="47"/>
      <c r="D308" s="46"/>
    </row>
    <row r="309">
      <c r="B309" s="42"/>
      <c r="C309" s="47"/>
      <c r="D309" s="46"/>
    </row>
    <row r="310">
      <c r="B310" s="42"/>
      <c r="C310" s="47"/>
      <c r="D310" s="46"/>
    </row>
    <row r="311">
      <c r="B311" s="42"/>
      <c r="C311" s="47"/>
      <c r="D311" s="46"/>
    </row>
    <row r="312">
      <c r="B312" s="42"/>
      <c r="C312" s="47"/>
      <c r="D312" s="46"/>
    </row>
    <row r="313">
      <c r="B313" s="42"/>
      <c r="C313" s="47"/>
      <c r="D313" s="46"/>
    </row>
    <row r="314">
      <c r="B314" s="42"/>
      <c r="C314" s="47"/>
      <c r="D314" s="46"/>
    </row>
    <row r="315">
      <c r="B315" s="42"/>
      <c r="C315" s="47"/>
      <c r="D315" s="46"/>
    </row>
    <row r="316">
      <c r="B316" s="42"/>
      <c r="C316" s="47"/>
      <c r="D316" s="46"/>
    </row>
    <row r="317">
      <c r="B317" s="42"/>
      <c r="C317" s="47"/>
      <c r="D317" s="46"/>
    </row>
    <row r="318">
      <c r="B318" s="42"/>
      <c r="C318" s="47"/>
      <c r="D318" s="46"/>
    </row>
    <row r="319">
      <c r="B319" s="42"/>
      <c r="C319" s="47"/>
      <c r="D319" s="46"/>
    </row>
    <row r="320">
      <c r="B320" s="42"/>
      <c r="C320" s="47"/>
      <c r="D320" s="46"/>
    </row>
    <row r="321">
      <c r="B321" s="42"/>
      <c r="C321" s="47"/>
      <c r="D321" s="46"/>
    </row>
    <row r="322">
      <c r="B322" s="42"/>
      <c r="C322" s="47"/>
      <c r="D322" s="46"/>
    </row>
    <row r="323">
      <c r="B323" s="42"/>
      <c r="C323" s="47"/>
      <c r="D323" s="46"/>
    </row>
    <row r="324">
      <c r="B324" s="42"/>
      <c r="C324" s="47"/>
      <c r="D324" s="46"/>
    </row>
    <row r="325">
      <c r="B325" s="42"/>
      <c r="C325" s="47"/>
      <c r="D325" s="46"/>
    </row>
    <row r="326">
      <c r="B326" s="42"/>
      <c r="C326" s="47"/>
      <c r="D326" s="46"/>
    </row>
    <row r="327">
      <c r="B327" s="42"/>
      <c r="C327" s="47"/>
      <c r="D327" s="46"/>
    </row>
    <row r="328">
      <c r="B328" s="42"/>
      <c r="C328" s="47"/>
      <c r="D328" s="46"/>
    </row>
    <row r="329">
      <c r="B329" s="42"/>
      <c r="C329" s="47"/>
      <c r="D329" s="46"/>
    </row>
    <row r="330">
      <c r="B330" s="42"/>
      <c r="C330" s="47"/>
      <c r="D330" s="46"/>
    </row>
    <row r="331">
      <c r="B331" s="42"/>
      <c r="C331" s="47"/>
      <c r="D331" s="46"/>
    </row>
    <row r="332">
      <c r="B332" s="42"/>
      <c r="C332" s="47"/>
      <c r="D332" s="46"/>
    </row>
    <row r="333">
      <c r="B333" s="42"/>
      <c r="C333" s="47"/>
      <c r="D333" s="46"/>
    </row>
    <row r="334">
      <c r="B334" s="42"/>
      <c r="C334" s="47"/>
      <c r="D334" s="46"/>
    </row>
    <row r="335">
      <c r="B335" s="42"/>
      <c r="C335" s="47"/>
      <c r="D335" s="46"/>
    </row>
    <row r="336">
      <c r="B336" s="42"/>
      <c r="C336" s="47"/>
      <c r="D336" s="46"/>
    </row>
    <row r="337">
      <c r="B337" s="42"/>
      <c r="C337" s="47"/>
      <c r="D337" s="46"/>
    </row>
    <row r="338">
      <c r="B338" s="42"/>
      <c r="C338" s="47"/>
      <c r="D338" s="46"/>
    </row>
    <row r="339">
      <c r="B339" s="42"/>
      <c r="C339" s="47"/>
      <c r="D339" s="46"/>
    </row>
    <row r="340">
      <c r="B340" s="42"/>
      <c r="C340" s="47"/>
      <c r="D340" s="46"/>
    </row>
    <row r="341">
      <c r="B341" s="42"/>
      <c r="C341" s="47"/>
      <c r="D341" s="46"/>
    </row>
    <row r="342">
      <c r="B342" s="42"/>
      <c r="C342" s="47"/>
      <c r="D342" s="46"/>
    </row>
    <row r="343">
      <c r="B343" s="42"/>
      <c r="C343" s="47"/>
      <c r="D343" s="46"/>
    </row>
    <row r="344">
      <c r="B344" s="42"/>
      <c r="C344" s="47"/>
      <c r="D344" s="46"/>
    </row>
    <row r="345">
      <c r="B345" s="42"/>
      <c r="C345" s="47"/>
      <c r="D345" s="46"/>
    </row>
    <row r="346">
      <c r="B346" s="42"/>
      <c r="C346" s="47"/>
      <c r="D346" s="46"/>
    </row>
    <row r="347">
      <c r="B347" s="42"/>
      <c r="C347" s="47"/>
      <c r="D347" s="46"/>
    </row>
    <row r="348">
      <c r="B348" s="42"/>
      <c r="C348" s="47"/>
      <c r="D348" s="46"/>
    </row>
    <row r="349">
      <c r="B349" s="42"/>
      <c r="C349" s="47"/>
      <c r="D349" s="46"/>
    </row>
    <row r="350">
      <c r="B350" s="42"/>
      <c r="C350" s="47"/>
      <c r="D350" s="46"/>
    </row>
    <row r="351">
      <c r="B351" s="42"/>
      <c r="C351" s="47"/>
      <c r="D351" s="46"/>
    </row>
    <row r="352">
      <c r="B352" s="42"/>
      <c r="C352" s="47"/>
      <c r="D352" s="46"/>
    </row>
    <row r="353">
      <c r="B353" s="42"/>
      <c r="C353" s="47"/>
      <c r="D353" s="46"/>
    </row>
    <row r="354">
      <c r="B354" s="42"/>
      <c r="C354" s="47"/>
      <c r="D354" s="46"/>
    </row>
    <row r="355">
      <c r="B355" s="42"/>
      <c r="C355" s="47"/>
      <c r="D355" s="46"/>
    </row>
    <row r="356">
      <c r="B356" s="42"/>
      <c r="C356" s="47"/>
      <c r="D356" s="46"/>
    </row>
    <row r="357">
      <c r="B357" s="42"/>
      <c r="C357" s="47"/>
      <c r="D357" s="46"/>
    </row>
    <row r="358">
      <c r="B358" s="42"/>
      <c r="C358" s="47"/>
      <c r="D358" s="46"/>
    </row>
    <row r="359">
      <c r="B359" s="42"/>
      <c r="C359" s="47"/>
      <c r="D359" s="46"/>
    </row>
    <row r="360">
      <c r="B360" s="42"/>
      <c r="C360" s="47"/>
      <c r="D360" s="46"/>
    </row>
    <row r="361">
      <c r="B361" s="42"/>
      <c r="C361" s="47"/>
      <c r="D361" s="46"/>
    </row>
    <row r="362">
      <c r="B362" s="42"/>
      <c r="C362" s="47"/>
      <c r="D362" s="46"/>
    </row>
    <row r="363">
      <c r="B363" s="42"/>
      <c r="C363" s="47"/>
      <c r="D363" s="46"/>
    </row>
    <row r="364">
      <c r="B364" s="42"/>
      <c r="C364" s="47"/>
      <c r="D364" s="46"/>
    </row>
    <row r="365">
      <c r="B365" s="42"/>
      <c r="C365" s="47"/>
      <c r="D365" s="46"/>
    </row>
    <row r="366">
      <c r="B366" s="42"/>
      <c r="C366" s="47"/>
      <c r="D366" s="46"/>
    </row>
    <row r="367">
      <c r="B367" s="42"/>
      <c r="C367" s="47"/>
      <c r="D367" s="46"/>
    </row>
    <row r="368">
      <c r="B368" s="42"/>
      <c r="C368" s="47"/>
      <c r="D368" s="46"/>
    </row>
    <row r="369">
      <c r="B369" s="42"/>
      <c r="C369" s="47"/>
      <c r="D369" s="46"/>
    </row>
    <row r="370">
      <c r="B370" s="42"/>
      <c r="C370" s="47"/>
      <c r="D370" s="46"/>
    </row>
    <row r="371">
      <c r="B371" s="42"/>
      <c r="C371" s="47"/>
      <c r="D371" s="46"/>
    </row>
    <row r="372">
      <c r="B372" s="42"/>
      <c r="C372" s="47"/>
      <c r="D372" s="46"/>
    </row>
    <row r="373">
      <c r="B373" s="42"/>
      <c r="C373" s="47"/>
      <c r="D373" s="46"/>
    </row>
    <row r="374">
      <c r="B374" s="42"/>
      <c r="C374" s="47"/>
      <c r="D374" s="46"/>
    </row>
    <row r="375">
      <c r="B375" s="42"/>
      <c r="C375" s="47"/>
      <c r="D375" s="46"/>
    </row>
    <row r="376">
      <c r="B376" s="42"/>
      <c r="C376" s="47"/>
      <c r="D376" s="46"/>
    </row>
    <row r="377">
      <c r="B377" s="42"/>
      <c r="C377" s="47"/>
      <c r="D377" s="46"/>
    </row>
    <row r="378">
      <c r="B378" s="42"/>
      <c r="C378" s="47"/>
      <c r="D378" s="46"/>
    </row>
    <row r="379">
      <c r="B379" s="42"/>
      <c r="C379" s="47"/>
      <c r="D379" s="46"/>
    </row>
    <row r="380">
      <c r="B380" s="42"/>
      <c r="C380" s="47"/>
      <c r="D380" s="46"/>
    </row>
    <row r="381">
      <c r="B381" s="42"/>
      <c r="C381" s="47"/>
      <c r="D381" s="46"/>
    </row>
    <row r="382">
      <c r="B382" s="42"/>
      <c r="C382" s="47"/>
      <c r="D382" s="46"/>
    </row>
    <row r="383">
      <c r="B383" s="42"/>
      <c r="C383" s="47"/>
      <c r="D383" s="46"/>
    </row>
    <row r="384">
      <c r="B384" s="42"/>
      <c r="C384" s="47"/>
      <c r="D384" s="46"/>
    </row>
    <row r="385">
      <c r="B385" s="42"/>
      <c r="C385" s="47"/>
      <c r="D385" s="46"/>
    </row>
    <row r="386">
      <c r="B386" s="42"/>
      <c r="C386" s="47"/>
      <c r="D386" s="46"/>
    </row>
    <row r="387">
      <c r="B387" s="42"/>
      <c r="C387" s="47"/>
      <c r="D387" s="46"/>
    </row>
    <row r="388">
      <c r="B388" s="42"/>
      <c r="C388" s="47"/>
      <c r="D388" s="46"/>
    </row>
    <row r="389">
      <c r="B389" s="42"/>
      <c r="C389" s="47"/>
      <c r="D389" s="46"/>
    </row>
    <row r="390">
      <c r="B390" s="42"/>
      <c r="C390" s="47"/>
      <c r="D390" s="46"/>
    </row>
    <row r="391">
      <c r="B391" s="42"/>
      <c r="C391" s="47"/>
      <c r="D391" s="46"/>
    </row>
    <row r="392">
      <c r="B392" s="42"/>
      <c r="C392" s="47"/>
      <c r="D392" s="46"/>
    </row>
    <row r="393">
      <c r="B393" s="42"/>
      <c r="C393" s="47"/>
      <c r="D393" s="46"/>
    </row>
    <row r="394">
      <c r="B394" s="42"/>
      <c r="C394" s="47"/>
      <c r="D394" s="46"/>
    </row>
    <row r="395">
      <c r="B395" s="42"/>
      <c r="C395" s="47"/>
      <c r="D395" s="46"/>
    </row>
    <row r="396">
      <c r="B396" s="42"/>
      <c r="C396" s="47"/>
      <c r="D396" s="46"/>
    </row>
    <row r="397">
      <c r="B397" s="42"/>
      <c r="C397" s="47"/>
      <c r="D397" s="46"/>
    </row>
    <row r="398">
      <c r="B398" s="42"/>
      <c r="C398" s="47"/>
      <c r="D398" s="46"/>
    </row>
    <row r="399">
      <c r="B399" s="42"/>
      <c r="C399" s="47"/>
      <c r="D399" s="46"/>
    </row>
    <row r="400">
      <c r="B400" s="42"/>
      <c r="C400" s="47"/>
      <c r="D400" s="46"/>
    </row>
    <row r="401">
      <c r="B401" s="42"/>
      <c r="C401" s="47"/>
      <c r="D401" s="46"/>
    </row>
    <row r="402">
      <c r="B402" s="42"/>
      <c r="C402" s="47"/>
      <c r="D402" s="46"/>
    </row>
    <row r="403">
      <c r="B403" s="42"/>
      <c r="C403" s="47"/>
      <c r="D403" s="46"/>
    </row>
    <row r="404">
      <c r="B404" s="42"/>
      <c r="C404" s="47"/>
      <c r="D404" s="46"/>
    </row>
    <row r="405">
      <c r="B405" s="42"/>
      <c r="C405" s="47"/>
      <c r="D405" s="46"/>
    </row>
    <row r="406">
      <c r="B406" s="42"/>
      <c r="C406" s="47"/>
      <c r="D406" s="46"/>
    </row>
    <row r="407">
      <c r="B407" s="42"/>
      <c r="C407" s="47"/>
      <c r="D407" s="46"/>
    </row>
    <row r="408">
      <c r="B408" s="42"/>
      <c r="C408" s="47"/>
      <c r="D408" s="46"/>
    </row>
    <row r="409">
      <c r="B409" s="42"/>
      <c r="C409" s="47"/>
      <c r="D409" s="46"/>
    </row>
    <row r="410">
      <c r="B410" s="42"/>
      <c r="C410" s="47"/>
      <c r="D410" s="46"/>
    </row>
    <row r="411">
      <c r="B411" s="42"/>
      <c r="C411" s="47"/>
      <c r="D411" s="46"/>
    </row>
    <row r="412">
      <c r="B412" s="42"/>
      <c r="C412" s="47"/>
      <c r="D412" s="46"/>
    </row>
    <row r="413">
      <c r="B413" s="42"/>
      <c r="C413" s="47"/>
      <c r="D413" s="46"/>
    </row>
    <row r="414">
      <c r="B414" s="42"/>
      <c r="C414" s="47"/>
      <c r="D414" s="46"/>
    </row>
    <row r="415">
      <c r="B415" s="42"/>
      <c r="C415" s="47"/>
      <c r="D415" s="46"/>
    </row>
    <row r="416">
      <c r="B416" s="42"/>
      <c r="C416" s="47"/>
      <c r="D416" s="46"/>
    </row>
    <row r="417">
      <c r="B417" s="42"/>
      <c r="C417" s="47"/>
      <c r="D417" s="46"/>
    </row>
    <row r="418">
      <c r="B418" s="42"/>
      <c r="C418" s="47"/>
      <c r="D418" s="46"/>
    </row>
    <row r="419">
      <c r="B419" s="42"/>
      <c r="C419" s="47"/>
      <c r="D419" s="46"/>
    </row>
    <row r="420">
      <c r="B420" s="42"/>
      <c r="C420" s="47"/>
      <c r="D420" s="46"/>
    </row>
    <row r="421">
      <c r="B421" s="42"/>
      <c r="C421" s="47"/>
      <c r="D421" s="46"/>
    </row>
    <row r="422">
      <c r="B422" s="42"/>
      <c r="C422" s="47"/>
      <c r="D422" s="46"/>
    </row>
    <row r="423">
      <c r="B423" s="42"/>
      <c r="C423" s="47"/>
      <c r="D423" s="46"/>
    </row>
    <row r="424">
      <c r="B424" s="42"/>
      <c r="C424" s="47"/>
      <c r="D424" s="46"/>
    </row>
    <row r="425">
      <c r="B425" s="42"/>
      <c r="C425" s="47"/>
      <c r="D425" s="46"/>
    </row>
    <row r="426">
      <c r="B426" s="42"/>
      <c r="C426" s="47"/>
      <c r="D426" s="46"/>
    </row>
    <row r="427">
      <c r="B427" s="42"/>
      <c r="C427" s="47"/>
      <c r="D427" s="46"/>
    </row>
    <row r="428">
      <c r="B428" s="42"/>
      <c r="C428" s="47"/>
      <c r="D428" s="46"/>
    </row>
    <row r="429">
      <c r="B429" s="42"/>
      <c r="C429" s="47"/>
      <c r="D429" s="46"/>
    </row>
    <row r="430">
      <c r="B430" s="42"/>
      <c r="C430" s="47"/>
      <c r="D430" s="46"/>
    </row>
    <row r="431">
      <c r="B431" s="42"/>
      <c r="C431" s="47"/>
      <c r="D431" s="46"/>
    </row>
    <row r="432">
      <c r="B432" s="42"/>
      <c r="C432" s="47"/>
      <c r="D432" s="46"/>
    </row>
    <row r="433">
      <c r="B433" s="42"/>
      <c r="C433" s="47"/>
      <c r="D433" s="46"/>
    </row>
    <row r="434">
      <c r="B434" s="42"/>
      <c r="C434" s="47"/>
      <c r="D434" s="46"/>
    </row>
    <row r="435">
      <c r="B435" s="42"/>
      <c r="C435" s="47"/>
      <c r="D435" s="46"/>
    </row>
    <row r="436">
      <c r="B436" s="42"/>
      <c r="C436" s="47"/>
      <c r="D436" s="46"/>
    </row>
    <row r="437">
      <c r="B437" s="42"/>
      <c r="C437" s="47"/>
      <c r="D437" s="46"/>
    </row>
    <row r="438">
      <c r="B438" s="42"/>
      <c r="C438" s="47"/>
      <c r="D438" s="46"/>
    </row>
    <row r="439">
      <c r="B439" s="42"/>
      <c r="C439" s="47"/>
      <c r="D439" s="46"/>
    </row>
    <row r="440">
      <c r="B440" s="42"/>
      <c r="C440" s="47"/>
      <c r="D440" s="46"/>
    </row>
    <row r="441">
      <c r="B441" s="42"/>
      <c r="C441" s="47"/>
      <c r="D441" s="46"/>
    </row>
    <row r="442">
      <c r="B442" s="42"/>
      <c r="C442" s="47"/>
      <c r="D442" s="46"/>
    </row>
    <row r="443">
      <c r="B443" s="42"/>
      <c r="C443" s="47"/>
      <c r="D443" s="46"/>
    </row>
    <row r="444">
      <c r="B444" s="42"/>
      <c r="C444" s="47"/>
      <c r="D444" s="46"/>
    </row>
    <row r="445">
      <c r="B445" s="42"/>
      <c r="C445" s="47"/>
      <c r="D445" s="46"/>
    </row>
    <row r="446">
      <c r="B446" s="42"/>
      <c r="C446" s="47"/>
      <c r="D446" s="46"/>
    </row>
    <row r="447">
      <c r="B447" s="42"/>
      <c r="C447" s="47"/>
      <c r="D447" s="46"/>
    </row>
    <row r="448">
      <c r="B448" s="42"/>
      <c r="C448" s="47"/>
      <c r="D448" s="46"/>
    </row>
    <row r="449">
      <c r="B449" s="42"/>
      <c r="C449" s="47"/>
      <c r="D449" s="46"/>
    </row>
    <row r="450">
      <c r="B450" s="42"/>
      <c r="C450" s="47"/>
      <c r="D450" s="46"/>
    </row>
    <row r="451">
      <c r="B451" s="42"/>
      <c r="C451" s="47"/>
      <c r="D451" s="46"/>
    </row>
    <row r="452">
      <c r="B452" s="42"/>
      <c r="C452" s="47"/>
      <c r="D452" s="46"/>
    </row>
    <row r="453">
      <c r="B453" s="42"/>
      <c r="C453" s="47"/>
      <c r="D453" s="46"/>
    </row>
    <row r="454">
      <c r="B454" s="42"/>
      <c r="C454" s="47"/>
      <c r="D454" s="46"/>
    </row>
    <row r="455">
      <c r="B455" s="42"/>
      <c r="C455" s="47"/>
      <c r="D455" s="46"/>
    </row>
    <row r="456">
      <c r="B456" s="42"/>
      <c r="C456" s="47"/>
      <c r="D456" s="46"/>
    </row>
    <row r="457">
      <c r="B457" s="42"/>
      <c r="C457" s="47"/>
      <c r="D457" s="46"/>
    </row>
    <row r="458">
      <c r="B458" s="42"/>
      <c r="C458" s="47"/>
      <c r="D458" s="46"/>
    </row>
    <row r="459">
      <c r="B459" s="42"/>
      <c r="C459" s="47"/>
      <c r="D459" s="46"/>
    </row>
    <row r="460">
      <c r="B460" s="42"/>
      <c r="C460" s="47"/>
      <c r="D460" s="46"/>
    </row>
    <row r="461">
      <c r="B461" s="42"/>
      <c r="C461" s="47"/>
      <c r="D461" s="46"/>
    </row>
    <row r="462">
      <c r="B462" s="42"/>
      <c r="C462" s="47"/>
      <c r="D462" s="46"/>
    </row>
    <row r="463">
      <c r="B463" s="42"/>
      <c r="C463" s="47"/>
      <c r="D463" s="46"/>
    </row>
    <row r="464">
      <c r="B464" s="42"/>
      <c r="C464" s="47"/>
      <c r="D464" s="46"/>
    </row>
    <row r="465">
      <c r="B465" s="42"/>
      <c r="C465" s="47"/>
      <c r="D465" s="46"/>
    </row>
    <row r="466">
      <c r="B466" s="42"/>
      <c r="C466" s="47"/>
      <c r="D466" s="46"/>
    </row>
    <row r="467">
      <c r="B467" s="42"/>
      <c r="C467" s="47"/>
      <c r="D467" s="46"/>
    </row>
    <row r="468">
      <c r="B468" s="42"/>
      <c r="C468" s="47"/>
      <c r="D468" s="46"/>
    </row>
    <row r="469">
      <c r="B469" s="42"/>
      <c r="C469" s="47"/>
      <c r="D469" s="46"/>
    </row>
    <row r="470">
      <c r="B470" s="42"/>
      <c r="C470" s="47"/>
      <c r="D470" s="46"/>
    </row>
    <row r="471">
      <c r="B471" s="42"/>
      <c r="C471" s="47"/>
      <c r="D471" s="46"/>
    </row>
    <row r="472">
      <c r="B472" s="42"/>
      <c r="C472" s="47"/>
      <c r="D472" s="46"/>
    </row>
    <row r="473">
      <c r="B473" s="42"/>
      <c r="C473" s="47"/>
      <c r="D473" s="46"/>
    </row>
    <row r="474">
      <c r="B474" s="42"/>
      <c r="C474" s="47"/>
      <c r="D474" s="46"/>
    </row>
    <row r="475">
      <c r="B475" s="42"/>
      <c r="C475" s="47"/>
      <c r="D475" s="46"/>
    </row>
    <row r="476">
      <c r="B476" s="42"/>
      <c r="C476" s="47"/>
      <c r="D476" s="46"/>
    </row>
    <row r="477">
      <c r="B477" s="42"/>
      <c r="C477" s="47"/>
      <c r="D477" s="46"/>
    </row>
    <row r="478">
      <c r="B478" s="42"/>
      <c r="C478" s="47"/>
      <c r="D478" s="46"/>
    </row>
    <row r="479">
      <c r="B479" s="42"/>
      <c r="C479" s="47"/>
      <c r="D479" s="46"/>
    </row>
    <row r="480">
      <c r="B480" s="42"/>
      <c r="C480" s="47"/>
      <c r="D480" s="46"/>
    </row>
    <row r="481">
      <c r="B481" s="42"/>
      <c r="C481" s="47"/>
      <c r="D481" s="46"/>
    </row>
    <row r="482">
      <c r="B482" s="42"/>
      <c r="C482" s="47"/>
      <c r="D482" s="46"/>
    </row>
    <row r="483">
      <c r="B483" s="42"/>
      <c r="C483" s="47"/>
      <c r="D483" s="46"/>
    </row>
    <row r="484">
      <c r="B484" s="42"/>
      <c r="C484" s="47"/>
      <c r="D484" s="46"/>
    </row>
    <row r="485">
      <c r="B485" s="42"/>
      <c r="C485" s="47"/>
      <c r="D485" s="46"/>
    </row>
    <row r="486">
      <c r="B486" s="42"/>
      <c r="C486" s="47"/>
      <c r="D486" s="46"/>
    </row>
    <row r="487">
      <c r="B487" s="42"/>
      <c r="C487" s="47"/>
      <c r="D487" s="46"/>
    </row>
    <row r="488">
      <c r="B488" s="42"/>
      <c r="C488" s="47"/>
      <c r="D488" s="46"/>
    </row>
    <row r="489">
      <c r="B489" s="42"/>
      <c r="C489" s="47"/>
      <c r="D489" s="46"/>
    </row>
    <row r="490">
      <c r="B490" s="42"/>
      <c r="C490" s="47"/>
      <c r="D490" s="46"/>
    </row>
    <row r="491">
      <c r="B491" s="42"/>
      <c r="C491" s="47"/>
      <c r="D491" s="46"/>
    </row>
    <row r="492">
      <c r="B492" s="42"/>
      <c r="C492" s="47"/>
      <c r="D492" s="46"/>
    </row>
    <row r="493">
      <c r="B493" s="42"/>
      <c r="C493" s="47"/>
      <c r="D493" s="46"/>
    </row>
    <row r="494">
      <c r="B494" s="42"/>
      <c r="C494" s="47"/>
      <c r="D494" s="46"/>
    </row>
    <row r="495">
      <c r="B495" s="42"/>
      <c r="C495" s="47"/>
      <c r="D495" s="46"/>
    </row>
    <row r="496">
      <c r="B496" s="42"/>
      <c r="C496" s="47"/>
      <c r="D496" s="46"/>
    </row>
    <row r="497">
      <c r="B497" s="42"/>
      <c r="C497" s="47"/>
      <c r="D497" s="46"/>
    </row>
    <row r="498">
      <c r="B498" s="42"/>
      <c r="C498" s="47"/>
      <c r="D498" s="46"/>
    </row>
    <row r="499">
      <c r="B499" s="42"/>
      <c r="C499" s="47"/>
      <c r="D499" s="46"/>
    </row>
    <row r="500">
      <c r="B500" s="42"/>
      <c r="C500" s="47"/>
      <c r="D500" s="46"/>
    </row>
    <row r="501">
      <c r="B501" s="42"/>
      <c r="C501" s="47"/>
      <c r="D501" s="46"/>
    </row>
    <row r="502">
      <c r="B502" s="42"/>
      <c r="C502" s="47"/>
      <c r="D502" s="46"/>
    </row>
    <row r="503">
      <c r="B503" s="42"/>
      <c r="C503" s="47"/>
      <c r="D503" s="46"/>
    </row>
    <row r="504">
      <c r="B504" s="42"/>
      <c r="C504" s="47"/>
      <c r="D504" s="46"/>
    </row>
    <row r="505">
      <c r="B505" s="42"/>
      <c r="C505" s="47"/>
      <c r="D505" s="46"/>
    </row>
    <row r="506">
      <c r="B506" s="42"/>
      <c r="C506" s="47"/>
      <c r="D506" s="46"/>
    </row>
    <row r="507">
      <c r="B507" s="42"/>
      <c r="C507" s="47"/>
      <c r="D507" s="46"/>
    </row>
    <row r="508">
      <c r="B508" s="42"/>
      <c r="C508" s="47"/>
      <c r="D508" s="46"/>
    </row>
    <row r="509">
      <c r="B509" s="42"/>
      <c r="C509" s="47"/>
      <c r="D509" s="46"/>
    </row>
    <row r="510">
      <c r="B510" s="42"/>
      <c r="C510" s="47"/>
      <c r="D510" s="46"/>
    </row>
    <row r="511">
      <c r="B511" s="42"/>
      <c r="C511" s="47"/>
      <c r="D511" s="46"/>
    </row>
    <row r="512">
      <c r="B512" s="42"/>
      <c r="C512" s="47"/>
      <c r="D512" s="46"/>
    </row>
    <row r="513">
      <c r="B513" s="42"/>
      <c r="C513" s="47"/>
      <c r="D513" s="46"/>
    </row>
    <row r="514">
      <c r="B514" s="42"/>
      <c r="C514" s="47"/>
      <c r="D514" s="46"/>
    </row>
    <row r="515">
      <c r="B515" s="42"/>
      <c r="C515" s="47"/>
      <c r="D515" s="46"/>
    </row>
    <row r="516">
      <c r="B516" s="42"/>
      <c r="C516" s="47"/>
      <c r="D516" s="46"/>
    </row>
    <row r="517">
      <c r="B517" s="42"/>
      <c r="C517" s="47"/>
      <c r="D517" s="46"/>
    </row>
    <row r="518">
      <c r="B518" s="42"/>
      <c r="C518" s="47"/>
      <c r="D518" s="46"/>
    </row>
    <row r="519">
      <c r="B519" s="42"/>
      <c r="C519" s="47"/>
      <c r="D519" s="46"/>
    </row>
    <row r="520">
      <c r="B520" s="42"/>
      <c r="C520" s="47"/>
      <c r="D520" s="46"/>
    </row>
    <row r="521">
      <c r="B521" s="42"/>
      <c r="C521" s="47"/>
      <c r="D521" s="46"/>
    </row>
    <row r="522">
      <c r="B522" s="42"/>
      <c r="C522" s="47"/>
      <c r="D522" s="46"/>
    </row>
    <row r="523">
      <c r="B523" s="42"/>
      <c r="C523" s="47"/>
      <c r="D523" s="46"/>
    </row>
    <row r="524">
      <c r="B524" s="42"/>
      <c r="C524" s="47"/>
      <c r="D524" s="46"/>
    </row>
    <row r="525">
      <c r="B525" s="42"/>
      <c r="C525" s="47"/>
      <c r="D525" s="46"/>
    </row>
    <row r="526">
      <c r="B526" s="42"/>
      <c r="C526" s="47"/>
      <c r="D526" s="46"/>
    </row>
    <row r="527">
      <c r="B527" s="42"/>
      <c r="C527" s="47"/>
      <c r="D527" s="46"/>
    </row>
    <row r="528">
      <c r="B528" s="42"/>
      <c r="C528" s="47"/>
      <c r="D528" s="46"/>
    </row>
    <row r="529">
      <c r="B529" s="42"/>
      <c r="C529" s="47"/>
      <c r="D529" s="46"/>
    </row>
    <row r="530">
      <c r="B530" s="42"/>
      <c r="C530" s="47"/>
      <c r="D530" s="46"/>
    </row>
    <row r="531">
      <c r="B531" s="42"/>
      <c r="C531" s="47"/>
      <c r="D531" s="46"/>
    </row>
    <row r="532">
      <c r="B532" s="42"/>
      <c r="C532" s="47"/>
      <c r="D532" s="46"/>
    </row>
    <row r="533">
      <c r="B533" s="42"/>
      <c r="C533" s="47"/>
      <c r="D533" s="46"/>
    </row>
    <row r="534">
      <c r="B534" s="42"/>
      <c r="C534" s="47"/>
      <c r="D534" s="46"/>
    </row>
    <row r="535">
      <c r="B535" s="42"/>
      <c r="C535" s="47"/>
      <c r="D535" s="46"/>
    </row>
    <row r="536">
      <c r="B536" s="42"/>
      <c r="C536" s="47"/>
      <c r="D536" s="46"/>
    </row>
    <row r="537">
      <c r="B537" s="42"/>
      <c r="C537" s="47"/>
      <c r="D537" s="46"/>
    </row>
    <row r="538">
      <c r="B538" s="42"/>
      <c r="C538" s="47"/>
      <c r="D538" s="46"/>
    </row>
    <row r="539">
      <c r="B539" s="42"/>
      <c r="C539" s="47"/>
      <c r="D539" s="46"/>
    </row>
    <row r="540">
      <c r="B540" s="42"/>
      <c r="C540" s="47"/>
      <c r="D540" s="46"/>
    </row>
    <row r="541">
      <c r="B541" s="42"/>
      <c r="C541" s="47"/>
      <c r="D541" s="46"/>
    </row>
    <row r="542">
      <c r="B542" s="42"/>
      <c r="C542" s="47"/>
      <c r="D542" s="46"/>
    </row>
    <row r="543">
      <c r="B543" s="42"/>
      <c r="C543" s="47"/>
      <c r="D543" s="46"/>
    </row>
    <row r="544">
      <c r="B544" s="42"/>
      <c r="C544" s="47"/>
      <c r="D544" s="46"/>
    </row>
    <row r="545">
      <c r="B545" s="42"/>
      <c r="C545" s="47"/>
      <c r="D545" s="46"/>
    </row>
    <row r="546">
      <c r="B546" s="42"/>
      <c r="C546" s="47"/>
      <c r="D546" s="46"/>
    </row>
    <row r="547">
      <c r="B547" s="42"/>
      <c r="C547" s="47"/>
      <c r="D547" s="46"/>
    </row>
    <row r="548">
      <c r="B548" s="42"/>
      <c r="C548" s="47"/>
      <c r="D548" s="46"/>
    </row>
    <row r="549">
      <c r="B549" s="42"/>
      <c r="C549" s="47"/>
      <c r="D549" s="46"/>
    </row>
    <row r="550">
      <c r="B550" s="42"/>
      <c r="C550" s="47"/>
      <c r="D550" s="46"/>
    </row>
    <row r="551">
      <c r="B551" s="42"/>
      <c r="C551" s="47"/>
      <c r="D551" s="46"/>
    </row>
    <row r="552">
      <c r="B552" s="42"/>
      <c r="C552" s="47"/>
      <c r="D552" s="46"/>
    </row>
    <row r="553">
      <c r="B553" s="42"/>
      <c r="C553" s="47"/>
      <c r="D553" s="46"/>
    </row>
    <row r="554">
      <c r="B554" s="42"/>
      <c r="C554" s="47"/>
      <c r="D554" s="46"/>
    </row>
    <row r="555">
      <c r="B555" s="42"/>
      <c r="C555" s="47"/>
      <c r="D555" s="46"/>
    </row>
    <row r="556">
      <c r="B556" s="42"/>
      <c r="C556" s="47"/>
      <c r="D556" s="46"/>
    </row>
    <row r="557">
      <c r="B557" s="42"/>
      <c r="C557" s="47"/>
      <c r="D557" s="46"/>
    </row>
    <row r="558">
      <c r="B558" s="42"/>
      <c r="C558" s="47"/>
      <c r="D558" s="46"/>
    </row>
    <row r="559">
      <c r="B559" s="42"/>
      <c r="C559" s="47"/>
      <c r="D559" s="46"/>
    </row>
    <row r="560">
      <c r="B560" s="42"/>
      <c r="C560" s="47"/>
      <c r="D560" s="46"/>
    </row>
    <row r="561">
      <c r="B561" s="42"/>
      <c r="C561" s="47"/>
      <c r="D561" s="46"/>
    </row>
    <row r="562">
      <c r="B562" s="42"/>
      <c r="C562" s="47"/>
      <c r="D562" s="46"/>
    </row>
    <row r="563">
      <c r="B563" s="42"/>
      <c r="C563" s="47"/>
      <c r="D563" s="46"/>
    </row>
    <row r="564">
      <c r="B564" s="42"/>
      <c r="C564" s="47"/>
      <c r="D564" s="46"/>
    </row>
    <row r="565">
      <c r="B565" s="42"/>
      <c r="C565" s="47"/>
      <c r="D565" s="46"/>
    </row>
    <row r="566">
      <c r="B566" s="42"/>
      <c r="C566" s="47"/>
      <c r="D566" s="46"/>
    </row>
    <row r="567">
      <c r="B567" s="42"/>
      <c r="C567" s="47"/>
      <c r="D567" s="46"/>
    </row>
    <row r="568">
      <c r="B568" s="42"/>
      <c r="C568" s="47"/>
      <c r="D568" s="46"/>
    </row>
    <row r="569">
      <c r="B569" s="42"/>
      <c r="C569" s="47"/>
      <c r="D569" s="46"/>
    </row>
    <row r="570">
      <c r="B570" s="42"/>
      <c r="C570" s="47"/>
      <c r="D570" s="46"/>
    </row>
    <row r="571">
      <c r="B571" s="42"/>
      <c r="C571" s="47"/>
      <c r="D571" s="46"/>
    </row>
    <row r="572">
      <c r="B572" s="42"/>
      <c r="C572" s="47"/>
      <c r="D572" s="46"/>
    </row>
    <row r="573">
      <c r="B573" s="42"/>
      <c r="C573" s="47"/>
      <c r="D573" s="46"/>
    </row>
    <row r="574">
      <c r="B574" s="42"/>
      <c r="C574" s="47"/>
      <c r="D574" s="46"/>
    </row>
    <row r="575">
      <c r="B575" s="42"/>
      <c r="C575" s="47"/>
      <c r="D575" s="46"/>
    </row>
    <row r="576">
      <c r="B576" s="42"/>
      <c r="C576" s="47"/>
      <c r="D576" s="46"/>
    </row>
    <row r="577">
      <c r="B577" s="42"/>
      <c r="C577" s="47"/>
      <c r="D577" s="46"/>
    </row>
    <row r="578">
      <c r="B578" s="42"/>
      <c r="C578" s="47"/>
      <c r="D578" s="46"/>
    </row>
    <row r="579">
      <c r="B579" s="42"/>
      <c r="C579" s="47"/>
      <c r="D579" s="46"/>
    </row>
    <row r="580">
      <c r="B580" s="42"/>
      <c r="C580" s="47"/>
      <c r="D580" s="46"/>
    </row>
    <row r="581">
      <c r="B581" s="42"/>
      <c r="C581" s="47"/>
      <c r="D581" s="46"/>
    </row>
    <row r="582">
      <c r="B582" s="42"/>
      <c r="C582" s="47"/>
      <c r="D582" s="46"/>
    </row>
    <row r="583">
      <c r="B583" s="42"/>
      <c r="C583" s="47"/>
      <c r="D583" s="46"/>
    </row>
    <row r="584">
      <c r="B584" s="42"/>
      <c r="C584" s="47"/>
      <c r="D584" s="46"/>
    </row>
    <row r="585">
      <c r="B585" s="42"/>
      <c r="C585" s="47"/>
      <c r="D585" s="46"/>
    </row>
    <row r="586">
      <c r="B586" s="42"/>
      <c r="C586" s="47"/>
      <c r="D586" s="46"/>
    </row>
    <row r="587">
      <c r="B587" s="42"/>
      <c r="C587" s="47"/>
      <c r="D587" s="46"/>
    </row>
    <row r="588">
      <c r="B588" s="42"/>
      <c r="C588" s="47"/>
      <c r="D588" s="46"/>
    </row>
    <row r="589">
      <c r="B589" s="42"/>
      <c r="C589" s="47"/>
      <c r="D589" s="46"/>
    </row>
    <row r="590">
      <c r="B590" s="42"/>
      <c r="C590" s="47"/>
      <c r="D590" s="46"/>
    </row>
    <row r="591">
      <c r="B591" s="42"/>
      <c r="C591" s="47"/>
      <c r="D591" s="46"/>
    </row>
    <row r="592">
      <c r="B592" s="42"/>
      <c r="C592" s="47"/>
      <c r="D592" s="46"/>
    </row>
    <row r="593">
      <c r="B593" s="42"/>
      <c r="C593" s="47"/>
      <c r="D593" s="46"/>
    </row>
    <row r="594">
      <c r="B594" s="42"/>
      <c r="C594" s="47"/>
      <c r="D594" s="46"/>
    </row>
    <row r="595">
      <c r="B595" s="42"/>
      <c r="C595" s="47"/>
      <c r="D595" s="46"/>
    </row>
    <row r="596">
      <c r="B596" s="42"/>
      <c r="C596" s="47"/>
      <c r="D596" s="46"/>
    </row>
    <row r="597">
      <c r="B597" s="42"/>
      <c r="C597" s="47"/>
      <c r="D597" s="46"/>
    </row>
    <row r="598">
      <c r="B598" s="42"/>
      <c r="C598" s="47"/>
      <c r="D598" s="46"/>
    </row>
    <row r="599">
      <c r="B599" s="42"/>
      <c r="C599" s="47"/>
      <c r="D599" s="46"/>
    </row>
    <row r="600">
      <c r="B600" s="42"/>
      <c r="C600" s="47"/>
      <c r="D600" s="46"/>
    </row>
    <row r="601">
      <c r="B601" s="42"/>
      <c r="C601" s="47"/>
      <c r="D601" s="46"/>
    </row>
    <row r="602">
      <c r="B602" s="42"/>
      <c r="C602" s="47"/>
      <c r="D602" s="46"/>
    </row>
    <row r="603">
      <c r="B603" s="42"/>
      <c r="C603" s="47"/>
      <c r="D603" s="46"/>
    </row>
    <row r="604">
      <c r="B604" s="42"/>
      <c r="C604" s="47"/>
      <c r="D604" s="46"/>
    </row>
    <row r="605">
      <c r="B605" s="42"/>
      <c r="C605" s="47"/>
      <c r="D605" s="46"/>
    </row>
    <row r="606">
      <c r="B606" s="42"/>
      <c r="C606" s="47"/>
      <c r="D606" s="46"/>
    </row>
    <row r="607">
      <c r="B607" s="42"/>
      <c r="C607" s="47"/>
      <c r="D607" s="46"/>
    </row>
    <row r="608">
      <c r="B608" s="42"/>
      <c r="C608" s="47"/>
      <c r="D608" s="46"/>
    </row>
    <row r="609">
      <c r="B609" s="42"/>
      <c r="C609" s="47"/>
      <c r="D609" s="46"/>
    </row>
    <row r="610">
      <c r="B610" s="42"/>
      <c r="C610" s="47"/>
      <c r="D610" s="46"/>
    </row>
    <row r="611">
      <c r="B611" s="42"/>
      <c r="C611" s="47"/>
      <c r="D611" s="46"/>
    </row>
    <row r="612">
      <c r="B612" s="42"/>
      <c r="C612" s="47"/>
      <c r="D612" s="46"/>
    </row>
    <row r="613">
      <c r="B613" s="42"/>
      <c r="C613" s="47"/>
      <c r="D613" s="46"/>
    </row>
    <row r="614">
      <c r="B614" s="42"/>
      <c r="C614" s="47"/>
      <c r="D614" s="46"/>
    </row>
    <row r="615">
      <c r="B615" s="42"/>
      <c r="C615" s="47"/>
      <c r="D615" s="46"/>
    </row>
    <row r="616">
      <c r="B616" s="42"/>
      <c r="C616" s="47"/>
      <c r="D616" s="46"/>
    </row>
    <row r="617">
      <c r="B617" s="42"/>
      <c r="C617" s="47"/>
      <c r="D617" s="46"/>
    </row>
    <row r="618">
      <c r="B618" s="42"/>
      <c r="C618" s="47"/>
      <c r="D618" s="46"/>
    </row>
    <row r="619">
      <c r="B619" s="42"/>
      <c r="C619" s="47"/>
      <c r="D619" s="46"/>
    </row>
    <row r="620">
      <c r="B620" s="42"/>
      <c r="C620" s="47"/>
      <c r="D620" s="46"/>
    </row>
    <row r="621">
      <c r="B621" s="42"/>
      <c r="C621" s="47"/>
      <c r="D621" s="46"/>
    </row>
    <row r="622">
      <c r="B622" s="42"/>
      <c r="C622" s="47"/>
      <c r="D622" s="46"/>
    </row>
    <row r="623">
      <c r="B623" s="42"/>
      <c r="C623" s="47"/>
      <c r="D623" s="46"/>
    </row>
    <row r="624">
      <c r="B624" s="42"/>
      <c r="C624" s="47"/>
      <c r="D624" s="46"/>
    </row>
    <row r="625">
      <c r="B625" s="42"/>
      <c r="C625" s="47"/>
      <c r="D625" s="46"/>
    </row>
    <row r="626">
      <c r="B626" s="42"/>
      <c r="C626" s="47"/>
      <c r="D626" s="46"/>
    </row>
    <row r="627">
      <c r="B627" s="42"/>
      <c r="C627" s="47"/>
      <c r="D627" s="46"/>
    </row>
    <row r="628">
      <c r="B628" s="42"/>
      <c r="C628" s="47"/>
      <c r="D628" s="46"/>
    </row>
    <row r="629">
      <c r="B629" s="42"/>
      <c r="C629" s="47"/>
      <c r="D629" s="46"/>
    </row>
    <row r="630">
      <c r="B630" s="42"/>
      <c r="C630" s="47"/>
      <c r="D630" s="46"/>
    </row>
    <row r="631">
      <c r="B631" s="42"/>
      <c r="C631" s="47"/>
      <c r="D631" s="46"/>
    </row>
    <row r="632">
      <c r="B632" s="42"/>
      <c r="C632" s="47"/>
      <c r="D632" s="46"/>
    </row>
    <row r="633">
      <c r="B633" s="42"/>
      <c r="C633" s="47"/>
      <c r="D633" s="46"/>
    </row>
    <row r="634">
      <c r="B634" s="42"/>
      <c r="C634" s="47"/>
      <c r="D634" s="46"/>
    </row>
    <row r="635">
      <c r="B635" s="42"/>
      <c r="C635" s="47"/>
      <c r="D635" s="46"/>
    </row>
    <row r="636">
      <c r="B636" s="42"/>
      <c r="C636" s="47"/>
      <c r="D636" s="46"/>
    </row>
    <row r="637">
      <c r="B637" s="42"/>
      <c r="C637" s="47"/>
      <c r="D637" s="46"/>
    </row>
    <row r="638">
      <c r="B638" s="42"/>
      <c r="C638" s="47"/>
      <c r="D638" s="46"/>
    </row>
    <row r="639">
      <c r="B639" s="42"/>
      <c r="C639" s="47"/>
      <c r="D639" s="46"/>
    </row>
    <row r="640">
      <c r="B640" s="42"/>
      <c r="C640" s="47"/>
      <c r="D640" s="46"/>
    </row>
    <row r="641">
      <c r="B641" s="42"/>
      <c r="C641" s="47"/>
      <c r="D641" s="46"/>
    </row>
    <row r="642">
      <c r="B642" s="42"/>
      <c r="C642" s="47"/>
      <c r="D642" s="46"/>
    </row>
    <row r="643">
      <c r="B643" s="42"/>
      <c r="C643" s="47"/>
      <c r="D643" s="46"/>
    </row>
    <row r="644">
      <c r="B644" s="42"/>
      <c r="C644" s="47"/>
      <c r="D644" s="46"/>
    </row>
    <row r="645">
      <c r="B645" s="42"/>
      <c r="C645" s="47"/>
      <c r="D645" s="46"/>
    </row>
    <row r="646">
      <c r="B646" s="42"/>
      <c r="C646" s="47"/>
      <c r="D646" s="46"/>
    </row>
    <row r="647">
      <c r="B647" s="42"/>
      <c r="C647" s="47"/>
      <c r="D647" s="46"/>
    </row>
    <row r="648">
      <c r="B648" s="42"/>
      <c r="C648" s="47"/>
      <c r="D648" s="46"/>
    </row>
    <row r="649">
      <c r="B649" s="42"/>
      <c r="C649" s="47"/>
      <c r="D649" s="46"/>
    </row>
    <row r="650">
      <c r="B650" s="42"/>
      <c r="C650" s="47"/>
      <c r="D650" s="46"/>
    </row>
    <row r="651">
      <c r="B651" s="42"/>
      <c r="C651" s="47"/>
      <c r="D651" s="46"/>
    </row>
    <row r="652">
      <c r="B652" s="42"/>
      <c r="C652" s="47"/>
      <c r="D652" s="46"/>
    </row>
    <row r="653">
      <c r="B653" s="42"/>
      <c r="C653" s="47"/>
      <c r="D653" s="46"/>
    </row>
    <row r="654">
      <c r="B654" s="42"/>
      <c r="C654" s="47"/>
      <c r="D654" s="46"/>
    </row>
    <row r="655">
      <c r="B655" s="42"/>
      <c r="C655" s="47"/>
      <c r="D655" s="46"/>
    </row>
    <row r="656">
      <c r="B656" s="42"/>
      <c r="C656" s="47"/>
      <c r="D656" s="46"/>
    </row>
    <row r="657">
      <c r="B657" s="42"/>
      <c r="C657" s="47"/>
      <c r="D657" s="46"/>
    </row>
    <row r="658">
      <c r="B658" s="42"/>
      <c r="C658" s="47"/>
      <c r="D658" s="46"/>
    </row>
    <row r="659">
      <c r="B659" s="42"/>
      <c r="C659" s="47"/>
      <c r="D659" s="46"/>
    </row>
    <row r="660">
      <c r="B660" s="42"/>
      <c r="C660" s="47"/>
      <c r="D660" s="46"/>
    </row>
    <row r="661">
      <c r="B661" s="42"/>
      <c r="C661" s="47"/>
      <c r="D661" s="46"/>
    </row>
    <row r="662">
      <c r="B662" s="42"/>
      <c r="C662" s="47"/>
      <c r="D662" s="46"/>
    </row>
    <row r="663">
      <c r="B663" s="42"/>
      <c r="C663" s="47"/>
      <c r="D663" s="46"/>
    </row>
    <row r="664">
      <c r="B664" s="42"/>
      <c r="C664" s="47"/>
      <c r="D664" s="46"/>
    </row>
    <row r="665">
      <c r="B665" s="42"/>
      <c r="C665" s="47"/>
      <c r="D665" s="46"/>
    </row>
    <row r="666">
      <c r="B666" s="42"/>
      <c r="C666" s="47"/>
      <c r="D666" s="46"/>
    </row>
    <row r="667">
      <c r="B667" s="42"/>
      <c r="C667" s="47"/>
      <c r="D667" s="46"/>
    </row>
    <row r="668">
      <c r="B668" s="42"/>
      <c r="C668" s="47"/>
      <c r="D668" s="46"/>
    </row>
    <row r="669">
      <c r="B669" s="42"/>
      <c r="C669" s="47"/>
      <c r="D669" s="46"/>
    </row>
    <row r="670">
      <c r="B670" s="42"/>
      <c r="C670" s="47"/>
      <c r="D670" s="46"/>
    </row>
    <row r="671">
      <c r="B671" s="42"/>
      <c r="C671" s="47"/>
      <c r="D671" s="46"/>
    </row>
    <row r="672">
      <c r="B672" s="42"/>
      <c r="C672" s="47"/>
      <c r="D672" s="46"/>
    </row>
    <row r="673">
      <c r="B673" s="42"/>
      <c r="C673" s="47"/>
      <c r="D673" s="46"/>
    </row>
    <row r="674">
      <c r="B674" s="42"/>
      <c r="C674" s="47"/>
      <c r="D674" s="46"/>
    </row>
    <row r="675">
      <c r="B675" s="42"/>
      <c r="C675" s="47"/>
      <c r="D675" s="46"/>
    </row>
    <row r="676">
      <c r="B676" s="42"/>
      <c r="C676" s="47"/>
      <c r="D676" s="46"/>
    </row>
    <row r="677">
      <c r="B677" s="42"/>
      <c r="C677" s="47"/>
      <c r="D677" s="46"/>
    </row>
    <row r="678">
      <c r="B678" s="42"/>
      <c r="C678" s="47"/>
      <c r="D678" s="46"/>
    </row>
    <row r="679">
      <c r="B679" s="42"/>
      <c r="C679" s="47"/>
      <c r="D679" s="46"/>
    </row>
    <row r="680">
      <c r="B680" s="42"/>
      <c r="C680" s="47"/>
      <c r="D680" s="46"/>
    </row>
    <row r="681">
      <c r="B681" s="42"/>
      <c r="C681" s="47"/>
      <c r="D681" s="46"/>
    </row>
    <row r="682">
      <c r="B682" s="42"/>
      <c r="C682" s="47"/>
      <c r="D682" s="46"/>
    </row>
    <row r="683">
      <c r="B683" s="42"/>
      <c r="C683" s="47"/>
      <c r="D683" s="46"/>
    </row>
    <row r="684">
      <c r="B684" s="42"/>
      <c r="C684" s="47"/>
      <c r="D684" s="46"/>
    </row>
    <row r="685">
      <c r="B685" s="42"/>
      <c r="C685" s="47"/>
      <c r="D685" s="46"/>
    </row>
    <row r="686">
      <c r="B686" s="42"/>
      <c r="C686" s="47"/>
      <c r="D686" s="46"/>
    </row>
    <row r="687">
      <c r="B687" s="42"/>
      <c r="C687" s="47"/>
      <c r="D687" s="46"/>
    </row>
    <row r="688">
      <c r="B688" s="42"/>
      <c r="C688" s="47"/>
      <c r="D688" s="46"/>
    </row>
    <row r="689">
      <c r="B689" s="42"/>
      <c r="C689" s="47"/>
      <c r="D689" s="46"/>
    </row>
    <row r="690">
      <c r="B690" s="42"/>
      <c r="C690" s="47"/>
      <c r="D690" s="46"/>
    </row>
    <row r="691">
      <c r="B691" s="42"/>
      <c r="C691" s="47"/>
      <c r="D691" s="46"/>
    </row>
    <row r="692">
      <c r="B692" s="42"/>
      <c r="C692" s="47"/>
      <c r="D692" s="46"/>
    </row>
    <row r="693">
      <c r="B693" s="42"/>
      <c r="C693" s="47"/>
      <c r="D693" s="46"/>
    </row>
    <row r="694">
      <c r="B694" s="42"/>
      <c r="C694" s="47"/>
      <c r="D694" s="46"/>
    </row>
    <row r="695">
      <c r="B695" s="42"/>
      <c r="C695" s="47"/>
      <c r="D695" s="46"/>
    </row>
    <row r="696">
      <c r="B696" s="42"/>
      <c r="C696" s="47"/>
      <c r="D696" s="46"/>
    </row>
    <row r="697">
      <c r="B697" s="42"/>
      <c r="C697" s="47"/>
      <c r="D697" s="46"/>
    </row>
    <row r="698">
      <c r="B698" s="42"/>
      <c r="C698" s="47"/>
      <c r="D698" s="46"/>
    </row>
    <row r="699">
      <c r="B699" s="42"/>
      <c r="C699" s="47"/>
      <c r="D699" s="46"/>
    </row>
    <row r="700">
      <c r="B700" s="42"/>
      <c r="C700" s="47"/>
      <c r="D700" s="46"/>
    </row>
    <row r="701">
      <c r="B701" s="42"/>
      <c r="C701" s="47"/>
      <c r="D701" s="46"/>
    </row>
    <row r="702">
      <c r="B702" s="42"/>
      <c r="C702" s="47"/>
      <c r="D702" s="46"/>
    </row>
    <row r="703">
      <c r="B703" s="42"/>
      <c r="C703" s="47"/>
      <c r="D703" s="46"/>
    </row>
    <row r="704">
      <c r="B704" s="42"/>
      <c r="C704" s="47"/>
      <c r="D704" s="46"/>
    </row>
    <row r="705">
      <c r="B705" s="42"/>
      <c r="C705" s="47"/>
      <c r="D705" s="46"/>
    </row>
    <row r="706">
      <c r="B706" s="42"/>
      <c r="C706" s="47"/>
      <c r="D706" s="46"/>
    </row>
    <row r="707">
      <c r="B707" s="42"/>
      <c r="C707" s="47"/>
      <c r="D707" s="46"/>
    </row>
    <row r="708">
      <c r="B708" s="42"/>
      <c r="C708" s="47"/>
      <c r="D708" s="46"/>
    </row>
    <row r="709">
      <c r="B709" s="42"/>
      <c r="C709" s="47"/>
      <c r="D709" s="46"/>
    </row>
    <row r="710">
      <c r="B710" s="42"/>
      <c r="C710" s="47"/>
      <c r="D710" s="46"/>
    </row>
    <row r="711">
      <c r="B711" s="42"/>
      <c r="C711" s="47"/>
      <c r="D711" s="46"/>
    </row>
    <row r="712">
      <c r="B712" s="42"/>
      <c r="C712" s="47"/>
      <c r="D712" s="46"/>
    </row>
    <row r="713">
      <c r="B713" s="42"/>
      <c r="C713" s="47"/>
      <c r="D713" s="46"/>
    </row>
    <row r="714">
      <c r="B714" s="42"/>
      <c r="C714" s="47"/>
      <c r="D714" s="46"/>
    </row>
    <row r="715">
      <c r="B715" s="42"/>
      <c r="C715" s="47"/>
      <c r="D715" s="46"/>
    </row>
    <row r="716">
      <c r="B716" s="42"/>
      <c r="C716" s="47"/>
      <c r="D716" s="46"/>
    </row>
    <row r="717">
      <c r="B717" s="42"/>
      <c r="C717" s="47"/>
      <c r="D717" s="46"/>
    </row>
    <row r="718">
      <c r="B718" s="42"/>
      <c r="C718" s="47"/>
      <c r="D718" s="46"/>
    </row>
    <row r="719">
      <c r="B719" s="42"/>
      <c r="C719" s="47"/>
      <c r="D719" s="46"/>
    </row>
    <row r="720">
      <c r="B720" s="42"/>
      <c r="C720" s="47"/>
      <c r="D720" s="46"/>
    </row>
    <row r="721">
      <c r="B721" s="42"/>
      <c r="C721" s="47"/>
      <c r="D721" s="46"/>
    </row>
    <row r="722">
      <c r="B722" s="42"/>
      <c r="C722" s="47"/>
      <c r="D722" s="46"/>
    </row>
    <row r="723">
      <c r="B723" s="42"/>
      <c r="C723" s="47"/>
      <c r="D723" s="46"/>
    </row>
    <row r="724">
      <c r="B724" s="42"/>
      <c r="C724" s="47"/>
      <c r="D724" s="46"/>
    </row>
    <row r="725">
      <c r="B725" s="42"/>
      <c r="C725" s="47"/>
      <c r="D725" s="46"/>
    </row>
    <row r="726">
      <c r="B726" s="42"/>
      <c r="C726" s="47"/>
      <c r="D726" s="46"/>
    </row>
    <row r="727">
      <c r="B727" s="42"/>
      <c r="C727" s="47"/>
      <c r="D727" s="46"/>
    </row>
    <row r="728">
      <c r="B728" s="42"/>
      <c r="C728" s="47"/>
      <c r="D728" s="46"/>
    </row>
    <row r="729">
      <c r="B729" s="42"/>
      <c r="C729" s="47"/>
      <c r="D729" s="46"/>
    </row>
    <row r="730">
      <c r="B730" s="42"/>
      <c r="C730" s="47"/>
      <c r="D730" s="46"/>
    </row>
    <row r="731">
      <c r="B731" s="42"/>
      <c r="C731" s="47"/>
      <c r="D731" s="46"/>
    </row>
    <row r="732">
      <c r="B732" s="42"/>
      <c r="C732" s="47"/>
      <c r="D732" s="46"/>
    </row>
    <row r="733">
      <c r="B733" s="42"/>
      <c r="C733" s="47"/>
      <c r="D733" s="46"/>
    </row>
    <row r="734">
      <c r="B734" s="42"/>
      <c r="C734" s="47"/>
      <c r="D734" s="46"/>
    </row>
    <row r="735">
      <c r="B735" s="42"/>
      <c r="C735" s="47"/>
      <c r="D735" s="46"/>
    </row>
    <row r="736">
      <c r="B736" s="42"/>
      <c r="C736" s="47"/>
      <c r="D736" s="46"/>
    </row>
    <row r="737">
      <c r="B737" s="42"/>
      <c r="C737" s="47"/>
      <c r="D737" s="46"/>
    </row>
    <row r="738">
      <c r="B738" s="42"/>
      <c r="C738" s="47"/>
      <c r="D738" s="46"/>
    </row>
    <row r="739">
      <c r="B739" s="42"/>
      <c r="C739" s="47"/>
      <c r="D739" s="46"/>
    </row>
    <row r="740">
      <c r="B740" s="42"/>
      <c r="C740" s="47"/>
      <c r="D740" s="46"/>
    </row>
    <row r="741">
      <c r="B741" s="42"/>
      <c r="C741" s="47"/>
      <c r="D741" s="46"/>
    </row>
    <row r="742">
      <c r="B742" s="42"/>
      <c r="C742" s="47"/>
      <c r="D742" s="46"/>
    </row>
    <row r="743">
      <c r="B743" s="42"/>
      <c r="C743" s="47"/>
      <c r="D743" s="46"/>
    </row>
    <row r="744">
      <c r="B744" s="42"/>
      <c r="C744" s="47"/>
      <c r="D744" s="46"/>
    </row>
    <row r="745">
      <c r="B745" s="42"/>
      <c r="C745" s="47"/>
      <c r="D745" s="46"/>
    </row>
    <row r="746">
      <c r="B746" s="42"/>
      <c r="C746" s="47"/>
      <c r="D746" s="46"/>
    </row>
    <row r="747">
      <c r="B747" s="42"/>
      <c r="C747" s="47"/>
      <c r="D747" s="46"/>
    </row>
    <row r="748">
      <c r="B748" s="42"/>
      <c r="C748" s="47"/>
      <c r="D748" s="46"/>
    </row>
    <row r="749">
      <c r="B749" s="42"/>
      <c r="C749" s="47"/>
      <c r="D749" s="46"/>
    </row>
    <row r="750">
      <c r="B750" s="42"/>
      <c r="C750" s="47"/>
      <c r="D750" s="46"/>
    </row>
    <row r="751">
      <c r="B751" s="42"/>
      <c r="C751" s="47"/>
      <c r="D751" s="46"/>
    </row>
    <row r="752">
      <c r="B752" s="42"/>
      <c r="C752" s="47"/>
      <c r="D752" s="46"/>
    </row>
    <row r="753">
      <c r="B753" s="42"/>
      <c r="C753" s="47"/>
      <c r="D753" s="46"/>
    </row>
    <row r="754">
      <c r="B754" s="42"/>
      <c r="C754" s="47"/>
      <c r="D754" s="46"/>
    </row>
    <row r="755">
      <c r="B755" s="42"/>
      <c r="C755" s="47"/>
      <c r="D755" s="46"/>
    </row>
    <row r="756">
      <c r="B756" s="42"/>
      <c r="C756" s="47"/>
      <c r="D756" s="46"/>
    </row>
    <row r="757">
      <c r="B757" s="42"/>
      <c r="C757" s="47"/>
      <c r="D757" s="46"/>
    </row>
    <row r="758">
      <c r="B758" s="42"/>
      <c r="C758" s="47"/>
      <c r="D758" s="46"/>
    </row>
    <row r="759">
      <c r="B759" s="42"/>
      <c r="C759" s="47"/>
      <c r="D759" s="46"/>
    </row>
    <row r="760">
      <c r="B760" s="42"/>
      <c r="C760" s="47"/>
      <c r="D760" s="46"/>
    </row>
    <row r="761">
      <c r="B761" s="42"/>
      <c r="C761" s="47"/>
      <c r="D761" s="46"/>
    </row>
    <row r="762">
      <c r="B762" s="42"/>
      <c r="C762" s="47"/>
      <c r="D762" s="46"/>
    </row>
    <row r="763">
      <c r="B763" s="42"/>
      <c r="C763" s="47"/>
      <c r="D763" s="46"/>
    </row>
    <row r="764">
      <c r="B764" s="42"/>
      <c r="C764" s="47"/>
      <c r="D764" s="46"/>
    </row>
    <row r="765">
      <c r="B765" s="42"/>
      <c r="C765" s="47"/>
      <c r="D765" s="46"/>
    </row>
    <row r="766">
      <c r="B766" s="42"/>
      <c r="C766" s="47"/>
      <c r="D766" s="46"/>
    </row>
    <row r="767">
      <c r="B767" s="42"/>
      <c r="C767" s="47"/>
      <c r="D767" s="46"/>
    </row>
    <row r="768">
      <c r="B768" s="42"/>
      <c r="C768" s="47"/>
      <c r="D768" s="46"/>
    </row>
    <row r="769">
      <c r="B769" s="42"/>
      <c r="C769" s="47"/>
      <c r="D769" s="46"/>
    </row>
    <row r="770">
      <c r="B770" s="42"/>
      <c r="C770" s="47"/>
      <c r="D770" s="46"/>
    </row>
    <row r="771">
      <c r="B771" s="42"/>
      <c r="C771" s="47"/>
      <c r="D771" s="46"/>
    </row>
    <row r="772">
      <c r="B772" s="42"/>
      <c r="C772" s="47"/>
      <c r="D772" s="46"/>
    </row>
    <row r="773">
      <c r="B773" s="42"/>
      <c r="C773" s="47"/>
      <c r="D773" s="46"/>
    </row>
    <row r="774">
      <c r="B774" s="42"/>
      <c r="C774" s="47"/>
      <c r="D774" s="46"/>
    </row>
    <row r="775">
      <c r="B775" s="42"/>
      <c r="C775" s="47"/>
      <c r="D775" s="46"/>
    </row>
    <row r="776">
      <c r="B776" s="42"/>
      <c r="C776" s="47"/>
      <c r="D776" s="46"/>
    </row>
    <row r="777">
      <c r="B777" s="42"/>
      <c r="C777" s="47"/>
      <c r="D777" s="46"/>
    </row>
    <row r="778">
      <c r="B778" s="42"/>
      <c r="C778" s="47"/>
      <c r="D778" s="46"/>
    </row>
    <row r="779">
      <c r="B779" s="42"/>
      <c r="C779" s="47"/>
      <c r="D779" s="46"/>
    </row>
    <row r="780">
      <c r="B780" s="42"/>
      <c r="C780" s="47"/>
      <c r="D780" s="46"/>
    </row>
    <row r="781">
      <c r="B781" s="42"/>
      <c r="C781" s="47"/>
      <c r="D781" s="46"/>
    </row>
    <row r="782">
      <c r="B782" s="42"/>
      <c r="C782" s="47"/>
      <c r="D782" s="46"/>
    </row>
    <row r="783">
      <c r="B783" s="42"/>
      <c r="C783" s="47"/>
      <c r="D783" s="46"/>
    </row>
    <row r="784">
      <c r="B784" s="42"/>
      <c r="C784" s="47"/>
      <c r="D784" s="46"/>
    </row>
    <row r="785">
      <c r="B785" s="42"/>
      <c r="C785" s="47"/>
      <c r="D785" s="46"/>
    </row>
    <row r="786">
      <c r="B786" s="42"/>
      <c r="C786" s="47"/>
      <c r="D786" s="46"/>
    </row>
    <row r="787">
      <c r="B787" s="42"/>
      <c r="C787" s="47"/>
      <c r="D787" s="46"/>
    </row>
    <row r="788">
      <c r="B788" s="42"/>
      <c r="C788" s="47"/>
      <c r="D788" s="46"/>
    </row>
    <row r="789">
      <c r="B789" s="42"/>
      <c r="C789" s="47"/>
      <c r="D789" s="46"/>
    </row>
    <row r="790">
      <c r="B790" s="42"/>
      <c r="C790" s="47"/>
      <c r="D790" s="46"/>
    </row>
    <row r="791">
      <c r="B791" s="42"/>
      <c r="C791" s="47"/>
      <c r="D791" s="46"/>
    </row>
    <row r="792">
      <c r="B792" s="42"/>
      <c r="C792" s="47"/>
      <c r="D792" s="46"/>
    </row>
    <row r="793">
      <c r="B793" s="42"/>
      <c r="C793" s="47"/>
      <c r="D793" s="46"/>
    </row>
    <row r="794">
      <c r="B794" s="42"/>
      <c r="C794" s="47"/>
      <c r="D794" s="46"/>
    </row>
    <row r="795">
      <c r="B795" s="42"/>
      <c r="C795" s="47"/>
      <c r="D795" s="46"/>
    </row>
    <row r="796">
      <c r="B796" s="42"/>
      <c r="C796" s="47"/>
      <c r="D796" s="46"/>
    </row>
    <row r="797">
      <c r="B797" s="42"/>
      <c r="C797" s="47"/>
      <c r="D797" s="46"/>
    </row>
    <row r="798">
      <c r="B798" s="42"/>
      <c r="C798" s="47"/>
      <c r="D798" s="46"/>
    </row>
    <row r="799">
      <c r="B799" s="42"/>
      <c r="C799" s="47"/>
      <c r="D799" s="46"/>
    </row>
    <row r="800">
      <c r="B800" s="42"/>
      <c r="C800" s="47"/>
      <c r="D800" s="46"/>
    </row>
    <row r="801">
      <c r="B801" s="42"/>
      <c r="C801" s="47"/>
      <c r="D801" s="46"/>
    </row>
    <row r="802">
      <c r="B802" s="42"/>
      <c r="C802" s="47"/>
      <c r="D802" s="46"/>
    </row>
    <row r="803">
      <c r="B803" s="42"/>
      <c r="C803" s="47"/>
      <c r="D803" s="46"/>
    </row>
    <row r="804">
      <c r="B804" s="42"/>
      <c r="C804" s="47"/>
      <c r="D804" s="46"/>
    </row>
    <row r="805">
      <c r="B805" s="42"/>
      <c r="C805" s="47"/>
      <c r="D805" s="46"/>
    </row>
    <row r="806">
      <c r="B806" s="42"/>
      <c r="C806" s="47"/>
      <c r="D806" s="46"/>
    </row>
    <row r="807">
      <c r="B807" s="42"/>
      <c r="C807" s="47"/>
      <c r="D807" s="46"/>
    </row>
    <row r="808">
      <c r="B808" s="42"/>
      <c r="C808" s="47"/>
      <c r="D808" s="46"/>
    </row>
    <row r="809">
      <c r="B809" s="42"/>
      <c r="C809" s="47"/>
      <c r="D809" s="46"/>
    </row>
    <row r="810">
      <c r="B810" s="42"/>
      <c r="C810" s="47"/>
      <c r="D810" s="46"/>
    </row>
    <row r="811">
      <c r="B811" s="42"/>
      <c r="C811" s="47"/>
      <c r="D811" s="46"/>
    </row>
    <row r="812">
      <c r="B812" s="42"/>
      <c r="C812" s="47"/>
      <c r="D812" s="46"/>
    </row>
    <row r="813">
      <c r="B813" s="42"/>
      <c r="C813" s="47"/>
      <c r="D813" s="46"/>
    </row>
    <row r="814">
      <c r="B814" s="42"/>
      <c r="C814" s="47"/>
      <c r="D814" s="46"/>
    </row>
    <row r="815">
      <c r="B815" s="42"/>
      <c r="C815" s="47"/>
      <c r="D815" s="46"/>
    </row>
    <row r="816">
      <c r="B816" s="42"/>
      <c r="C816" s="47"/>
      <c r="D816" s="46"/>
    </row>
    <row r="817">
      <c r="B817" s="42"/>
      <c r="C817" s="47"/>
      <c r="D817" s="46"/>
    </row>
    <row r="818">
      <c r="B818" s="42"/>
      <c r="C818" s="47"/>
      <c r="D818" s="46"/>
    </row>
    <row r="819">
      <c r="B819" s="42"/>
      <c r="C819" s="47"/>
      <c r="D819" s="46"/>
    </row>
    <row r="820">
      <c r="B820" s="42"/>
      <c r="C820" s="47"/>
      <c r="D820" s="46"/>
    </row>
    <row r="821">
      <c r="B821" s="42"/>
      <c r="C821" s="47"/>
      <c r="D821" s="46"/>
    </row>
    <row r="822">
      <c r="B822" s="42"/>
      <c r="C822" s="47"/>
      <c r="D822" s="46"/>
    </row>
    <row r="823">
      <c r="B823" s="42"/>
      <c r="C823" s="47"/>
      <c r="D823" s="46"/>
    </row>
    <row r="824">
      <c r="B824" s="42"/>
      <c r="C824" s="47"/>
      <c r="D824" s="46"/>
    </row>
    <row r="825">
      <c r="B825" s="42"/>
      <c r="C825" s="47"/>
      <c r="D825" s="46"/>
    </row>
    <row r="826">
      <c r="B826" s="42"/>
      <c r="C826" s="47"/>
      <c r="D826" s="46"/>
    </row>
    <row r="827">
      <c r="B827" s="42"/>
      <c r="C827" s="47"/>
      <c r="D827" s="46"/>
    </row>
    <row r="828">
      <c r="B828" s="42"/>
      <c r="C828" s="47"/>
      <c r="D828" s="46"/>
    </row>
    <row r="829">
      <c r="B829" s="42"/>
      <c r="C829" s="47"/>
      <c r="D829" s="46"/>
    </row>
    <row r="830">
      <c r="B830" s="42"/>
      <c r="C830" s="47"/>
      <c r="D830" s="46"/>
    </row>
    <row r="831">
      <c r="B831" s="42"/>
      <c r="C831" s="47"/>
      <c r="D831" s="46"/>
    </row>
    <row r="832">
      <c r="B832" s="42"/>
      <c r="C832" s="47"/>
      <c r="D832" s="46"/>
    </row>
    <row r="833">
      <c r="B833" s="42"/>
      <c r="C833" s="47"/>
      <c r="D833" s="46"/>
    </row>
    <row r="834">
      <c r="B834" s="42"/>
      <c r="C834" s="47"/>
      <c r="D834" s="46"/>
    </row>
    <row r="835">
      <c r="B835" s="42"/>
      <c r="C835" s="47"/>
      <c r="D835" s="46"/>
    </row>
    <row r="836">
      <c r="B836" s="42"/>
      <c r="C836" s="47"/>
      <c r="D836" s="46"/>
    </row>
    <row r="837">
      <c r="B837" s="42"/>
      <c r="C837" s="47"/>
      <c r="D837" s="46"/>
    </row>
    <row r="838">
      <c r="B838" s="42"/>
      <c r="C838" s="47"/>
      <c r="D838" s="46"/>
    </row>
    <row r="839">
      <c r="B839" s="42"/>
      <c r="C839" s="47"/>
      <c r="D839" s="46"/>
    </row>
    <row r="840">
      <c r="B840" s="42"/>
      <c r="C840" s="47"/>
      <c r="D840" s="46"/>
    </row>
    <row r="841">
      <c r="B841" s="42"/>
      <c r="C841" s="47"/>
      <c r="D841" s="46"/>
    </row>
    <row r="842">
      <c r="B842" s="42"/>
      <c r="C842" s="47"/>
      <c r="D842" s="46"/>
    </row>
    <row r="843">
      <c r="B843" s="42"/>
      <c r="C843" s="47"/>
      <c r="D843" s="46"/>
    </row>
    <row r="844">
      <c r="B844" s="42"/>
      <c r="C844" s="47"/>
      <c r="D844" s="46"/>
    </row>
    <row r="845">
      <c r="B845" s="42"/>
      <c r="C845" s="47"/>
      <c r="D845" s="46"/>
    </row>
    <row r="846">
      <c r="B846" s="42"/>
      <c r="C846" s="47"/>
      <c r="D846" s="46"/>
    </row>
    <row r="847">
      <c r="B847" s="42"/>
      <c r="C847" s="47"/>
      <c r="D847" s="46"/>
    </row>
    <row r="848">
      <c r="B848" s="42"/>
      <c r="C848" s="47"/>
      <c r="D848" s="46"/>
    </row>
    <row r="849">
      <c r="B849" s="42"/>
      <c r="C849" s="47"/>
      <c r="D849" s="46"/>
    </row>
    <row r="850">
      <c r="B850" s="42"/>
      <c r="C850" s="47"/>
      <c r="D850" s="46"/>
    </row>
    <row r="851">
      <c r="B851" s="42"/>
      <c r="C851" s="47"/>
      <c r="D851" s="46"/>
    </row>
    <row r="852">
      <c r="B852" s="42"/>
      <c r="C852" s="47"/>
      <c r="D852" s="46"/>
    </row>
    <row r="853">
      <c r="B853" s="42"/>
      <c r="C853" s="47"/>
      <c r="D853" s="46"/>
    </row>
    <row r="854">
      <c r="B854" s="42"/>
      <c r="C854" s="47"/>
      <c r="D854" s="46"/>
    </row>
    <row r="855">
      <c r="B855" s="42"/>
      <c r="C855" s="47"/>
      <c r="D855" s="46"/>
    </row>
    <row r="856">
      <c r="B856" s="42"/>
      <c r="C856" s="47"/>
      <c r="D856" s="46"/>
    </row>
    <row r="857">
      <c r="B857" s="42"/>
      <c r="C857" s="47"/>
      <c r="D857" s="46"/>
    </row>
    <row r="858">
      <c r="B858" s="42"/>
      <c r="C858" s="47"/>
      <c r="D858" s="46"/>
    </row>
    <row r="859">
      <c r="B859" s="42"/>
      <c r="C859" s="47"/>
      <c r="D859" s="46"/>
    </row>
    <row r="860">
      <c r="B860" s="42"/>
      <c r="C860" s="47"/>
      <c r="D860" s="46"/>
    </row>
    <row r="861">
      <c r="B861" s="42"/>
      <c r="C861" s="47"/>
      <c r="D861" s="46"/>
    </row>
    <row r="862">
      <c r="B862" s="42"/>
      <c r="C862" s="47"/>
      <c r="D862" s="46"/>
    </row>
    <row r="863">
      <c r="B863" s="42"/>
      <c r="C863" s="47"/>
      <c r="D863" s="46"/>
    </row>
    <row r="864">
      <c r="B864" s="42"/>
      <c r="C864" s="47"/>
      <c r="D864" s="46"/>
    </row>
    <row r="865">
      <c r="B865" s="42"/>
      <c r="C865" s="47"/>
      <c r="D865" s="46"/>
    </row>
    <row r="866">
      <c r="B866" s="42"/>
      <c r="C866" s="47"/>
      <c r="D866" s="46"/>
    </row>
    <row r="867">
      <c r="B867" s="42"/>
      <c r="C867" s="47"/>
      <c r="D867" s="46"/>
    </row>
    <row r="868">
      <c r="B868" s="42"/>
      <c r="C868" s="47"/>
      <c r="D868" s="46"/>
    </row>
    <row r="869">
      <c r="B869" s="42"/>
      <c r="C869" s="47"/>
      <c r="D869" s="46"/>
    </row>
    <row r="870">
      <c r="B870" s="42"/>
      <c r="C870" s="47"/>
      <c r="D870" s="46"/>
    </row>
    <row r="871">
      <c r="B871" s="42"/>
      <c r="C871" s="47"/>
      <c r="D871" s="46"/>
    </row>
    <row r="872">
      <c r="B872" s="42"/>
      <c r="C872" s="47"/>
      <c r="D872" s="46"/>
    </row>
    <row r="873">
      <c r="B873" s="42"/>
      <c r="C873" s="47"/>
      <c r="D873" s="46"/>
    </row>
    <row r="874">
      <c r="B874" s="42"/>
      <c r="C874" s="47"/>
      <c r="D874" s="46"/>
    </row>
    <row r="875">
      <c r="B875" s="42"/>
      <c r="C875" s="47"/>
      <c r="D875" s="46"/>
    </row>
    <row r="876">
      <c r="B876" s="42"/>
      <c r="C876" s="47"/>
      <c r="D876" s="46"/>
    </row>
    <row r="877">
      <c r="B877" s="42"/>
      <c r="C877" s="47"/>
      <c r="D877" s="46"/>
    </row>
    <row r="878">
      <c r="B878" s="42"/>
      <c r="C878" s="47"/>
      <c r="D878" s="46"/>
    </row>
    <row r="879">
      <c r="B879" s="42"/>
      <c r="C879" s="47"/>
      <c r="D879" s="46"/>
    </row>
    <row r="880">
      <c r="B880" s="42"/>
      <c r="C880" s="47"/>
      <c r="D880" s="46"/>
    </row>
    <row r="881">
      <c r="B881" s="42"/>
      <c r="C881" s="47"/>
      <c r="D881" s="46"/>
    </row>
    <row r="882">
      <c r="B882" s="42"/>
      <c r="C882" s="47"/>
      <c r="D882" s="46"/>
    </row>
    <row r="883">
      <c r="B883" s="42"/>
      <c r="C883" s="47"/>
      <c r="D883" s="46"/>
    </row>
    <row r="884">
      <c r="B884" s="42"/>
      <c r="C884" s="47"/>
      <c r="D884" s="46"/>
    </row>
    <row r="885">
      <c r="B885" s="42"/>
      <c r="C885" s="47"/>
      <c r="D885" s="46"/>
    </row>
    <row r="886">
      <c r="B886" s="42"/>
      <c r="C886" s="47"/>
      <c r="D886" s="46"/>
    </row>
    <row r="887">
      <c r="B887" s="42"/>
      <c r="C887" s="47"/>
      <c r="D887" s="46"/>
    </row>
    <row r="888">
      <c r="B888" s="42"/>
      <c r="C888" s="47"/>
      <c r="D888" s="46"/>
    </row>
    <row r="889">
      <c r="B889" s="42"/>
      <c r="C889" s="47"/>
      <c r="D889" s="46"/>
    </row>
    <row r="890">
      <c r="B890" s="42"/>
      <c r="C890" s="47"/>
      <c r="D890" s="46"/>
    </row>
    <row r="891">
      <c r="B891" s="42"/>
      <c r="C891" s="47"/>
      <c r="D891" s="46"/>
    </row>
    <row r="892">
      <c r="B892" s="42"/>
      <c r="C892" s="47"/>
      <c r="D892" s="46"/>
    </row>
    <row r="893">
      <c r="B893" s="42"/>
      <c r="C893" s="47"/>
      <c r="D893" s="46"/>
    </row>
    <row r="894">
      <c r="B894" s="42"/>
      <c r="C894" s="47"/>
      <c r="D894" s="46"/>
    </row>
    <row r="895">
      <c r="B895" s="42"/>
      <c r="C895" s="47"/>
      <c r="D895" s="46"/>
    </row>
    <row r="896">
      <c r="B896" s="42"/>
      <c r="C896" s="47"/>
      <c r="D896" s="46"/>
    </row>
    <row r="897">
      <c r="B897" s="42"/>
      <c r="C897" s="47"/>
      <c r="D897" s="46"/>
    </row>
    <row r="898">
      <c r="B898" s="42"/>
      <c r="C898" s="47"/>
      <c r="D898" s="46"/>
    </row>
    <row r="899">
      <c r="B899" s="42"/>
      <c r="C899" s="47"/>
      <c r="D899" s="46"/>
    </row>
    <row r="900">
      <c r="B900" s="42"/>
      <c r="C900" s="47"/>
      <c r="D900" s="46"/>
    </row>
    <row r="901">
      <c r="B901" s="42"/>
      <c r="C901" s="47"/>
      <c r="D901" s="46"/>
    </row>
    <row r="902">
      <c r="B902" s="42"/>
      <c r="C902" s="47"/>
      <c r="D902" s="46"/>
    </row>
    <row r="903">
      <c r="B903" s="42"/>
      <c r="C903" s="47"/>
      <c r="D903" s="46"/>
    </row>
    <row r="904">
      <c r="B904" s="42"/>
      <c r="C904" s="47"/>
      <c r="D904" s="46"/>
    </row>
    <row r="905">
      <c r="B905" s="42"/>
      <c r="C905" s="47"/>
      <c r="D905" s="46"/>
    </row>
    <row r="906">
      <c r="B906" s="42"/>
      <c r="C906" s="47"/>
      <c r="D906" s="46"/>
    </row>
    <row r="907">
      <c r="B907" s="42"/>
      <c r="C907" s="47"/>
      <c r="D907" s="46"/>
    </row>
    <row r="908">
      <c r="B908" s="42"/>
      <c r="C908" s="47"/>
      <c r="D908" s="46"/>
    </row>
    <row r="909">
      <c r="B909" s="42"/>
      <c r="C909" s="47"/>
      <c r="D909" s="46"/>
    </row>
    <row r="910">
      <c r="B910" s="42"/>
      <c r="C910" s="47"/>
      <c r="D910" s="46"/>
    </row>
    <row r="911">
      <c r="B911" s="42"/>
      <c r="C911" s="47"/>
      <c r="D911" s="46"/>
    </row>
    <row r="912">
      <c r="B912" s="42"/>
      <c r="C912" s="47"/>
      <c r="D912" s="46"/>
    </row>
    <row r="913">
      <c r="B913" s="42"/>
      <c r="C913" s="47"/>
      <c r="D913" s="46"/>
    </row>
    <row r="914">
      <c r="B914" s="42"/>
      <c r="C914" s="47"/>
      <c r="D914" s="46"/>
    </row>
    <row r="915">
      <c r="B915" s="42"/>
      <c r="C915" s="47"/>
      <c r="D915" s="46"/>
    </row>
    <row r="916">
      <c r="B916" s="42"/>
      <c r="C916" s="47"/>
      <c r="D916" s="46"/>
    </row>
    <row r="917">
      <c r="B917" s="42"/>
      <c r="C917" s="47"/>
      <c r="D917" s="46"/>
    </row>
    <row r="918">
      <c r="B918" s="42"/>
      <c r="C918" s="47"/>
      <c r="D918" s="46"/>
    </row>
    <row r="919">
      <c r="B919" s="42"/>
      <c r="C919" s="47"/>
      <c r="D919" s="46"/>
    </row>
    <row r="920">
      <c r="B920" s="42"/>
      <c r="C920" s="47"/>
      <c r="D920" s="46"/>
    </row>
    <row r="921">
      <c r="B921" s="42"/>
      <c r="C921" s="47"/>
      <c r="D921" s="46"/>
    </row>
    <row r="922">
      <c r="B922" s="42"/>
      <c r="C922" s="47"/>
      <c r="D922" s="46"/>
    </row>
    <row r="923">
      <c r="B923" s="42"/>
      <c r="C923" s="47"/>
      <c r="D923" s="46"/>
    </row>
    <row r="924">
      <c r="B924" s="42"/>
      <c r="C924" s="47"/>
      <c r="D924" s="46"/>
    </row>
    <row r="925">
      <c r="B925" s="42"/>
      <c r="C925" s="47"/>
      <c r="D925" s="46"/>
    </row>
    <row r="926">
      <c r="B926" s="42"/>
      <c r="C926" s="47"/>
      <c r="D926" s="46"/>
    </row>
    <row r="927">
      <c r="B927" s="42"/>
      <c r="C927" s="47"/>
      <c r="D927" s="46"/>
    </row>
    <row r="928">
      <c r="B928" s="42"/>
      <c r="C928" s="47"/>
      <c r="D928" s="46"/>
    </row>
    <row r="929">
      <c r="B929" s="42"/>
      <c r="C929" s="47"/>
      <c r="D929" s="46"/>
    </row>
    <row r="930">
      <c r="B930" s="42"/>
      <c r="C930" s="47"/>
      <c r="D930" s="46"/>
    </row>
    <row r="931">
      <c r="B931" s="42"/>
      <c r="C931" s="47"/>
      <c r="D931" s="46"/>
    </row>
    <row r="932">
      <c r="B932" s="42"/>
      <c r="C932" s="47"/>
      <c r="D932" s="46"/>
    </row>
    <row r="933">
      <c r="B933" s="42"/>
      <c r="C933" s="47"/>
      <c r="D933" s="46"/>
    </row>
    <row r="934">
      <c r="B934" s="42"/>
      <c r="C934" s="47"/>
      <c r="D934" s="46"/>
    </row>
    <row r="935">
      <c r="B935" s="42"/>
      <c r="C935" s="47"/>
      <c r="D935" s="46"/>
    </row>
    <row r="936">
      <c r="B936" s="42"/>
      <c r="C936" s="47"/>
      <c r="D936" s="46"/>
    </row>
    <row r="937">
      <c r="B937" s="42"/>
      <c r="C937" s="47"/>
      <c r="D937" s="46"/>
    </row>
    <row r="938">
      <c r="B938" s="42"/>
      <c r="C938" s="47"/>
      <c r="D938" s="46"/>
    </row>
    <row r="939">
      <c r="B939" s="42"/>
      <c r="C939" s="47"/>
      <c r="D939" s="46"/>
    </row>
    <row r="940">
      <c r="B940" s="42"/>
      <c r="C940" s="47"/>
      <c r="D940" s="46"/>
    </row>
    <row r="941">
      <c r="B941" s="42"/>
      <c r="C941" s="47"/>
      <c r="D941" s="46"/>
    </row>
    <row r="942">
      <c r="B942" s="42"/>
      <c r="C942" s="47"/>
      <c r="D942" s="46"/>
    </row>
    <row r="943">
      <c r="B943" s="42"/>
      <c r="C943" s="47"/>
      <c r="D943" s="46"/>
    </row>
    <row r="944">
      <c r="B944" s="42"/>
      <c r="C944" s="47"/>
      <c r="D944" s="46"/>
    </row>
    <row r="945">
      <c r="B945" s="42"/>
      <c r="C945" s="47"/>
      <c r="D945" s="46"/>
    </row>
    <row r="946">
      <c r="B946" s="42"/>
      <c r="C946" s="47"/>
      <c r="D946" s="46"/>
    </row>
    <row r="947">
      <c r="B947" s="42"/>
      <c r="C947" s="47"/>
      <c r="D947" s="46"/>
    </row>
    <row r="948">
      <c r="B948" s="42"/>
      <c r="C948" s="47"/>
      <c r="D948" s="46"/>
    </row>
    <row r="949">
      <c r="B949" s="42"/>
      <c r="C949" s="47"/>
      <c r="D949" s="46"/>
    </row>
    <row r="950">
      <c r="B950" s="42"/>
      <c r="C950" s="47"/>
      <c r="D950" s="46"/>
    </row>
    <row r="951">
      <c r="B951" s="42"/>
      <c r="C951" s="47"/>
      <c r="D951" s="46"/>
    </row>
    <row r="952">
      <c r="B952" s="42"/>
      <c r="C952" s="47"/>
      <c r="D952" s="46"/>
    </row>
    <row r="953">
      <c r="B953" s="42"/>
      <c r="C953" s="47"/>
      <c r="D953" s="46"/>
    </row>
    <row r="954">
      <c r="B954" s="42"/>
      <c r="C954" s="47"/>
      <c r="D954" s="46"/>
    </row>
    <row r="955">
      <c r="B955" s="42"/>
      <c r="C955" s="47"/>
      <c r="D955" s="46"/>
    </row>
    <row r="956">
      <c r="B956" s="42"/>
      <c r="C956" s="47"/>
      <c r="D956" s="46"/>
    </row>
    <row r="957">
      <c r="B957" s="42"/>
      <c r="C957" s="47"/>
      <c r="D957" s="46"/>
    </row>
    <row r="958">
      <c r="B958" s="42"/>
      <c r="C958" s="47"/>
      <c r="D958" s="46"/>
    </row>
    <row r="959">
      <c r="B959" s="42"/>
      <c r="C959" s="47"/>
      <c r="D959" s="46"/>
    </row>
    <row r="960">
      <c r="B960" s="42"/>
      <c r="C960" s="47"/>
      <c r="D960" s="46"/>
    </row>
    <row r="961">
      <c r="B961" s="42"/>
      <c r="C961" s="47"/>
      <c r="D961" s="46"/>
    </row>
    <row r="962">
      <c r="B962" s="42"/>
      <c r="C962" s="47"/>
      <c r="D962" s="46"/>
    </row>
    <row r="963">
      <c r="B963" s="42"/>
      <c r="C963" s="47"/>
      <c r="D963" s="46"/>
    </row>
    <row r="964">
      <c r="B964" s="42"/>
      <c r="C964" s="47"/>
      <c r="D964" s="46"/>
    </row>
    <row r="965">
      <c r="B965" s="42"/>
      <c r="C965" s="47"/>
      <c r="D965" s="46"/>
    </row>
    <row r="966">
      <c r="B966" s="42"/>
      <c r="C966" s="47"/>
      <c r="D966" s="46"/>
    </row>
    <row r="967">
      <c r="B967" s="42"/>
      <c r="C967" s="47"/>
      <c r="D967" s="46"/>
    </row>
    <row r="968">
      <c r="B968" s="42"/>
      <c r="C968" s="47"/>
      <c r="D968" s="46"/>
    </row>
    <row r="969">
      <c r="B969" s="42"/>
      <c r="C969" s="47"/>
      <c r="D969" s="46"/>
    </row>
    <row r="970">
      <c r="B970" s="42"/>
      <c r="C970" s="47"/>
      <c r="D970" s="46"/>
    </row>
    <row r="971">
      <c r="B971" s="42"/>
      <c r="C971" s="47"/>
      <c r="D971" s="46"/>
    </row>
    <row r="972">
      <c r="B972" s="42"/>
      <c r="C972" s="47"/>
      <c r="D972" s="46"/>
    </row>
    <row r="973">
      <c r="B973" s="42"/>
      <c r="C973" s="47"/>
      <c r="D973" s="46"/>
    </row>
    <row r="974">
      <c r="B974" s="42"/>
      <c r="C974" s="47"/>
      <c r="D974" s="46"/>
    </row>
    <row r="975">
      <c r="B975" s="42"/>
      <c r="C975" s="47"/>
      <c r="D975" s="46"/>
    </row>
    <row r="976">
      <c r="B976" s="42"/>
      <c r="C976" s="47"/>
      <c r="D976" s="46"/>
    </row>
    <row r="977">
      <c r="B977" s="42"/>
      <c r="C977" s="47"/>
      <c r="D977" s="46"/>
    </row>
    <row r="978">
      <c r="B978" s="42"/>
      <c r="C978" s="47"/>
      <c r="D978" s="46"/>
    </row>
    <row r="979">
      <c r="B979" s="42"/>
      <c r="C979" s="47"/>
      <c r="D979" s="46"/>
    </row>
    <row r="980">
      <c r="B980" s="42"/>
      <c r="C980" s="47"/>
      <c r="D980" s="46"/>
    </row>
    <row r="981">
      <c r="B981" s="42"/>
      <c r="C981" s="47"/>
      <c r="D981" s="46"/>
    </row>
    <row r="982">
      <c r="B982" s="42"/>
      <c r="C982" s="47"/>
      <c r="D982" s="46"/>
    </row>
    <row r="983">
      <c r="B983" s="42"/>
      <c r="C983" s="47"/>
      <c r="D983" s="46"/>
    </row>
    <row r="984">
      <c r="B984" s="42"/>
      <c r="C984" s="47"/>
      <c r="D984" s="46"/>
    </row>
    <row r="985">
      <c r="B985" s="42"/>
      <c r="C985" s="47"/>
      <c r="D985" s="46"/>
    </row>
    <row r="986">
      <c r="B986" s="42"/>
      <c r="C986" s="47"/>
      <c r="D986" s="46"/>
    </row>
    <row r="987">
      <c r="B987" s="42"/>
      <c r="C987" s="47"/>
      <c r="D987" s="46"/>
    </row>
    <row r="988">
      <c r="B988" s="42"/>
      <c r="C988" s="47"/>
      <c r="D988" s="46"/>
    </row>
    <row r="989">
      <c r="B989" s="42"/>
      <c r="C989" s="47"/>
      <c r="D989" s="46"/>
    </row>
    <row r="990">
      <c r="B990" s="42"/>
      <c r="C990" s="47"/>
      <c r="D990" s="46"/>
    </row>
    <row r="991">
      <c r="B991" s="42"/>
      <c r="C991" s="47"/>
      <c r="D991" s="46"/>
    </row>
    <row r="992">
      <c r="B992" s="42"/>
      <c r="C992" s="47"/>
      <c r="D992" s="46"/>
    </row>
    <row r="993">
      <c r="B993" s="42"/>
      <c r="C993" s="47"/>
      <c r="D993" s="46"/>
    </row>
    <row r="994">
      <c r="B994" s="42"/>
      <c r="C994" s="47"/>
      <c r="D994" s="46"/>
    </row>
    <row r="995">
      <c r="B995" s="42"/>
      <c r="C995" s="47"/>
      <c r="D995" s="46"/>
    </row>
    <row r="996">
      <c r="B996" s="42"/>
      <c r="C996" s="47"/>
      <c r="D996" s="46"/>
    </row>
    <row r="997">
      <c r="B997" s="42"/>
      <c r="C997" s="47"/>
      <c r="D997" s="46"/>
    </row>
    <row r="998">
      <c r="B998" s="42"/>
      <c r="C998" s="47"/>
      <c r="D998" s="46"/>
    </row>
    <row r="999">
      <c r="B999" s="42"/>
      <c r="C999" s="47"/>
      <c r="D999" s="46"/>
    </row>
    <row r="1000">
      <c r="B1000" s="49"/>
      <c r="C1000" s="47"/>
      <c r="D1000" s="46"/>
    </row>
  </sheetData>
  <mergeCells count="4">
    <mergeCell ref="B1:B1000"/>
    <mergeCell ref="D1:D8"/>
    <mergeCell ref="A2:A3"/>
    <mergeCell ref="A4:A1000"/>
  </mergeCells>
  <dataValidations>
    <dataValidation type="list" allowBlank="1" showErrorMessage="1" sqref="A2">
      <formula1>Drops!$B$2:$K$1500</formula1>
    </dataValidation>
  </dataValidations>
  <hyperlinks>
    <hyperlink r:id="rId1" location="gid=1112155848" ref="D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88"/>
    <col customWidth="1" min="3" max="3" width="35.88"/>
    <col customWidth="1" min="8" max="8" width="114.63"/>
    <col customWidth="1" min="9" max="9" width="100.13"/>
    <col customWidth="1" min="13" max="13" width="0.38"/>
  </cols>
  <sheetData>
    <row r="1">
      <c r="A1" s="51" t="s">
        <v>439</v>
      </c>
      <c r="B1" s="52"/>
      <c r="C1" s="52"/>
      <c r="D1" s="53" t="s">
        <v>441</v>
      </c>
      <c r="E1" s="54" t="s">
        <v>442</v>
      </c>
      <c r="F1" s="54" t="s">
        <v>444</v>
      </c>
      <c r="G1" s="52"/>
      <c r="H1" s="54" t="s">
        <v>445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idden="1">
      <c r="A2" s="55" t="s">
        <v>447</v>
      </c>
      <c r="B2" s="56" t="s">
        <v>448</v>
      </c>
      <c r="C2" s="56" t="str">
        <f t="shared" ref="C2:C681" si="1">IF(A2&lt;&gt;"",A2&amp;" ("&amp;B2&amp;")", "")</f>
        <v>fighter hawk (Machop)</v>
      </c>
      <c r="D2" s="56">
        <v>25.0</v>
      </c>
      <c r="E2" s="56" t="s">
        <v>449</v>
      </c>
      <c r="F2" s="56">
        <v>1.0</v>
      </c>
      <c r="G2" s="56" t="str">
        <f t="shared" ref="G2:G681" si="2">IF(E2&lt;&gt;"", E2 &amp; " #" &amp; F2, "")</f>
        <v>Character #1</v>
      </c>
      <c r="H2" s="57" t="s">
        <v>451</v>
      </c>
      <c r="I2" s="56" t="s">
        <v>452</v>
      </c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idden="1">
      <c r="A3" s="55" t="s">
        <v>453</v>
      </c>
      <c r="B3" s="56" t="s">
        <v>10</v>
      </c>
      <c r="C3" s="56" t="str">
        <f t="shared" si="1"/>
        <v>rock fist (Geodude)</v>
      </c>
      <c r="D3" s="56">
        <v>25.0</v>
      </c>
      <c r="E3" s="56" t="s">
        <v>449</v>
      </c>
      <c r="F3" s="56">
        <v>1.0</v>
      </c>
      <c r="G3" s="56" t="str">
        <f t="shared" si="2"/>
        <v>Character #1</v>
      </c>
      <c r="H3" s="56" t="s">
        <v>451</v>
      </c>
      <c r="I3" s="56" t="s">
        <v>452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idden="1">
      <c r="A4" s="56" t="s">
        <v>454</v>
      </c>
      <c r="B4" s="56" t="s">
        <v>394</v>
      </c>
      <c r="C4" s="56" t="str">
        <f t="shared" si="1"/>
        <v>bear claw (Ursaring)</v>
      </c>
      <c r="D4" s="56">
        <v>1500.0</v>
      </c>
      <c r="E4" s="56" t="s">
        <v>449</v>
      </c>
      <c r="F4" s="56">
        <v>2.0</v>
      </c>
      <c r="G4" s="56" t="str">
        <f t="shared" si="2"/>
        <v>Character #2</v>
      </c>
      <c r="H4" s="57" t="s">
        <v>455</v>
      </c>
      <c r="I4" s="56" t="s">
        <v>456</v>
      </c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idden="1">
      <c r="A5" s="56" t="s">
        <v>458</v>
      </c>
      <c r="B5" s="56" t="s">
        <v>375</v>
      </c>
      <c r="C5" s="56" t="str">
        <f t="shared" si="1"/>
        <v>cow tail (Miltank)</v>
      </c>
      <c r="D5" s="56">
        <v>1100.0</v>
      </c>
      <c r="E5" s="56" t="s">
        <v>449</v>
      </c>
      <c r="F5" s="56">
        <v>2.0</v>
      </c>
      <c r="G5" s="56" t="str">
        <f t="shared" si="2"/>
        <v>Character #2</v>
      </c>
      <c r="H5" s="56" t="s">
        <v>455</v>
      </c>
      <c r="I5" s="56" t="s">
        <v>456</v>
      </c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idden="1">
      <c r="A6" s="55" t="s">
        <v>459</v>
      </c>
      <c r="B6" s="55" t="s">
        <v>460</v>
      </c>
      <c r="C6" s="56" t="str">
        <f t="shared" si="1"/>
        <v>earth badge (Viridian Gym)</v>
      </c>
      <c r="D6" s="56">
        <v>1.0</v>
      </c>
      <c r="E6" s="56" t="s">
        <v>449</v>
      </c>
      <c r="F6" s="56">
        <v>2.0</v>
      </c>
      <c r="G6" s="56" t="str">
        <f t="shared" si="2"/>
        <v>Character #2</v>
      </c>
      <c r="H6" s="56" t="s">
        <v>455</v>
      </c>
      <c r="I6" s="56" t="s">
        <v>456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idden="1">
      <c r="A7" s="56" t="s">
        <v>461</v>
      </c>
      <c r="B7" s="56"/>
      <c r="C7" s="56" t="str">
        <f t="shared" si="1"/>
        <v>heart stone ()</v>
      </c>
      <c r="D7" s="56">
        <v>1000.0</v>
      </c>
      <c r="E7" s="56" t="s">
        <v>449</v>
      </c>
      <c r="F7" s="56">
        <v>2.0</v>
      </c>
      <c r="G7" s="56" t="str">
        <f t="shared" si="2"/>
        <v>Character #2</v>
      </c>
      <c r="H7" s="56" t="s">
        <v>455</v>
      </c>
      <c r="I7" s="56" t="s">
        <v>456</v>
      </c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idden="1">
      <c r="A8" s="56" t="s">
        <v>462</v>
      </c>
      <c r="B8" s="56" t="s">
        <v>463</v>
      </c>
      <c r="C8" s="56" t="str">
        <f t="shared" si="1"/>
        <v>pink wings (Clefable)</v>
      </c>
      <c r="D8" s="56">
        <v>450.0</v>
      </c>
      <c r="E8" s="56" t="s">
        <v>449</v>
      </c>
      <c r="F8" s="56">
        <v>2.0</v>
      </c>
      <c r="G8" s="56" t="str">
        <f t="shared" si="2"/>
        <v>Character #2</v>
      </c>
      <c r="H8" s="56" t="s">
        <v>455</v>
      </c>
      <c r="I8" s="56" t="s">
        <v>456</v>
      </c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idden="1">
      <c r="A9" s="56" t="s">
        <v>464</v>
      </c>
      <c r="B9" s="56" t="s">
        <v>465</v>
      </c>
      <c r="C9" s="56" t="str">
        <f t="shared" si="1"/>
        <v>snorlax paw (Snorlax)</v>
      </c>
      <c r="D9" s="56">
        <v>1500.0</v>
      </c>
      <c r="E9" s="56" t="s">
        <v>449</v>
      </c>
      <c r="F9" s="56">
        <v>2.0</v>
      </c>
      <c r="G9" s="56" t="str">
        <f t="shared" si="2"/>
        <v>Character #2</v>
      </c>
      <c r="H9" s="56" t="s">
        <v>455</v>
      </c>
      <c r="I9" s="56" t="s">
        <v>456</v>
      </c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idden="1">
      <c r="A10" s="56" t="s">
        <v>467</v>
      </c>
      <c r="B10" s="56" t="s">
        <v>468</v>
      </c>
      <c r="C10" s="56" t="str">
        <f t="shared" si="1"/>
        <v>wigglytuff ear (Wigglytuff)</v>
      </c>
      <c r="D10" s="56">
        <v>450.0</v>
      </c>
      <c r="E10" s="56" t="s">
        <v>449</v>
      </c>
      <c r="F10" s="56">
        <v>2.0</v>
      </c>
      <c r="G10" s="56" t="str">
        <f t="shared" si="2"/>
        <v>Character #2</v>
      </c>
      <c r="H10" s="56" t="s">
        <v>455</v>
      </c>
      <c r="I10" s="56" t="s">
        <v>456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</row>
    <row r="11">
      <c r="A11" s="52"/>
      <c r="B11" s="52" t="s">
        <v>469</v>
      </c>
      <c r="C11" s="52" t="str">
        <f t="shared" si="1"/>
        <v/>
      </c>
      <c r="D11" s="52"/>
      <c r="E11" s="52"/>
      <c r="F11" s="52"/>
      <c r="G11" s="52" t="str">
        <f t="shared" si="2"/>
        <v/>
      </c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</row>
    <row r="12">
      <c r="A12" s="52" t="s">
        <v>469</v>
      </c>
      <c r="B12" s="52" t="s">
        <v>469</v>
      </c>
      <c r="C12" s="52" t="str">
        <f t="shared" si="1"/>
        <v/>
      </c>
      <c r="D12" s="52"/>
      <c r="E12" s="52"/>
      <c r="F12" s="52"/>
      <c r="G12" s="52" t="str">
        <f t="shared" si="2"/>
        <v/>
      </c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</row>
    <row r="13">
      <c r="A13" s="58" t="s">
        <v>470</v>
      </c>
      <c r="B13" s="59" t="s">
        <v>471</v>
      </c>
      <c r="C13" s="60" t="str">
        <f t="shared" si="1"/>
        <v>volcano badge (Cinnabar Gym)</v>
      </c>
      <c r="D13" s="60">
        <v>1.0</v>
      </c>
      <c r="E13" s="60" t="s">
        <v>449</v>
      </c>
      <c r="F13" s="60">
        <v>3.0</v>
      </c>
      <c r="G13" s="60" t="str">
        <f t="shared" si="2"/>
        <v>Character #3</v>
      </c>
      <c r="H13" s="60" t="s">
        <v>455</v>
      </c>
      <c r="I13" s="60" t="s">
        <v>473</v>
      </c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</row>
    <row r="14">
      <c r="A14" s="60" t="s">
        <v>474</v>
      </c>
      <c r="B14" s="60" t="s">
        <v>148</v>
      </c>
      <c r="C14" s="60" t="str">
        <f t="shared" si="1"/>
        <v>fire wing (Charizard)</v>
      </c>
      <c r="D14" s="60">
        <v>1500.0</v>
      </c>
      <c r="E14" s="60" t="s">
        <v>449</v>
      </c>
      <c r="F14" s="60">
        <v>3.0</v>
      </c>
      <c r="G14" s="60" t="str">
        <f t="shared" si="2"/>
        <v>Character #3</v>
      </c>
      <c r="H14" s="60" t="s">
        <v>455</v>
      </c>
      <c r="I14" s="60" t="s">
        <v>473</v>
      </c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</row>
    <row r="15">
      <c r="A15" s="60" t="s">
        <v>475</v>
      </c>
      <c r="B15" s="60" t="s">
        <v>476</v>
      </c>
      <c r="C15" s="60" t="str">
        <f t="shared" si="1"/>
        <v>magma foot (Magmar)</v>
      </c>
      <c r="D15" s="60">
        <v>1500.0</v>
      </c>
      <c r="E15" s="60" t="s">
        <v>449</v>
      </c>
      <c r="F15" s="60">
        <v>3.0</v>
      </c>
      <c r="G15" s="60" t="str">
        <f t="shared" si="2"/>
        <v>Character #3</v>
      </c>
      <c r="H15" s="60" t="s">
        <v>455</v>
      </c>
      <c r="I15" s="60" t="s">
        <v>473</v>
      </c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</row>
    <row r="16">
      <c r="A16" s="60" t="s">
        <v>477</v>
      </c>
      <c r="B16" s="60" t="s">
        <v>414</v>
      </c>
      <c r="C16" s="60" t="str">
        <f t="shared" si="1"/>
        <v>giant piece of fur (Arcanine)</v>
      </c>
      <c r="D16" s="60">
        <v>1100.0</v>
      </c>
      <c r="E16" s="60" t="s">
        <v>449</v>
      </c>
      <c r="F16" s="60">
        <v>3.0</v>
      </c>
      <c r="G16" s="60" t="str">
        <f t="shared" si="2"/>
        <v>Character #3</v>
      </c>
      <c r="H16" s="60" t="s">
        <v>455</v>
      </c>
      <c r="I16" s="60" t="s">
        <v>473</v>
      </c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</row>
    <row r="17">
      <c r="A17" s="60" t="s">
        <v>479</v>
      </c>
      <c r="B17" s="60" t="s">
        <v>372</v>
      </c>
      <c r="C17" s="60" t="str">
        <f t="shared" si="1"/>
        <v>magma shell (Magcargo)</v>
      </c>
      <c r="D17" s="60">
        <v>900.0</v>
      </c>
      <c r="E17" s="60" t="s">
        <v>449</v>
      </c>
      <c r="F17" s="60">
        <v>3.0</v>
      </c>
      <c r="G17" s="60" t="str">
        <f t="shared" si="2"/>
        <v>Character #3</v>
      </c>
      <c r="H17" s="60" t="s">
        <v>455</v>
      </c>
      <c r="I17" s="60" t="s">
        <v>473</v>
      </c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</row>
    <row r="18">
      <c r="A18" s="60" t="s">
        <v>480</v>
      </c>
      <c r="B18" s="60" t="s">
        <v>481</v>
      </c>
      <c r="C18" s="60" t="str">
        <f t="shared" si="1"/>
        <v>fire stone (Verificar aba de drops)</v>
      </c>
      <c r="D18" s="60">
        <v>1000.0</v>
      </c>
      <c r="E18" s="60" t="s">
        <v>449</v>
      </c>
      <c r="F18" s="60">
        <v>3.0</v>
      </c>
      <c r="G18" s="60" t="str">
        <f t="shared" si="2"/>
        <v>Character #3</v>
      </c>
      <c r="H18" s="60" t="s">
        <v>455</v>
      </c>
      <c r="I18" s="60" t="s">
        <v>473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</row>
    <row r="19">
      <c r="A19" s="61" t="s">
        <v>469</v>
      </c>
      <c r="B19" s="61" t="s">
        <v>469</v>
      </c>
      <c r="C19" s="61" t="str">
        <f t="shared" si="1"/>
        <v/>
      </c>
      <c r="D19" s="61"/>
      <c r="E19" s="61"/>
      <c r="F19" s="61"/>
      <c r="G19" s="61" t="str">
        <f t="shared" si="2"/>
        <v/>
      </c>
      <c r="H19" s="61"/>
      <c r="I19" s="61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</row>
    <row r="20">
      <c r="A20" s="60" t="s">
        <v>483</v>
      </c>
      <c r="B20" s="59" t="s">
        <v>484</v>
      </c>
      <c r="C20" s="60" t="str">
        <f t="shared" si="1"/>
        <v>boulder badge (Pewter Gym)</v>
      </c>
      <c r="D20" s="60">
        <v>1.0</v>
      </c>
      <c r="E20" s="60" t="s">
        <v>449</v>
      </c>
      <c r="F20" s="60">
        <v>4.0</v>
      </c>
      <c r="G20" s="60" t="str">
        <f t="shared" si="2"/>
        <v>Character #4</v>
      </c>
      <c r="H20" s="60" t="s">
        <v>455</v>
      </c>
      <c r="I20" s="60" t="s">
        <v>485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</row>
    <row r="21">
      <c r="A21" s="60" t="s">
        <v>486</v>
      </c>
      <c r="B21" s="60" t="s">
        <v>364</v>
      </c>
      <c r="C21" s="60" t="str">
        <f t="shared" si="1"/>
        <v>stone rocks (Golem)</v>
      </c>
      <c r="D21" s="60">
        <v>1500.0</v>
      </c>
      <c r="E21" s="60" t="s">
        <v>449</v>
      </c>
      <c r="F21" s="60">
        <v>4.0</v>
      </c>
      <c r="G21" s="60" t="str">
        <f t="shared" si="2"/>
        <v>Character #4</v>
      </c>
      <c r="H21" s="60" t="s">
        <v>455</v>
      </c>
      <c r="I21" s="60" t="s">
        <v>485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</row>
    <row r="22">
      <c r="A22" s="60" t="s">
        <v>488</v>
      </c>
      <c r="B22" s="60" t="s">
        <v>489</v>
      </c>
      <c r="C22" s="60" t="str">
        <f t="shared" si="1"/>
        <v>horn drill (Rhydon)</v>
      </c>
      <c r="D22" s="60">
        <v>1500.0</v>
      </c>
      <c r="E22" s="60" t="s">
        <v>449</v>
      </c>
      <c r="F22" s="60">
        <v>4.0</v>
      </c>
      <c r="G22" s="60" t="str">
        <f t="shared" si="2"/>
        <v>Character #4</v>
      </c>
      <c r="H22" s="60" t="s">
        <v>455</v>
      </c>
      <c r="I22" s="60" t="s">
        <v>485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</row>
    <row r="23">
      <c r="A23" s="60" t="s">
        <v>490</v>
      </c>
      <c r="B23" s="60" t="s">
        <v>62</v>
      </c>
      <c r="C23" s="60" t="str">
        <f t="shared" si="1"/>
        <v>bone (Marowak)</v>
      </c>
      <c r="D23" s="60">
        <v>1100.0</v>
      </c>
      <c r="E23" s="60" t="s">
        <v>449</v>
      </c>
      <c r="F23" s="60">
        <v>4.0</v>
      </c>
      <c r="G23" s="60" t="str">
        <f t="shared" si="2"/>
        <v>Character #4</v>
      </c>
      <c r="H23" s="60" t="s">
        <v>455</v>
      </c>
      <c r="I23" s="60" t="s">
        <v>485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</row>
    <row r="24">
      <c r="A24" s="60" t="s">
        <v>491</v>
      </c>
      <c r="B24" s="60" t="s">
        <v>390</v>
      </c>
      <c r="C24" s="60" t="str">
        <f t="shared" si="1"/>
        <v>steelix tail (Steelix)</v>
      </c>
      <c r="D24" s="60">
        <v>900.0</v>
      </c>
      <c r="E24" s="60" t="s">
        <v>449</v>
      </c>
      <c r="F24" s="60">
        <v>4.0</v>
      </c>
      <c r="G24" s="60" t="str">
        <f t="shared" si="2"/>
        <v>Character #4</v>
      </c>
      <c r="H24" s="60" t="s">
        <v>455</v>
      </c>
      <c r="I24" s="60" t="s">
        <v>485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</row>
    <row r="25">
      <c r="A25" s="60" t="s">
        <v>493</v>
      </c>
      <c r="B25" s="60" t="s">
        <v>481</v>
      </c>
      <c r="C25" s="60" t="str">
        <f t="shared" si="1"/>
        <v>rock stone (Verificar aba de drops)</v>
      </c>
      <c r="D25" s="60">
        <v>500.0</v>
      </c>
      <c r="E25" s="60" t="s">
        <v>449</v>
      </c>
      <c r="F25" s="60">
        <v>4.0</v>
      </c>
      <c r="G25" s="60" t="str">
        <f t="shared" si="2"/>
        <v>Character #4</v>
      </c>
      <c r="H25" s="60" t="s">
        <v>455</v>
      </c>
      <c r="I25" s="60" t="s">
        <v>485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</row>
    <row r="26">
      <c r="A26" s="60" t="s">
        <v>498</v>
      </c>
      <c r="B26" s="60" t="s">
        <v>481</v>
      </c>
      <c r="C26" s="60" t="str">
        <f t="shared" si="1"/>
        <v>earth stone (Verificar aba de drops)</v>
      </c>
      <c r="D26" s="60">
        <v>500.0</v>
      </c>
      <c r="E26" s="60" t="s">
        <v>449</v>
      </c>
      <c r="F26" s="60">
        <v>4.0</v>
      </c>
      <c r="G26" s="60" t="str">
        <f t="shared" si="2"/>
        <v>Character #4</v>
      </c>
      <c r="H26" s="60" t="s">
        <v>455</v>
      </c>
      <c r="I26" s="60" t="s">
        <v>485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</row>
    <row r="27">
      <c r="A27" s="61" t="s">
        <v>469</v>
      </c>
      <c r="B27" s="61" t="s">
        <v>469</v>
      </c>
      <c r="C27" s="61" t="str">
        <f t="shared" si="1"/>
        <v/>
      </c>
      <c r="D27" s="61"/>
      <c r="E27" s="61"/>
      <c r="F27" s="61"/>
      <c r="G27" s="61" t="str">
        <f t="shared" si="2"/>
        <v/>
      </c>
      <c r="H27" s="61"/>
      <c r="I27" s="61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</row>
    <row r="28">
      <c r="A28" s="60" t="s">
        <v>499</v>
      </c>
      <c r="B28" s="59" t="s">
        <v>500</v>
      </c>
      <c r="C28" s="60" t="str">
        <f t="shared" si="1"/>
        <v>cascade badge (Cerulean Gym)</v>
      </c>
      <c r="D28" s="60">
        <v>1.0</v>
      </c>
      <c r="E28" s="60" t="s">
        <v>449</v>
      </c>
      <c r="F28" s="60">
        <v>5.0</v>
      </c>
      <c r="G28" s="60" t="str">
        <f t="shared" si="2"/>
        <v>Character #5</v>
      </c>
      <c r="H28" s="60" t="s">
        <v>455</v>
      </c>
      <c r="I28" s="60" t="s">
        <v>502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</row>
    <row r="29">
      <c r="A29" s="60" t="s">
        <v>503</v>
      </c>
      <c r="B29" s="60" t="s">
        <v>371</v>
      </c>
      <c r="C29" s="60" t="str">
        <f t="shared" si="1"/>
        <v>lapras fin (Lapras)</v>
      </c>
      <c r="D29" s="60">
        <v>900.0</v>
      </c>
      <c r="E29" s="60" t="s">
        <v>449</v>
      </c>
      <c r="F29" s="60">
        <v>5.0</v>
      </c>
      <c r="G29" s="60" t="str">
        <f t="shared" si="2"/>
        <v>Character #5</v>
      </c>
      <c r="H29" s="60" t="s">
        <v>455</v>
      </c>
      <c r="I29" s="60" t="s">
        <v>502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</row>
    <row r="30">
      <c r="A30" s="60" t="s">
        <v>504</v>
      </c>
      <c r="B30" s="60" t="s">
        <v>505</v>
      </c>
      <c r="C30" s="60" t="str">
        <f t="shared" si="1"/>
        <v>gyarados tail (Gyarados)</v>
      </c>
      <c r="D30" s="60">
        <v>1500.0</v>
      </c>
      <c r="E30" s="60" t="s">
        <v>449</v>
      </c>
      <c r="F30" s="60">
        <v>5.0</v>
      </c>
      <c r="G30" s="60" t="str">
        <f t="shared" si="2"/>
        <v>Character #5</v>
      </c>
      <c r="H30" s="60" t="s">
        <v>455</v>
      </c>
      <c r="I30" s="60" t="s">
        <v>502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</row>
    <row r="31">
      <c r="A31" s="60" t="s">
        <v>506</v>
      </c>
      <c r="B31" s="58" t="s">
        <v>395</v>
      </c>
      <c r="C31" s="60" t="str">
        <f t="shared" si="1"/>
        <v>aquatic tail (Vaporeon)</v>
      </c>
      <c r="D31" s="60">
        <v>1100.0</v>
      </c>
      <c r="E31" s="60" t="s">
        <v>449</v>
      </c>
      <c r="F31" s="60">
        <v>5.0</v>
      </c>
      <c r="G31" s="60" t="str">
        <f t="shared" si="2"/>
        <v>Character #5</v>
      </c>
      <c r="H31" s="60" t="s">
        <v>455</v>
      </c>
      <c r="I31" s="60" t="s">
        <v>502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</row>
    <row r="32">
      <c r="A32" s="60" t="s">
        <v>508</v>
      </c>
      <c r="B32" s="60" t="s">
        <v>131</v>
      </c>
      <c r="C32" s="60" t="str">
        <f t="shared" si="1"/>
        <v>water cannon (Blastoise)</v>
      </c>
      <c r="D32" s="60">
        <v>1500.0</v>
      </c>
      <c r="E32" s="60" t="s">
        <v>449</v>
      </c>
      <c r="F32" s="60">
        <v>5.0</v>
      </c>
      <c r="G32" s="60" t="str">
        <f t="shared" si="2"/>
        <v>Character #5</v>
      </c>
      <c r="H32" s="60" t="s">
        <v>455</v>
      </c>
      <c r="I32" s="60" t="s">
        <v>502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</row>
    <row r="33">
      <c r="A33" s="60" t="s">
        <v>509</v>
      </c>
      <c r="B33" s="60" t="s">
        <v>481</v>
      </c>
      <c r="C33" s="60" t="str">
        <f t="shared" si="1"/>
        <v>water stone (Verificar aba de drops)</v>
      </c>
      <c r="D33" s="60">
        <v>500.0</v>
      </c>
      <c r="E33" s="60" t="s">
        <v>449</v>
      </c>
      <c r="F33" s="60">
        <v>5.0</v>
      </c>
      <c r="G33" s="60" t="str">
        <f t="shared" si="2"/>
        <v>Character #5</v>
      </c>
      <c r="H33" s="60" t="s">
        <v>455</v>
      </c>
      <c r="I33" s="60" t="s">
        <v>502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</row>
    <row r="34">
      <c r="A34" s="60" t="s">
        <v>511</v>
      </c>
      <c r="B34" s="60" t="s">
        <v>481</v>
      </c>
      <c r="C34" s="60" t="str">
        <f t="shared" si="1"/>
        <v>ice stone (Verificar aba de drops)</v>
      </c>
      <c r="D34" s="60">
        <v>500.0</v>
      </c>
      <c r="E34" s="60" t="s">
        <v>449</v>
      </c>
      <c r="F34" s="60">
        <v>5.0</v>
      </c>
      <c r="G34" s="60" t="str">
        <f t="shared" si="2"/>
        <v>Character #5</v>
      </c>
      <c r="H34" s="60" t="s">
        <v>455</v>
      </c>
      <c r="I34" s="60" t="s">
        <v>502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</row>
    <row r="35">
      <c r="A35" s="61" t="s">
        <v>469</v>
      </c>
      <c r="B35" s="61" t="s">
        <v>469</v>
      </c>
      <c r="C35" s="61" t="str">
        <f t="shared" si="1"/>
        <v/>
      </c>
      <c r="D35" s="61"/>
      <c r="E35" s="61"/>
      <c r="F35" s="61"/>
      <c r="G35" s="61" t="str">
        <f t="shared" si="2"/>
        <v/>
      </c>
      <c r="H35" s="61"/>
      <c r="I35" s="61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</row>
    <row r="36">
      <c r="A36" s="60" t="s">
        <v>513</v>
      </c>
      <c r="B36" s="59" t="s">
        <v>514</v>
      </c>
      <c r="C36" s="60" t="str">
        <f t="shared" si="1"/>
        <v>thunder badge (Vermilion Gym)</v>
      </c>
      <c r="D36" s="60">
        <v>1.0</v>
      </c>
      <c r="E36" s="60" t="s">
        <v>449</v>
      </c>
      <c r="F36" s="60">
        <v>6.0</v>
      </c>
      <c r="G36" s="60" t="str">
        <f t="shared" si="2"/>
        <v>Character #6</v>
      </c>
      <c r="H36" s="60" t="s">
        <v>455</v>
      </c>
      <c r="I36" s="60" t="s">
        <v>515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</row>
    <row r="37">
      <c r="A37" s="58" t="s">
        <v>516</v>
      </c>
      <c r="B37" s="60" t="s">
        <v>161</v>
      </c>
      <c r="C37" s="60" t="str">
        <f t="shared" si="1"/>
        <v>electric sheep tail (Ampharos)</v>
      </c>
      <c r="D37" s="60">
        <v>1100.0</v>
      </c>
      <c r="E37" s="60" t="s">
        <v>449</v>
      </c>
      <c r="F37" s="60">
        <v>6.0</v>
      </c>
      <c r="G37" s="60" t="str">
        <f t="shared" si="2"/>
        <v>Character #6</v>
      </c>
      <c r="H37" s="60" t="s">
        <v>455</v>
      </c>
      <c r="I37" s="60" t="s">
        <v>515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</row>
    <row r="38">
      <c r="A38" s="60" t="s">
        <v>518</v>
      </c>
      <c r="B38" s="60" t="s">
        <v>519</v>
      </c>
      <c r="C38" s="60" t="str">
        <f t="shared" si="1"/>
        <v>electric tail (Electabuzz)</v>
      </c>
      <c r="D38" s="60">
        <v>1500.0</v>
      </c>
      <c r="E38" s="60" t="s">
        <v>449</v>
      </c>
      <c r="F38" s="60">
        <v>6.0</v>
      </c>
      <c r="G38" s="60" t="str">
        <f t="shared" si="2"/>
        <v>Character #6</v>
      </c>
      <c r="H38" s="60" t="s">
        <v>455</v>
      </c>
      <c r="I38" s="60" t="s">
        <v>515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</row>
    <row r="39">
      <c r="A39" s="60" t="s">
        <v>520</v>
      </c>
      <c r="B39" s="60" t="s">
        <v>385</v>
      </c>
      <c r="C39" s="60" t="str">
        <f t="shared" si="1"/>
        <v>electric ear (Raichu)</v>
      </c>
      <c r="D39" s="60">
        <v>1500.0</v>
      </c>
      <c r="E39" s="60" t="s">
        <v>449</v>
      </c>
      <c r="F39" s="60">
        <v>6.0</v>
      </c>
      <c r="G39" s="60" t="str">
        <f t="shared" si="2"/>
        <v>Character #6</v>
      </c>
      <c r="H39" s="60" t="s">
        <v>455</v>
      </c>
      <c r="I39" s="60" t="s">
        <v>515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</row>
    <row r="40">
      <c r="A40" s="60" t="s">
        <v>522</v>
      </c>
      <c r="B40" s="60" t="s">
        <v>368</v>
      </c>
      <c r="C40" s="60" t="str">
        <f t="shared" si="1"/>
        <v>electric collar (Jolteon)</v>
      </c>
      <c r="D40" s="60">
        <v>900.0</v>
      </c>
      <c r="E40" s="60" t="s">
        <v>449</v>
      </c>
      <c r="F40" s="60">
        <v>6.0</v>
      </c>
      <c r="G40" s="60" t="str">
        <f t="shared" si="2"/>
        <v>Character #6</v>
      </c>
      <c r="H40" s="60" t="s">
        <v>455</v>
      </c>
      <c r="I40" s="60" t="s">
        <v>515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</row>
    <row r="41">
      <c r="A41" s="60" t="s">
        <v>524</v>
      </c>
      <c r="B41" s="60" t="s">
        <v>481</v>
      </c>
      <c r="C41" s="60" t="str">
        <f t="shared" si="1"/>
        <v>thunder stone (Verificar aba de drops)</v>
      </c>
      <c r="D41" s="60">
        <v>1000.0</v>
      </c>
      <c r="E41" s="60" t="s">
        <v>449</v>
      </c>
      <c r="F41" s="60">
        <v>6.0</v>
      </c>
      <c r="G41" s="60" t="str">
        <f t="shared" si="2"/>
        <v>Character #6</v>
      </c>
      <c r="H41" s="60" t="s">
        <v>455</v>
      </c>
      <c r="I41" s="60" t="s">
        <v>515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</row>
    <row r="42">
      <c r="A42" s="61" t="s">
        <v>469</v>
      </c>
      <c r="B42" s="61" t="s">
        <v>469</v>
      </c>
      <c r="C42" s="61" t="str">
        <f t="shared" si="1"/>
        <v/>
      </c>
      <c r="D42" s="61"/>
      <c r="E42" s="61"/>
      <c r="F42" s="61"/>
      <c r="G42" s="61" t="str">
        <f t="shared" si="2"/>
        <v/>
      </c>
      <c r="H42" s="61"/>
      <c r="I42" s="61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</row>
    <row r="43">
      <c r="A43" s="60" t="s">
        <v>526</v>
      </c>
      <c r="B43" s="59" t="s">
        <v>527</v>
      </c>
      <c r="C43" s="60" t="str">
        <f t="shared" si="1"/>
        <v>rainbow badge (Celadon Gym)</v>
      </c>
      <c r="D43" s="60">
        <v>1.0</v>
      </c>
      <c r="E43" s="60" t="s">
        <v>449</v>
      </c>
      <c r="F43" s="60">
        <v>7.0</v>
      </c>
      <c r="G43" s="60" t="str">
        <f t="shared" si="2"/>
        <v>Character #7</v>
      </c>
      <c r="H43" s="60" t="s">
        <v>455</v>
      </c>
      <c r="I43" s="60" t="s">
        <v>528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</row>
    <row r="44">
      <c r="A44" s="60" t="s">
        <v>529</v>
      </c>
      <c r="B44" s="60" t="s">
        <v>108</v>
      </c>
      <c r="C44" s="60" t="str">
        <f t="shared" si="1"/>
        <v>red petal (Venusaur)</v>
      </c>
      <c r="D44" s="60">
        <v>1500.0</v>
      </c>
      <c r="E44" s="60" t="s">
        <v>449</v>
      </c>
      <c r="F44" s="60">
        <v>7.0</v>
      </c>
      <c r="G44" s="60" t="str">
        <f t="shared" si="2"/>
        <v>Character #7</v>
      </c>
      <c r="H44" s="60" t="s">
        <v>455</v>
      </c>
      <c r="I44" s="60" t="s">
        <v>528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</row>
    <row r="45">
      <c r="A45" s="60" t="s">
        <v>531</v>
      </c>
      <c r="B45" s="60" t="s">
        <v>374</v>
      </c>
      <c r="C45" s="60" t="str">
        <f t="shared" si="1"/>
        <v>big petal (Meganium)</v>
      </c>
      <c r="D45" s="60">
        <v>1500.0</v>
      </c>
      <c r="E45" s="60" t="s">
        <v>449</v>
      </c>
      <c r="F45" s="60">
        <v>7.0</v>
      </c>
      <c r="G45" s="60" t="str">
        <f t="shared" si="2"/>
        <v>Character #7</v>
      </c>
      <c r="H45" s="60" t="s">
        <v>455</v>
      </c>
      <c r="I45" s="60" t="s">
        <v>528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</row>
    <row r="46">
      <c r="A46" s="60" t="s">
        <v>532</v>
      </c>
      <c r="B46" s="58" t="s">
        <v>533</v>
      </c>
      <c r="C46" s="60" t="str">
        <f t="shared" si="1"/>
        <v>coconut leaves (Exeggutor)</v>
      </c>
      <c r="D46" s="60">
        <v>1100.0</v>
      </c>
      <c r="E46" s="60" t="s">
        <v>449</v>
      </c>
      <c r="F46" s="60">
        <v>7.0</v>
      </c>
      <c r="G46" s="60" t="str">
        <f t="shared" si="2"/>
        <v>Character #7</v>
      </c>
      <c r="H46" s="60" t="s">
        <v>455</v>
      </c>
      <c r="I46" s="60" t="s">
        <v>528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</row>
    <row r="47">
      <c r="A47" s="60" t="s">
        <v>534</v>
      </c>
      <c r="B47" s="60" t="s">
        <v>41</v>
      </c>
      <c r="C47" s="60" t="str">
        <f t="shared" si="1"/>
        <v>vine hair (Tangela)</v>
      </c>
      <c r="D47" s="60">
        <v>900.0</v>
      </c>
      <c r="E47" s="60" t="s">
        <v>449</v>
      </c>
      <c r="F47" s="60">
        <v>7.0</v>
      </c>
      <c r="G47" s="60" t="str">
        <f t="shared" si="2"/>
        <v>Character #7</v>
      </c>
      <c r="H47" s="60" t="s">
        <v>455</v>
      </c>
      <c r="I47" s="60" t="s">
        <v>528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</row>
    <row r="48">
      <c r="A48" s="60" t="s">
        <v>536</v>
      </c>
      <c r="B48" s="60" t="s">
        <v>481</v>
      </c>
      <c r="C48" s="60" t="str">
        <f t="shared" si="1"/>
        <v>leaf stone (Verificar aba de drops)</v>
      </c>
      <c r="D48" s="60">
        <v>500.0</v>
      </c>
      <c r="E48" s="60" t="s">
        <v>449</v>
      </c>
      <c r="F48" s="60">
        <v>7.0</v>
      </c>
      <c r="G48" s="60" t="str">
        <f t="shared" si="2"/>
        <v>Character #7</v>
      </c>
      <c r="H48" s="60" t="s">
        <v>455</v>
      </c>
      <c r="I48" s="60" t="s">
        <v>528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</row>
    <row r="49">
      <c r="A49" s="60" t="s">
        <v>537</v>
      </c>
      <c r="B49" s="60" t="s">
        <v>481</v>
      </c>
      <c r="C49" s="60" t="str">
        <f t="shared" si="1"/>
        <v>cocoon stone (Verificar aba de drops)</v>
      </c>
      <c r="D49" s="60">
        <v>500.0</v>
      </c>
      <c r="E49" s="60" t="s">
        <v>449</v>
      </c>
      <c r="F49" s="60">
        <v>7.0</v>
      </c>
      <c r="G49" s="60" t="str">
        <f t="shared" si="2"/>
        <v>Character #7</v>
      </c>
      <c r="H49" s="60" t="s">
        <v>455</v>
      </c>
      <c r="I49" s="60" t="s">
        <v>528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</row>
    <row r="50">
      <c r="A50" s="61" t="s">
        <v>469</v>
      </c>
      <c r="B50" s="61" t="s">
        <v>469</v>
      </c>
      <c r="C50" s="61" t="str">
        <f t="shared" si="1"/>
        <v/>
      </c>
      <c r="D50" s="61"/>
      <c r="E50" s="61"/>
      <c r="F50" s="61"/>
      <c r="G50" s="61" t="str">
        <f t="shared" si="2"/>
        <v/>
      </c>
      <c r="H50" s="61"/>
      <c r="I50" s="61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</row>
    <row r="51">
      <c r="A51" s="60" t="s">
        <v>539</v>
      </c>
      <c r="B51" s="59" t="s">
        <v>540</v>
      </c>
      <c r="C51" s="60" t="str">
        <f t="shared" si="1"/>
        <v>soul badge (Fuchsia Gym)</v>
      </c>
      <c r="D51" s="60">
        <v>1.0</v>
      </c>
      <c r="E51" s="60" t="s">
        <v>449</v>
      </c>
      <c r="F51" s="60">
        <v>8.0</v>
      </c>
      <c r="G51" s="60" t="str">
        <f t="shared" si="2"/>
        <v>Character #8</v>
      </c>
      <c r="H51" s="60" t="s">
        <v>455</v>
      </c>
      <c r="I51" s="60" t="s">
        <v>541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</row>
    <row r="52">
      <c r="A52" s="60" t="s">
        <v>543</v>
      </c>
      <c r="B52" s="60" t="s">
        <v>378</v>
      </c>
      <c r="C52" s="60" t="str">
        <f t="shared" si="1"/>
        <v>queen ear (Nidoqueen)</v>
      </c>
      <c r="D52" s="60">
        <v>1500.0</v>
      </c>
      <c r="E52" s="60" t="s">
        <v>449</v>
      </c>
      <c r="F52" s="60">
        <v>8.0</v>
      </c>
      <c r="G52" s="60" t="str">
        <f t="shared" si="2"/>
        <v>Character #8</v>
      </c>
      <c r="H52" s="60" t="s">
        <v>455</v>
      </c>
      <c r="I52" s="60" t="s">
        <v>541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</row>
    <row r="53">
      <c r="A53" s="60" t="s">
        <v>544</v>
      </c>
      <c r="B53" s="60" t="s">
        <v>377</v>
      </c>
      <c r="C53" s="60" t="str">
        <f t="shared" si="1"/>
        <v>king ear (Nidoking)</v>
      </c>
      <c r="D53" s="60">
        <v>1500.0</v>
      </c>
      <c r="E53" s="60" t="s">
        <v>449</v>
      </c>
      <c r="F53" s="60">
        <v>8.0</v>
      </c>
      <c r="G53" s="60" t="str">
        <f t="shared" si="2"/>
        <v>Character #8</v>
      </c>
      <c r="H53" s="60" t="s">
        <v>455</v>
      </c>
      <c r="I53" s="60" t="s">
        <v>541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</row>
    <row r="54">
      <c r="A54" s="60" t="s">
        <v>545</v>
      </c>
      <c r="B54" s="60" t="s">
        <v>546</v>
      </c>
      <c r="C54" s="60" t="str">
        <f t="shared" si="1"/>
        <v>giant bat wing (Crobat)</v>
      </c>
      <c r="D54" s="60">
        <v>1100.0</v>
      </c>
      <c r="E54" s="60" t="s">
        <v>449</v>
      </c>
      <c r="F54" s="60">
        <v>8.0</v>
      </c>
      <c r="G54" s="60" t="str">
        <f t="shared" si="2"/>
        <v>Character #8</v>
      </c>
      <c r="H54" s="60" t="s">
        <v>455</v>
      </c>
      <c r="I54" s="60" t="s">
        <v>541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</row>
    <row r="55">
      <c r="A55" s="60" t="s">
        <v>547</v>
      </c>
      <c r="B55" s="60" t="s">
        <v>376</v>
      </c>
      <c r="C55" s="60" t="str">
        <f t="shared" si="1"/>
        <v>stinky hand (Muk)</v>
      </c>
      <c r="D55" s="60">
        <v>900.0</v>
      </c>
      <c r="E55" s="60" t="s">
        <v>449</v>
      </c>
      <c r="F55" s="60">
        <v>8.0</v>
      </c>
      <c r="G55" s="60" t="str">
        <f t="shared" si="2"/>
        <v>Character #8</v>
      </c>
      <c r="H55" s="60" t="s">
        <v>455</v>
      </c>
      <c r="I55" s="60" t="s">
        <v>541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</row>
    <row r="56">
      <c r="A56" s="60" t="s">
        <v>549</v>
      </c>
      <c r="B56" s="60" t="s">
        <v>481</v>
      </c>
      <c r="C56" s="60" t="str">
        <f t="shared" si="1"/>
        <v>venom stone (Verificar aba de drops)</v>
      </c>
      <c r="D56" s="60">
        <v>1000.0</v>
      </c>
      <c r="E56" s="60" t="s">
        <v>449</v>
      </c>
      <c r="F56" s="60">
        <v>8.0</v>
      </c>
      <c r="G56" s="60" t="str">
        <f t="shared" si="2"/>
        <v>Character #8</v>
      </c>
      <c r="H56" s="60" t="s">
        <v>455</v>
      </c>
      <c r="I56" s="60" t="s">
        <v>541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</row>
    <row r="57">
      <c r="A57" s="61" t="s">
        <v>469</v>
      </c>
      <c r="B57" s="61" t="s">
        <v>469</v>
      </c>
      <c r="C57" s="61" t="str">
        <f t="shared" si="1"/>
        <v/>
      </c>
      <c r="D57" s="61"/>
      <c r="E57" s="61"/>
      <c r="F57" s="61"/>
      <c r="G57" s="61" t="str">
        <f t="shared" si="2"/>
        <v/>
      </c>
      <c r="H57" s="61"/>
      <c r="I57" s="61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</row>
    <row r="58">
      <c r="A58" s="60" t="s">
        <v>550</v>
      </c>
      <c r="B58" s="59" t="s">
        <v>551</v>
      </c>
      <c r="C58" s="60" t="str">
        <f t="shared" si="1"/>
        <v>marsh badge (Saffron Gym)</v>
      </c>
      <c r="D58" s="60">
        <v>1.0</v>
      </c>
      <c r="E58" s="60" t="s">
        <v>449</v>
      </c>
      <c r="F58" s="60">
        <v>9.0</v>
      </c>
      <c r="G58" s="60" t="str">
        <f t="shared" si="2"/>
        <v>Character #9</v>
      </c>
      <c r="H58" s="60" t="s">
        <v>455</v>
      </c>
      <c r="I58" s="60" t="s">
        <v>552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</row>
    <row r="59">
      <c r="A59" s="60" t="s">
        <v>554</v>
      </c>
      <c r="B59" s="60" t="s">
        <v>555</v>
      </c>
      <c r="C59" s="60" t="str">
        <f t="shared" si="1"/>
        <v>psychic moustache (Alakazam)</v>
      </c>
      <c r="D59" s="60">
        <v>1500.0</v>
      </c>
      <c r="E59" s="60" t="s">
        <v>449</v>
      </c>
      <c r="F59" s="60">
        <v>9.0</v>
      </c>
      <c r="G59" s="60" t="str">
        <f t="shared" si="2"/>
        <v>Character #9</v>
      </c>
      <c r="H59" s="60" t="s">
        <v>455</v>
      </c>
      <c r="I59" s="60" t="s">
        <v>552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</row>
    <row r="60">
      <c r="A60" s="60" t="s">
        <v>556</v>
      </c>
      <c r="B60" s="60" t="s">
        <v>407</v>
      </c>
      <c r="C60" s="60" t="str">
        <f t="shared" si="1"/>
        <v>two-eyed black tail (Wobbuffet)</v>
      </c>
      <c r="D60" s="60">
        <v>1500.0</v>
      </c>
      <c r="E60" s="60" t="s">
        <v>449</v>
      </c>
      <c r="F60" s="60">
        <v>9.0</v>
      </c>
      <c r="G60" s="60" t="str">
        <f t="shared" si="2"/>
        <v>Character #9</v>
      </c>
      <c r="H60" s="60" t="s">
        <v>455</v>
      </c>
      <c r="I60" s="60" t="s">
        <v>552</v>
      </c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</row>
    <row r="61">
      <c r="A61" s="60" t="s">
        <v>557</v>
      </c>
      <c r="B61" s="60" t="s">
        <v>558</v>
      </c>
      <c r="C61" s="60" t="str">
        <f t="shared" si="1"/>
        <v>xatu wing (Xatu)</v>
      </c>
      <c r="D61" s="60">
        <v>1100.0</v>
      </c>
      <c r="E61" s="60" t="s">
        <v>449</v>
      </c>
      <c r="F61" s="60">
        <v>9.0</v>
      </c>
      <c r="G61" s="60" t="str">
        <f t="shared" si="2"/>
        <v>Character #9</v>
      </c>
      <c r="H61" s="60" t="s">
        <v>455</v>
      </c>
      <c r="I61" s="60" t="s">
        <v>552</v>
      </c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</row>
    <row r="62">
      <c r="A62" s="60" t="s">
        <v>559</v>
      </c>
      <c r="B62" s="60" t="s">
        <v>560</v>
      </c>
      <c r="C62" s="60" t="str">
        <f t="shared" si="1"/>
        <v>giraffe antenna (Girafarig)</v>
      </c>
      <c r="D62" s="60">
        <v>900.0</v>
      </c>
      <c r="E62" s="60" t="s">
        <v>449</v>
      </c>
      <c r="F62" s="60">
        <v>9.0</v>
      </c>
      <c r="G62" s="60" t="str">
        <f t="shared" si="2"/>
        <v>Character #9</v>
      </c>
      <c r="H62" s="60" t="s">
        <v>455</v>
      </c>
      <c r="I62" s="60" t="s">
        <v>552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</row>
    <row r="63">
      <c r="A63" s="60" t="s">
        <v>562</v>
      </c>
      <c r="B63" s="60" t="s">
        <v>481</v>
      </c>
      <c r="C63" s="60" t="str">
        <f t="shared" si="1"/>
        <v>enigma stone (Verificar aba de drops)</v>
      </c>
      <c r="D63" s="60">
        <v>1000.0</v>
      </c>
      <c r="E63" s="60" t="s">
        <v>449</v>
      </c>
      <c r="F63" s="60">
        <v>9.0</v>
      </c>
      <c r="G63" s="60" t="str">
        <f t="shared" si="2"/>
        <v>Character #9</v>
      </c>
      <c r="H63" s="60" t="s">
        <v>455</v>
      </c>
      <c r="I63" s="60" t="s">
        <v>552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</row>
    <row r="64">
      <c r="A64" s="61" t="s">
        <v>469</v>
      </c>
      <c r="B64" s="61" t="s">
        <v>469</v>
      </c>
      <c r="C64" s="61" t="str">
        <f t="shared" si="1"/>
        <v/>
      </c>
      <c r="D64" s="61"/>
      <c r="E64" s="61"/>
      <c r="F64" s="61"/>
      <c r="G64" s="61" t="str">
        <f t="shared" si="2"/>
        <v/>
      </c>
      <c r="H64" s="61"/>
      <c r="I64" s="61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</row>
    <row r="65">
      <c r="A65" s="60" t="s">
        <v>563</v>
      </c>
      <c r="B65" s="60" t="s">
        <v>564</v>
      </c>
      <c r="C65" s="60" t="str">
        <f t="shared" si="1"/>
        <v>electric screws (Magnemite)</v>
      </c>
      <c r="D65" s="60">
        <v>25.0</v>
      </c>
      <c r="E65" s="60" t="s">
        <v>449</v>
      </c>
      <c r="F65" s="60">
        <v>10.0</v>
      </c>
      <c r="G65" s="60" t="str">
        <f t="shared" si="2"/>
        <v>Character #10</v>
      </c>
      <c r="H65" s="60" t="s">
        <v>565</v>
      </c>
      <c r="I65" s="60" t="s">
        <v>567</v>
      </c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</row>
    <row r="66">
      <c r="A66" s="60" t="s">
        <v>568</v>
      </c>
      <c r="B66" s="60" t="s">
        <v>569</v>
      </c>
      <c r="C66" s="60" t="str">
        <f t="shared" si="1"/>
        <v>remains of voltorb (Voltorb)</v>
      </c>
      <c r="D66" s="60">
        <v>25.0</v>
      </c>
      <c r="E66" s="60" t="s">
        <v>449</v>
      </c>
      <c r="F66" s="60">
        <v>10.0</v>
      </c>
      <c r="G66" s="60" t="str">
        <f t="shared" si="2"/>
        <v>Character #10</v>
      </c>
      <c r="H66" s="60" t="s">
        <v>565</v>
      </c>
      <c r="I66" s="60" t="s">
        <v>567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</row>
    <row r="67">
      <c r="A67" s="61" t="s">
        <v>469</v>
      </c>
      <c r="B67" s="61" t="s">
        <v>469</v>
      </c>
      <c r="C67" s="61" t="str">
        <f t="shared" si="1"/>
        <v/>
      </c>
      <c r="D67" s="61"/>
      <c r="E67" s="61"/>
      <c r="F67" s="61"/>
      <c r="G67" s="61" t="str">
        <f t="shared" si="2"/>
        <v/>
      </c>
      <c r="H67" s="61"/>
      <c r="I67" s="61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</row>
    <row r="68">
      <c r="A68" s="60" t="s">
        <v>570</v>
      </c>
      <c r="B68" s="60" t="s">
        <v>571</v>
      </c>
      <c r="C68" s="60" t="str">
        <f t="shared" si="1"/>
        <v>blue wings (Shiny Clefable)</v>
      </c>
      <c r="D68" s="60">
        <v>1.0</v>
      </c>
      <c r="E68" s="60" t="s">
        <v>449</v>
      </c>
      <c r="F68" s="60">
        <v>11.0</v>
      </c>
      <c r="G68" s="60" t="str">
        <f t="shared" si="2"/>
        <v>Character #11</v>
      </c>
      <c r="H68" s="60" t="s">
        <v>572</v>
      </c>
      <c r="I68" s="60" t="s">
        <v>573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</row>
    <row r="69">
      <c r="A69" s="60" t="s">
        <v>575</v>
      </c>
      <c r="B69" s="60" t="s">
        <v>576</v>
      </c>
      <c r="C69" s="60" t="str">
        <f t="shared" si="1"/>
        <v>big cute ear (Shiny Wigglytuff)</v>
      </c>
      <c r="D69" s="60">
        <v>1.0</v>
      </c>
      <c r="E69" s="60" t="s">
        <v>449</v>
      </c>
      <c r="F69" s="60">
        <v>11.0</v>
      </c>
      <c r="G69" s="60" t="str">
        <f t="shared" si="2"/>
        <v>Character #11</v>
      </c>
      <c r="H69" s="60" t="s">
        <v>572</v>
      </c>
      <c r="I69" s="60" t="s">
        <v>573</v>
      </c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</row>
    <row r="70">
      <c r="A70" s="61" t="s">
        <v>469</v>
      </c>
      <c r="B70" s="61" t="s">
        <v>469</v>
      </c>
      <c r="C70" s="61" t="str">
        <f t="shared" si="1"/>
        <v/>
      </c>
      <c r="D70" s="61"/>
      <c r="E70" s="61"/>
      <c r="F70" s="61"/>
      <c r="G70" s="61" t="str">
        <f t="shared" si="2"/>
        <v/>
      </c>
      <c r="H70" s="61"/>
      <c r="I70" s="61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</row>
    <row r="71">
      <c r="A71" s="60" t="s">
        <v>467</v>
      </c>
      <c r="B71" s="60" t="s">
        <v>468</v>
      </c>
      <c r="C71" s="60" t="str">
        <f t="shared" si="1"/>
        <v>wigglytuff ear (Wigglytuff)</v>
      </c>
      <c r="D71" s="60">
        <v>250.0</v>
      </c>
      <c r="E71" s="60" t="s">
        <v>449</v>
      </c>
      <c r="F71" s="60">
        <v>12.0</v>
      </c>
      <c r="G71" s="60" t="str">
        <f t="shared" si="2"/>
        <v>Character #12</v>
      </c>
      <c r="H71" s="60" t="s">
        <v>577</v>
      </c>
      <c r="I71" s="60" t="s">
        <v>578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</row>
    <row r="72">
      <c r="A72" s="60" t="s">
        <v>462</v>
      </c>
      <c r="B72" s="60" t="s">
        <v>463</v>
      </c>
      <c r="C72" s="60" t="str">
        <f t="shared" si="1"/>
        <v>pink wings (Clefable)</v>
      </c>
      <c r="D72" s="60">
        <v>250.0</v>
      </c>
      <c r="E72" s="60" t="s">
        <v>449</v>
      </c>
      <c r="F72" s="60">
        <v>12.0</v>
      </c>
      <c r="G72" s="60" t="str">
        <f t="shared" si="2"/>
        <v>Character #12</v>
      </c>
      <c r="H72" s="60" t="s">
        <v>577</v>
      </c>
      <c r="I72" s="60" t="s">
        <v>578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</row>
    <row r="73">
      <c r="A73" s="61" t="s">
        <v>469</v>
      </c>
      <c r="B73" s="61" t="s">
        <v>469</v>
      </c>
      <c r="C73" s="61" t="str">
        <f t="shared" si="1"/>
        <v/>
      </c>
      <c r="D73" s="61"/>
      <c r="E73" s="61"/>
      <c r="F73" s="61"/>
      <c r="G73" s="61" t="str">
        <f t="shared" si="2"/>
        <v/>
      </c>
      <c r="H73" s="61"/>
      <c r="I73" s="61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</row>
    <row r="74">
      <c r="A74" s="60" t="s">
        <v>464</v>
      </c>
      <c r="B74" s="60" t="s">
        <v>465</v>
      </c>
      <c r="C74" s="60" t="str">
        <f t="shared" si="1"/>
        <v>snorlax paw (Snorlax)</v>
      </c>
      <c r="D74" s="60">
        <v>400.0</v>
      </c>
      <c r="E74" s="60" t="s">
        <v>449</v>
      </c>
      <c r="F74" s="60">
        <v>13.0</v>
      </c>
      <c r="G74" s="60" t="str">
        <f t="shared" si="2"/>
        <v>Character #13</v>
      </c>
      <c r="H74" s="60" t="s">
        <v>577</v>
      </c>
      <c r="I74" s="60" t="s">
        <v>580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</row>
    <row r="75">
      <c r="A75" s="60" t="s">
        <v>454</v>
      </c>
      <c r="B75" s="60" t="s">
        <v>394</v>
      </c>
      <c r="C75" s="60" t="str">
        <f t="shared" si="1"/>
        <v>bear claw (Ursaring)</v>
      </c>
      <c r="D75" s="60">
        <v>400.0</v>
      </c>
      <c r="E75" s="60" t="s">
        <v>449</v>
      </c>
      <c r="F75" s="60">
        <v>13.0</v>
      </c>
      <c r="G75" s="60" t="str">
        <f t="shared" si="2"/>
        <v>Character #13</v>
      </c>
      <c r="H75" s="60" t="s">
        <v>577</v>
      </c>
      <c r="I75" s="60" t="s">
        <v>580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</row>
    <row r="76">
      <c r="A76" s="61" t="s">
        <v>469</v>
      </c>
      <c r="B76" s="61" t="s">
        <v>469</v>
      </c>
      <c r="C76" s="61" t="str">
        <f t="shared" si="1"/>
        <v/>
      </c>
      <c r="D76" s="61"/>
      <c r="E76" s="61"/>
      <c r="F76" s="61"/>
      <c r="G76" s="61" t="str">
        <f t="shared" si="2"/>
        <v/>
      </c>
      <c r="H76" s="61"/>
      <c r="I76" s="61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</row>
    <row r="77">
      <c r="A77" s="60" t="s">
        <v>582</v>
      </c>
      <c r="B77" s="60" t="s">
        <v>583</v>
      </c>
      <c r="C77" s="60" t="str">
        <f t="shared" si="1"/>
        <v>magikarp fin (Magikarp)</v>
      </c>
      <c r="D77" s="60">
        <v>10.0</v>
      </c>
      <c r="E77" s="60" t="s">
        <v>449</v>
      </c>
      <c r="F77" s="60">
        <v>14.0</v>
      </c>
      <c r="G77" s="60" t="str">
        <f t="shared" si="2"/>
        <v>Character #14</v>
      </c>
      <c r="H77" s="60" t="s">
        <v>577</v>
      </c>
      <c r="I77" s="60" t="s">
        <v>584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</row>
    <row r="78">
      <c r="A78" s="60" t="s">
        <v>585</v>
      </c>
      <c r="B78" s="60" t="s">
        <v>586</v>
      </c>
      <c r="C78" s="60" t="str">
        <f t="shared" si="1"/>
        <v>mouse tail (Ratata)</v>
      </c>
      <c r="D78" s="60">
        <v>30.0</v>
      </c>
      <c r="E78" s="60" t="s">
        <v>449</v>
      </c>
      <c r="F78" s="60">
        <v>14.0</v>
      </c>
      <c r="G78" s="60" t="str">
        <f t="shared" si="2"/>
        <v>Character #14</v>
      </c>
      <c r="H78" s="60" t="s">
        <v>577</v>
      </c>
      <c r="I78" s="60" t="s">
        <v>584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</row>
    <row r="79">
      <c r="A79" s="61" t="s">
        <v>469</v>
      </c>
      <c r="B79" s="61" t="s">
        <v>469</v>
      </c>
      <c r="C79" s="61" t="str">
        <f t="shared" si="1"/>
        <v/>
      </c>
      <c r="D79" s="61"/>
      <c r="E79" s="61"/>
      <c r="F79" s="61"/>
      <c r="G79" s="61" t="str">
        <f t="shared" si="2"/>
        <v/>
      </c>
      <c r="H79" s="61"/>
      <c r="I79" s="61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</row>
    <row r="80">
      <c r="A80" s="60" t="s">
        <v>588</v>
      </c>
      <c r="B80" s="58" t="s">
        <v>589</v>
      </c>
      <c r="C80" s="60" t="str">
        <f t="shared" si="1"/>
        <v>fire hair (Ponyta)</v>
      </c>
      <c r="D80" s="60">
        <v>80.0</v>
      </c>
      <c r="E80" s="60" t="s">
        <v>449</v>
      </c>
      <c r="F80" s="60">
        <v>15.0</v>
      </c>
      <c r="G80" s="60" t="str">
        <f t="shared" si="2"/>
        <v>Character #15</v>
      </c>
      <c r="H80" s="60" t="s">
        <v>590</v>
      </c>
      <c r="I80" s="60" t="s">
        <v>591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</row>
    <row r="81">
      <c r="A81" s="60" t="s">
        <v>592</v>
      </c>
      <c r="B81" s="60" t="s">
        <v>593</v>
      </c>
      <c r="C81" s="60" t="str">
        <f t="shared" si="1"/>
        <v>blue hair (Shiny Ponyta)</v>
      </c>
      <c r="D81" s="60">
        <v>1.0</v>
      </c>
      <c r="E81" s="60" t="s">
        <v>449</v>
      </c>
      <c r="F81" s="60">
        <v>15.0</v>
      </c>
      <c r="G81" s="60" t="str">
        <f t="shared" si="2"/>
        <v>Character #15</v>
      </c>
      <c r="H81" s="60" t="s">
        <v>590</v>
      </c>
      <c r="I81" s="60" t="s">
        <v>591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</row>
    <row r="82">
      <c r="A82" s="61" t="s">
        <v>469</v>
      </c>
      <c r="B82" s="61" t="s">
        <v>469</v>
      </c>
      <c r="C82" s="61" t="str">
        <f t="shared" si="1"/>
        <v/>
      </c>
      <c r="D82" s="61"/>
      <c r="E82" s="61"/>
      <c r="F82" s="61"/>
      <c r="G82" s="61" t="str">
        <f t="shared" si="2"/>
        <v/>
      </c>
      <c r="H82" s="61"/>
      <c r="I82" s="61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</row>
    <row r="83">
      <c r="A83" s="60" t="s">
        <v>595</v>
      </c>
      <c r="B83" s="60" t="s">
        <v>386</v>
      </c>
      <c r="C83" s="60" t="str">
        <f t="shared" si="1"/>
        <v>fire hoof (Rapidash)</v>
      </c>
      <c r="D83" s="60">
        <v>100.0</v>
      </c>
      <c r="E83" s="60" t="s">
        <v>449</v>
      </c>
      <c r="F83" s="60">
        <v>16.0</v>
      </c>
      <c r="G83" s="60" t="str">
        <f t="shared" si="2"/>
        <v>Character #16</v>
      </c>
      <c r="H83" s="60" t="s">
        <v>590</v>
      </c>
      <c r="I83" s="60" t="s">
        <v>596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</row>
    <row r="84">
      <c r="A84" s="58" t="s">
        <v>477</v>
      </c>
      <c r="B84" s="58" t="s">
        <v>414</v>
      </c>
      <c r="C84" s="60" t="str">
        <f t="shared" si="1"/>
        <v>giant piece of fur (Arcanine)</v>
      </c>
      <c r="D84" s="60">
        <v>100.0</v>
      </c>
      <c r="E84" s="60" t="s">
        <v>449</v>
      </c>
      <c r="F84" s="60">
        <v>16.0</v>
      </c>
      <c r="G84" s="60" t="str">
        <f t="shared" si="2"/>
        <v>Character #16</v>
      </c>
      <c r="H84" s="60" t="s">
        <v>590</v>
      </c>
      <c r="I84" s="60" t="s">
        <v>596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</row>
    <row r="85">
      <c r="A85" s="61" t="s">
        <v>469</v>
      </c>
      <c r="B85" s="61" t="s">
        <v>469</v>
      </c>
      <c r="C85" s="61" t="str">
        <f t="shared" si="1"/>
        <v/>
      </c>
      <c r="D85" s="61"/>
      <c r="E85" s="61"/>
      <c r="F85" s="61"/>
      <c r="G85" s="61" t="str">
        <f t="shared" si="2"/>
        <v/>
      </c>
      <c r="H85" s="61"/>
      <c r="I85" s="61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</row>
    <row r="86">
      <c r="A86" s="58" t="s">
        <v>598</v>
      </c>
      <c r="B86" s="58" t="s">
        <v>599</v>
      </c>
      <c r="C86" s="60" t="str">
        <f t="shared" si="1"/>
        <v>yellow bird crest (Shiny Pidgey)</v>
      </c>
      <c r="D86" s="60">
        <v>1.0</v>
      </c>
      <c r="E86" s="60" t="s">
        <v>449</v>
      </c>
      <c r="F86" s="60">
        <v>17.0</v>
      </c>
      <c r="G86" s="60" t="str">
        <f t="shared" si="2"/>
        <v>Character #17</v>
      </c>
      <c r="H86" s="60" t="s">
        <v>590</v>
      </c>
      <c r="I86" s="60" t="s">
        <v>600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</row>
    <row r="87">
      <c r="A87" s="60" t="s">
        <v>601</v>
      </c>
      <c r="B87" s="60" t="s">
        <v>602</v>
      </c>
      <c r="C87" s="60" t="str">
        <f t="shared" si="1"/>
        <v>carmine wing (Shiny Spearow)</v>
      </c>
      <c r="D87" s="60">
        <v>1.0</v>
      </c>
      <c r="E87" s="60" t="s">
        <v>449</v>
      </c>
      <c r="F87" s="60">
        <v>17.0</v>
      </c>
      <c r="G87" s="60" t="str">
        <f t="shared" si="2"/>
        <v>Character #17</v>
      </c>
      <c r="H87" s="60" t="s">
        <v>590</v>
      </c>
      <c r="I87" s="60" t="s">
        <v>600</v>
      </c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</row>
    <row r="88">
      <c r="A88" s="61" t="s">
        <v>469</v>
      </c>
      <c r="B88" s="61" t="s">
        <v>469</v>
      </c>
      <c r="C88" s="61" t="str">
        <f t="shared" si="1"/>
        <v/>
      </c>
      <c r="D88" s="61"/>
      <c r="E88" s="61"/>
      <c r="F88" s="61"/>
      <c r="G88" s="61" t="str">
        <f t="shared" si="2"/>
        <v/>
      </c>
      <c r="H88" s="61"/>
      <c r="I88" s="61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</row>
    <row r="89">
      <c r="A89" s="60" t="s">
        <v>604</v>
      </c>
      <c r="B89" s="60" t="s">
        <v>605</v>
      </c>
      <c r="C89" s="60" t="str">
        <f t="shared" si="1"/>
        <v>bird wing (Spearow)</v>
      </c>
      <c r="D89" s="60">
        <v>5.0</v>
      </c>
      <c r="E89" s="60" t="s">
        <v>449</v>
      </c>
      <c r="F89" s="60">
        <v>18.0</v>
      </c>
      <c r="G89" s="60" t="str">
        <f t="shared" si="2"/>
        <v>Character #18</v>
      </c>
      <c r="H89" s="60" t="s">
        <v>590</v>
      </c>
      <c r="I89" s="60" t="s">
        <v>606</v>
      </c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</row>
    <row r="90">
      <c r="A90" s="60" t="s">
        <v>607</v>
      </c>
      <c r="B90" s="60" t="s">
        <v>608</v>
      </c>
      <c r="C90" s="60" t="str">
        <f t="shared" si="1"/>
        <v>bird crest (Pidgey)</v>
      </c>
      <c r="D90" s="60">
        <v>5.0</v>
      </c>
      <c r="E90" s="60" t="s">
        <v>449</v>
      </c>
      <c r="F90" s="60">
        <v>18.0</v>
      </c>
      <c r="G90" s="60" t="str">
        <f t="shared" si="2"/>
        <v>Character #18</v>
      </c>
      <c r="H90" s="60" t="s">
        <v>590</v>
      </c>
      <c r="I90" s="60" t="s">
        <v>606</v>
      </c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</row>
    <row r="91">
      <c r="A91" s="61" t="s">
        <v>469</v>
      </c>
      <c r="B91" s="61" t="s">
        <v>469</v>
      </c>
      <c r="C91" s="61" t="str">
        <f t="shared" si="1"/>
        <v/>
      </c>
      <c r="D91" s="61"/>
      <c r="E91" s="61"/>
      <c r="F91" s="61"/>
      <c r="G91" s="61" t="str">
        <f t="shared" si="2"/>
        <v/>
      </c>
      <c r="H91" s="61"/>
      <c r="I91" s="61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</row>
    <row r="92">
      <c r="A92" s="60" t="s">
        <v>610</v>
      </c>
      <c r="B92" s="60" t="s">
        <v>481</v>
      </c>
      <c r="C92" s="60" t="str">
        <f t="shared" si="1"/>
        <v>mythic water orb (Verificar aba de drops)</v>
      </c>
      <c r="D92" s="60">
        <v>3.0</v>
      </c>
      <c r="E92" s="60" t="s">
        <v>2</v>
      </c>
      <c r="F92" s="60">
        <v>1.0</v>
      </c>
      <c r="G92" s="60" t="str">
        <f t="shared" si="2"/>
        <v>Pokemon #1</v>
      </c>
      <c r="H92" s="60" t="s">
        <v>611</v>
      </c>
      <c r="I92" s="60" t="s">
        <v>612</v>
      </c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</row>
    <row r="93">
      <c r="A93" s="60" t="s">
        <v>613</v>
      </c>
      <c r="B93" s="60" t="s">
        <v>391</v>
      </c>
      <c r="C93" s="60" t="str">
        <f t="shared" si="1"/>
        <v>giant ruby (Tentacruel)</v>
      </c>
      <c r="D93" s="60">
        <v>600.0</v>
      </c>
      <c r="E93" s="60" t="s">
        <v>2</v>
      </c>
      <c r="F93" s="60">
        <v>1.0</v>
      </c>
      <c r="G93" s="60" t="str">
        <f t="shared" si="2"/>
        <v>Pokemon #1</v>
      </c>
      <c r="H93" s="60" t="s">
        <v>611</v>
      </c>
      <c r="I93" s="60" t="s">
        <v>612</v>
      </c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</row>
    <row r="94">
      <c r="A94" s="60" t="s">
        <v>504</v>
      </c>
      <c r="B94" s="60" t="s">
        <v>505</v>
      </c>
      <c r="C94" s="60" t="str">
        <f t="shared" si="1"/>
        <v>gyarados tail (Gyarados)</v>
      </c>
      <c r="D94" s="60">
        <v>1000.0</v>
      </c>
      <c r="E94" s="60" t="s">
        <v>2</v>
      </c>
      <c r="F94" s="60">
        <v>1.0</v>
      </c>
      <c r="G94" s="60" t="str">
        <f t="shared" si="2"/>
        <v>Pokemon #1</v>
      </c>
      <c r="H94" s="60" t="s">
        <v>611</v>
      </c>
      <c r="I94" s="60" t="s">
        <v>612</v>
      </c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</row>
    <row r="95">
      <c r="A95" s="60" t="s">
        <v>614</v>
      </c>
      <c r="B95" s="60" t="s">
        <v>384</v>
      </c>
      <c r="C95" s="60" t="str">
        <f t="shared" si="1"/>
        <v>big fist gloves (Poliwrath)</v>
      </c>
      <c r="D95" s="60">
        <v>600.0</v>
      </c>
      <c r="E95" s="60" t="s">
        <v>2</v>
      </c>
      <c r="F95" s="60">
        <v>1.0</v>
      </c>
      <c r="G95" s="60" t="str">
        <f t="shared" si="2"/>
        <v>Pokemon #1</v>
      </c>
      <c r="H95" s="60" t="s">
        <v>611</v>
      </c>
      <c r="I95" s="60" t="s">
        <v>612</v>
      </c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</row>
    <row r="96">
      <c r="A96" s="60" t="s">
        <v>506</v>
      </c>
      <c r="B96" s="58" t="s">
        <v>395</v>
      </c>
      <c r="C96" s="60" t="str">
        <f t="shared" si="1"/>
        <v>aquatic tail (Vaporeon)</v>
      </c>
      <c r="D96" s="60">
        <v>600.0</v>
      </c>
      <c r="E96" s="60" t="s">
        <v>2</v>
      </c>
      <c r="F96" s="60">
        <v>1.0</v>
      </c>
      <c r="G96" s="60" t="str">
        <f t="shared" si="2"/>
        <v>Pokemon #1</v>
      </c>
      <c r="H96" s="60" t="s">
        <v>611</v>
      </c>
      <c r="I96" s="60" t="s">
        <v>612</v>
      </c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</row>
    <row r="97">
      <c r="A97" s="60" t="s">
        <v>616</v>
      </c>
      <c r="B97" s="60" t="s">
        <v>617</v>
      </c>
      <c r="C97" s="60" t="str">
        <f t="shared" si="1"/>
        <v>duck paw (Golduck)</v>
      </c>
      <c r="D97" s="60">
        <v>500.0</v>
      </c>
      <c r="E97" s="60" t="s">
        <v>2</v>
      </c>
      <c r="F97" s="60">
        <v>1.0</v>
      </c>
      <c r="G97" s="60" t="str">
        <f t="shared" si="2"/>
        <v>Pokemon #1</v>
      </c>
      <c r="H97" s="60" t="s">
        <v>611</v>
      </c>
      <c r="I97" s="60" t="s">
        <v>612</v>
      </c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</row>
    <row r="98">
      <c r="A98" s="60" t="s">
        <v>509</v>
      </c>
      <c r="B98" s="60" t="s">
        <v>481</v>
      </c>
      <c r="C98" s="60" t="str">
        <f t="shared" si="1"/>
        <v>water stone (Verificar aba de drops)</v>
      </c>
      <c r="D98" s="60">
        <v>1000.0</v>
      </c>
      <c r="E98" s="60" t="s">
        <v>2</v>
      </c>
      <c r="F98" s="60">
        <v>1.0</v>
      </c>
      <c r="G98" s="60" t="str">
        <f t="shared" si="2"/>
        <v>Pokemon #1</v>
      </c>
      <c r="H98" s="60" t="s">
        <v>611</v>
      </c>
      <c r="I98" s="60" t="s">
        <v>612</v>
      </c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</row>
    <row r="99">
      <c r="A99" s="60" t="s">
        <v>619</v>
      </c>
      <c r="B99" s="60" t="s">
        <v>481</v>
      </c>
      <c r="C99" s="60" t="str">
        <f t="shared" si="1"/>
        <v>crystal stone (Verificar aba de drops)</v>
      </c>
      <c r="D99" s="60">
        <v>500.0</v>
      </c>
      <c r="E99" s="60" t="s">
        <v>2</v>
      </c>
      <c r="F99" s="60">
        <v>1.0</v>
      </c>
      <c r="G99" s="60" t="str">
        <f t="shared" si="2"/>
        <v>Pokemon #1</v>
      </c>
      <c r="H99" s="60" t="s">
        <v>611</v>
      </c>
      <c r="I99" s="60" t="s">
        <v>612</v>
      </c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</row>
    <row r="100">
      <c r="A100" s="61" t="s">
        <v>469</v>
      </c>
      <c r="B100" s="61" t="s">
        <v>469</v>
      </c>
      <c r="C100" s="61" t="str">
        <f t="shared" si="1"/>
        <v/>
      </c>
      <c r="D100" s="61"/>
      <c r="E100" s="61"/>
      <c r="F100" s="61"/>
      <c r="G100" s="61" t="str">
        <f t="shared" si="2"/>
        <v/>
      </c>
      <c r="H100" s="61"/>
      <c r="I100" s="61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</row>
    <row r="101">
      <c r="A101" s="60" t="s">
        <v>620</v>
      </c>
      <c r="B101" s="60" t="s">
        <v>481</v>
      </c>
      <c r="C101" s="60" t="str">
        <f t="shared" si="1"/>
        <v>arcane water orb (Verificar aba de drops)</v>
      </c>
      <c r="D101" s="60">
        <v>20.0</v>
      </c>
      <c r="E101" s="60" t="s">
        <v>2</v>
      </c>
      <c r="F101" s="60">
        <v>2.0</v>
      </c>
      <c r="G101" s="60" t="str">
        <f t="shared" si="2"/>
        <v>Pokemon #2</v>
      </c>
      <c r="H101" s="60" t="s">
        <v>621</v>
      </c>
      <c r="I101" s="60" t="s">
        <v>622</v>
      </c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</row>
    <row r="102">
      <c r="A102" s="60" t="s">
        <v>613</v>
      </c>
      <c r="B102" s="60" t="s">
        <v>391</v>
      </c>
      <c r="C102" s="60" t="str">
        <f t="shared" si="1"/>
        <v>giant ruby (Tentacruel)</v>
      </c>
      <c r="D102" s="60">
        <v>525.0</v>
      </c>
      <c r="E102" s="60" t="s">
        <v>2</v>
      </c>
      <c r="F102" s="60">
        <v>2.0</v>
      </c>
      <c r="G102" s="60" t="str">
        <f t="shared" si="2"/>
        <v>Pokemon #2</v>
      </c>
      <c r="H102" s="60" t="s">
        <v>621</v>
      </c>
      <c r="I102" s="60" t="s">
        <v>622</v>
      </c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</row>
    <row r="103">
      <c r="A103" s="60" t="s">
        <v>504</v>
      </c>
      <c r="B103" s="60" t="s">
        <v>505</v>
      </c>
      <c r="C103" s="60" t="str">
        <f t="shared" si="1"/>
        <v>gyarados tail (Gyarados)</v>
      </c>
      <c r="D103" s="60">
        <v>875.0</v>
      </c>
      <c r="E103" s="60" t="s">
        <v>2</v>
      </c>
      <c r="F103" s="60">
        <v>2.0</v>
      </c>
      <c r="G103" s="60" t="str">
        <f t="shared" si="2"/>
        <v>Pokemon #2</v>
      </c>
      <c r="H103" s="60" t="s">
        <v>621</v>
      </c>
      <c r="I103" s="60" t="s">
        <v>622</v>
      </c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</row>
    <row r="104">
      <c r="A104" s="60" t="s">
        <v>614</v>
      </c>
      <c r="B104" s="60" t="s">
        <v>384</v>
      </c>
      <c r="C104" s="60" t="str">
        <f t="shared" si="1"/>
        <v>big fist gloves (Poliwrath)</v>
      </c>
      <c r="D104" s="60">
        <v>525.0</v>
      </c>
      <c r="E104" s="60" t="s">
        <v>2</v>
      </c>
      <c r="F104" s="60">
        <v>2.0</v>
      </c>
      <c r="G104" s="60" t="str">
        <f t="shared" si="2"/>
        <v>Pokemon #2</v>
      </c>
      <c r="H104" s="60" t="s">
        <v>621</v>
      </c>
      <c r="I104" s="60" t="s">
        <v>622</v>
      </c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</row>
    <row r="105">
      <c r="A105" s="60" t="s">
        <v>506</v>
      </c>
      <c r="B105" s="58" t="s">
        <v>395</v>
      </c>
      <c r="C105" s="60" t="str">
        <f t="shared" si="1"/>
        <v>aquatic tail (Vaporeon)</v>
      </c>
      <c r="D105" s="60">
        <v>525.0</v>
      </c>
      <c r="E105" s="60" t="s">
        <v>2</v>
      </c>
      <c r="F105" s="60">
        <v>2.0</v>
      </c>
      <c r="G105" s="60" t="str">
        <f t="shared" si="2"/>
        <v>Pokemon #2</v>
      </c>
      <c r="H105" s="60" t="s">
        <v>621</v>
      </c>
      <c r="I105" s="60" t="s">
        <v>622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</row>
    <row r="106">
      <c r="A106" s="60" t="s">
        <v>616</v>
      </c>
      <c r="B106" s="60" t="s">
        <v>617</v>
      </c>
      <c r="C106" s="60" t="str">
        <f t="shared" si="1"/>
        <v>duck paw (Golduck)</v>
      </c>
      <c r="D106" s="60">
        <v>400.0</v>
      </c>
      <c r="E106" s="60" t="s">
        <v>2</v>
      </c>
      <c r="F106" s="60">
        <v>2.0</v>
      </c>
      <c r="G106" s="60" t="str">
        <f t="shared" si="2"/>
        <v>Pokemon #2</v>
      </c>
      <c r="H106" s="60" t="s">
        <v>621</v>
      </c>
      <c r="I106" s="60" t="s">
        <v>622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</row>
    <row r="107">
      <c r="A107" s="60" t="s">
        <v>509</v>
      </c>
      <c r="B107" s="60" t="s">
        <v>481</v>
      </c>
      <c r="C107" s="60" t="str">
        <f t="shared" si="1"/>
        <v>water stone (Verificar aba de drops)</v>
      </c>
      <c r="D107" s="60">
        <v>800.0</v>
      </c>
      <c r="E107" s="60" t="s">
        <v>2</v>
      </c>
      <c r="F107" s="60">
        <v>2.0</v>
      </c>
      <c r="G107" s="60" t="str">
        <f t="shared" si="2"/>
        <v>Pokemon #2</v>
      </c>
      <c r="H107" s="60" t="s">
        <v>621</v>
      </c>
      <c r="I107" s="60" t="s">
        <v>622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</row>
    <row r="108">
      <c r="A108" s="60" t="s">
        <v>619</v>
      </c>
      <c r="B108" s="60" t="s">
        <v>481</v>
      </c>
      <c r="C108" s="60" t="str">
        <f t="shared" si="1"/>
        <v>crystal stone (Verificar aba de drops)</v>
      </c>
      <c r="D108" s="60">
        <v>400.0</v>
      </c>
      <c r="E108" s="60" t="s">
        <v>2</v>
      </c>
      <c r="F108" s="60">
        <v>2.0</v>
      </c>
      <c r="G108" s="60" t="str">
        <f t="shared" si="2"/>
        <v>Pokemon #2</v>
      </c>
      <c r="H108" s="60" t="s">
        <v>621</v>
      </c>
      <c r="I108" s="60" t="s">
        <v>622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</row>
    <row r="109">
      <c r="A109" s="61" t="s">
        <v>469</v>
      </c>
      <c r="B109" s="61" t="s">
        <v>469</v>
      </c>
      <c r="C109" s="61" t="str">
        <f t="shared" si="1"/>
        <v/>
      </c>
      <c r="D109" s="61"/>
      <c r="E109" s="61"/>
      <c r="F109" s="61"/>
      <c r="G109" s="61" t="str">
        <f t="shared" si="2"/>
        <v/>
      </c>
      <c r="H109" s="61"/>
      <c r="I109" s="61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</row>
    <row r="110">
      <c r="A110" s="60" t="s">
        <v>620</v>
      </c>
      <c r="B110" s="60" t="s">
        <v>481</v>
      </c>
      <c r="C110" s="60" t="str">
        <f t="shared" si="1"/>
        <v>arcane water orb (Verificar aba de drops)</v>
      </c>
      <c r="D110" s="60">
        <v>5.0</v>
      </c>
      <c r="E110" s="60" t="s">
        <v>2</v>
      </c>
      <c r="F110" s="60">
        <v>3.0</v>
      </c>
      <c r="G110" s="60" t="str">
        <f t="shared" si="2"/>
        <v>Pokemon #3</v>
      </c>
      <c r="H110" s="60" t="s">
        <v>624</v>
      </c>
      <c r="I110" s="60" t="s">
        <v>625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</row>
    <row r="111">
      <c r="A111" s="60" t="s">
        <v>613</v>
      </c>
      <c r="B111" s="60" t="s">
        <v>391</v>
      </c>
      <c r="C111" s="60" t="str">
        <f t="shared" si="1"/>
        <v>giant ruby (Tentacruel)</v>
      </c>
      <c r="D111" s="60">
        <v>450.0</v>
      </c>
      <c r="E111" s="60" t="s">
        <v>2</v>
      </c>
      <c r="F111" s="60">
        <v>3.0</v>
      </c>
      <c r="G111" s="60" t="str">
        <f t="shared" si="2"/>
        <v>Pokemon #3</v>
      </c>
      <c r="H111" s="60" t="s">
        <v>624</v>
      </c>
      <c r="I111" s="60" t="s">
        <v>625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</row>
    <row r="112">
      <c r="A112" s="60" t="s">
        <v>504</v>
      </c>
      <c r="B112" s="60" t="s">
        <v>505</v>
      </c>
      <c r="C112" s="60" t="str">
        <f t="shared" si="1"/>
        <v>gyarados tail (Gyarados)</v>
      </c>
      <c r="D112" s="60">
        <v>750.0</v>
      </c>
      <c r="E112" s="60" t="s">
        <v>2</v>
      </c>
      <c r="F112" s="60">
        <v>3.0</v>
      </c>
      <c r="G112" s="60" t="str">
        <f t="shared" si="2"/>
        <v>Pokemon #3</v>
      </c>
      <c r="H112" s="60" t="s">
        <v>624</v>
      </c>
      <c r="I112" s="60" t="s">
        <v>625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</row>
    <row r="113">
      <c r="A113" s="60" t="s">
        <v>614</v>
      </c>
      <c r="B113" s="60" t="s">
        <v>384</v>
      </c>
      <c r="C113" s="60" t="str">
        <f t="shared" si="1"/>
        <v>big fist gloves (Poliwrath)</v>
      </c>
      <c r="D113" s="60">
        <v>450.0</v>
      </c>
      <c r="E113" s="60" t="s">
        <v>2</v>
      </c>
      <c r="F113" s="60">
        <v>3.0</v>
      </c>
      <c r="G113" s="60" t="str">
        <f t="shared" si="2"/>
        <v>Pokemon #3</v>
      </c>
      <c r="H113" s="60" t="s">
        <v>624</v>
      </c>
      <c r="I113" s="60" t="s">
        <v>625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</row>
    <row r="114">
      <c r="A114" s="60" t="s">
        <v>506</v>
      </c>
      <c r="B114" s="58" t="s">
        <v>395</v>
      </c>
      <c r="C114" s="60" t="str">
        <f t="shared" si="1"/>
        <v>aquatic tail (Vaporeon)</v>
      </c>
      <c r="D114" s="60">
        <v>450.0</v>
      </c>
      <c r="E114" s="60" t="s">
        <v>2</v>
      </c>
      <c r="F114" s="60">
        <v>3.0</v>
      </c>
      <c r="G114" s="60" t="str">
        <f t="shared" si="2"/>
        <v>Pokemon #3</v>
      </c>
      <c r="H114" s="60" t="s">
        <v>624</v>
      </c>
      <c r="I114" s="60" t="s">
        <v>625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</row>
    <row r="115">
      <c r="A115" s="60" t="s">
        <v>616</v>
      </c>
      <c r="B115" s="60" t="s">
        <v>617</v>
      </c>
      <c r="C115" s="60" t="str">
        <f t="shared" si="1"/>
        <v>duck paw (Golduck)</v>
      </c>
      <c r="D115" s="60">
        <v>375.0</v>
      </c>
      <c r="E115" s="60" t="s">
        <v>2</v>
      </c>
      <c r="F115" s="60">
        <v>3.0</v>
      </c>
      <c r="G115" s="60" t="str">
        <f t="shared" si="2"/>
        <v>Pokemon #3</v>
      </c>
      <c r="H115" s="60" t="s">
        <v>624</v>
      </c>
      <c r="I115" s="60" t="s">
        <v>625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</row>
    <row r="116">
      <c r="A116" s="60" t="s">
        <v>509</v>
      </c>
      <c r="B116" s="60" t="s">
        <v>481</v>
      </c>
      <c r="C116" s="60" t="str">
        <f t="shared" si="1"/>
        <v>water stone (Verificar aba de drops)</v>
      </c>
      <c r="D116" s="60">
        <v>400.0</v>
      </c>
      <c r="E116" s="60" t="s">
        <v>2</v>
      </c>
      <c r="F116" s="60">
        <v>3.0</v>
      </c>
      <c r="G116" s="60" t="str">
        <f t="shared" si="2"/>
        <v>Pokemon #3</v>
      </c>
      <c r="H116" s="60" t="s">
        <v>624</v>
      </c>
      <c r="I116" s="60" t="s">
        <v>625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</row>
    <row r="117">
      <c r="A117" s="60" t="s">
        <v>619</v>
      </c>
      <c r="B117" s="60" t="s">
        <v>481</v>
      </c>
      <c r="C117" s="60" t="str">
        <f t="shared" si="1"/>
        <v>crystal stone (Verificar aba de drops)</v>
      </c>
      <c r="D117" s="60">
        <v>200.0</v>
      </c>
      <c r="E117" s="60" t="s">
        <v>2</v>
      </c>
      <c r="F117" s="60">
        <v>3.0</v>
      </c>
      <c r="G117" s="60" t="str">
        <f t="shared" si="2"/>
        <v>Pokemon #3</v>
      </c>
      <c r="H117" s="60" t="s">
        <v>624</v>
      </c>
      <c r="I117" s="60" t="s">
        <v>625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</row>
    <row r="118">
      <c r="A118" s="61" t="s">
        <v>469</v>
      </c>
      <c r="B118" s="61" t="s">
        <v>469</v>
      </c>
      <c r="C118" s="61" t="str">
        <f t="shared" si="1"/>
        <v/>
      </c>
      <c r="D118" s="61"/>
      <c r="E118" s="61"/>
      <c r="F118" s="61"/>
      <c r="G118" s="61" t="str">
        <f t="shared" si="2"/>
        <v/>
      </c>
      <c r="H118" s="61"/>
      <c r="I118" s="61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</row>
    <row r="119">
      <c r="A119" s="60" t="s">
        <v>627</v>
      </c>
      <c r="B119" s="60" t="s">
        <v>481</v>
      </c>
      <c r="C119" s="60" t="str">
        <f t="shared" si="1"/>
        <v>simple water orb (Verificar aba de drops)</v>
      </c>
      <c r="D119" s="60">
        <v>20.0</v>
      </c>
      <c r="E119" s="60" t="s">
        <v>2</v>
      </c>
      <c r="F119" s="60">
        <v>4.0</v>
      </c>
      <c r="G119" s="60" t="str">
        <f t="shared" si="2"/>
        <v>Pokemon #4</v>
      </c>
      <c r="H119" s="60" t="s">
        <v>624</v>
      </c>
      <c r="I119" s="60" t="s">
        <v>628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</row>
    <row r="120">
      <c r="A120" s="60" t="s">
        <v>613</v>
      </c>
      <c r="B120" s="60" t="s">
        <v>391</v>
      </c>
      <c r="C120" s="60" t="str">
        <f t="shared" si="1"/>
        <v>giant ruby (Tentacruel)</v>
      </c>
      <c r="D120" s="60">
        <v>420.0</v>
      </c>
      <c r="E120" s="60" t="s">
        <v>2</v>
      </c>
      <c r="F120" s="60">
        <v>4.0</v>
      </c>
      <c r="G120" s="60" t="str">
        <f t="shared" si="2"/>
        <v>Pokemon #4</v>
      </c>
      <c r="H120" s="60" t="s">
        <v>624</v>
      </c>
      <c r="I120" s="60" t="s">
        <v>628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</row>
    <row r="121">
      <c r="A121" s="60" t="s">
        <v>504</v>
      </c>
      <c r="B121" s="60" t="s">
        <v>505</v>
      </c>
      <c r="C121" s="60" t="str">
        <f t="shared" si="1"/>
        <v>gyarados tail (Gyarados)</v>
      </c>
      <c r="D121" s="60">
        <v>700.0</v>
      </c>
      <c r="E121" s="60" t="s">
        <v>2</v>
      </c>
      <c r="F121" s="60">
        <v>4.0</v>
      </c>
      <c r="G121" s="60" t="str">
        <f t="shared" si="2"/>
        <v>Pokemon #4</v>
      </c>
      <c r="H121" s="60" t="s">
        <v>624</v>
      </c>
      <c r="I121" s="60" t="s">
        <v>628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</row>
    <row r="122">
      <c r="A122" s="60" t="s">
        <v>614</v>
      </c>
      <c r="B122" s="60" t="s">
        <v>384</v>
      </c>
      <c r="C122" s="60" t="str">
        <f t="shared" si="1"/>
        <v>big fist gloves (Poliwrath)</v>
      </c>
      <c r="D122" s="60">
        <v>420.0</v>
      </c>
      <c r="E122" s="60" t="s">
        <v>2</v>
      </c>
      <c r="F122" s="60">
        <v>4.0</v>
      </c>
      <c r="G122" s="60" t="str">
        <f t="shared" si="2"/>
        <v>Pokemon #4</v>
      </c>
      <c r="H122" s="60" t="s">
        <v>624</v>
      </c>
      <c r="I122" s="60" t="s">
        <v>628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</row>
    <row r="123">
      <c r="A123" s="60" t="s">
        <v>506</v>
      </c>
      <c r="B123" s="58" t="s">
        <v>395</v>
      </c>
      <c r="C123" s="60" t="str">
        <f t="shared" si="1"/>
        <v>aquatic tail (Vaporeon)</v>
      </c>
      <c r="D123" s="60">
        <v>420.0</v>
      </c>
      <c r="E123" s="60" t="s">
        <v>2</v>
      </c>
      <c r="F123" s="60">
        <v>4.0</v>
      </c>
      <c r="G123" s="60" t="str">
        <f t="shared" si="2"/>
        <v>Pokemon #4</v>
      </c>
      <c r="H123" s="60" t="s">
        <v>624</v>
      </c>
      <c r="I123" s="60" t="s">
        <v>628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</row>
    <row r="124">
      <c r="A124" s="60" t="s">
        <v>616</v>
      </c>
      <c r="B124" s="60" t="s">
        <v>617</v>
      </c>
      <c r="C124" s="60" t="str">
        <f t="shared" si="1"/>
        <v>duck paw (Golduck)</v>
      </c>
      <c r="D124" s="60">
        <v>375.0</v>
      </c>
      <c r="E124" s="60" t="s">
        <v>2</v>
      </c>
      <c r="F124" s="60">
        <v>4.0</v>
      </c>
      <c r="G124" s="60" t="str">
        <f t="shared" si="2"/>
        <v>Pokemon #4</v>
      </c>
      <c r="H124" s="60" t="s">
        <v>624</v>
      </c>
      <c r="I124" s="60" t="s">
        <v>628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</row>
    <row r="125">
      <c r="A125" s="60" t="s">
        <v>509</v>
      </c>
      <c r="B125" s="60" t="s">
        <v>481</v>
      </c>
      <c r="C125" s="60" t="str">
        <f t="shared" si="1"/>
        <v>water stone (Verificar aba de drops)</v>
      </c>
      <c r="D125" s="60">
        <v>200.0</v>
      </c>
      <c r="E125" s="60" t="s">
        <v>2</v>
      </c>
      <c r="F125" s="60">
        <v>4.0</v>
      </c>
      <c r="G125" s="60" t="str">
        <f t="shared" si="2"/>
        <v>Pokemon #4</v>
      </c>
      <c r="H125" s="60" t="s">
        <v>624</v>
      </c>
      <c r="I125" s="60" t="s">
        <v>628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</row>
    <row r="126">
      <c r="A126" s="60" t="s">
        <v>619</v>
      </c>
      <c r="B126" s="60" t="s">
        <v>481</v>
      </c>
      <c r="C126" s="60" t="str">
        <f t="shared" si="1"/>
        <v>crystal stone (Verificar aba de drops)</v>
      </c>
      <c r="D126" s="60">
        <v>100.0</v>
      </c>
      <c r="E126" s="60" t="s">
        <v>2</v>
      </c>
      <c r="F126" s="60">
        <v>4.0</v>
      </c>
      <c r="G126" s="60" t="str">
        <f t="shared" si="2"/>
        <v>Pokemon #4</v>
      </c>
      <c r="H126" s="60" t="s">
        <v>624</v>
      </c>
      <c r="I126" s="60" t="s">
        <v>628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</row>
    <row r="127">
      <c r="A127" s="61" t="s">
        <v>469</v>
      </c>
      <c r="B127" s="61" t="s">
        <v>469</v>
      </c>
      <c r="C127" s="61" t="str">
        <f t="shared" si="1"/>
        <v/>
      </c>
      <c r="D127" s="61"/>
      <c r="E127" s="61"/>
      <c r="F127" s="61"/>
      <c r="G127" s="61" t="str">
        <f t="shared" si="2"/>
        <v/>
      </c>
      <c r="H127" s="61"/>
      <c r="I127" s="61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</row>
    <row r="128">
      <c r="A128" s="60" t="s">
        <v>627</v>
      </c>
      <c r="B128" s="60" t="s">
        <v>481</v>
      </c>
      <c r="C128" s="60" t="str">
        <f t="shared" si="1"/>
        <v>simple water orb (Verificar aba de drops)</v>
      </c>
      <c r="D128" s="60">
        <v>10.0</v>
      </c>
      <c r="E128" s="60" t="s">
        <v>2</v>
      </c>
      <c r="F128" s="60">
        <v>5.0</v>
      </c>
      <c r="G128" s="60" t="str">
        <f t="shared" si="2"/>
        <v>Pokemon #5</v>
      </c>
      <c r="H128" s="60" t="s">
        <v>624</v>
      </c>
      <c r="I128" s="60" t="s">
        <v>631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</row>
    <row r="129">
      <c r="A129" s="60" t="s">
        <v>613</v>
      </c>
      <c r="B129" s="60" t="s">
        <v>391</v>
      </c>
      <c r="C129" s="60" t="str">
        <f t="shared" si="1"/>
        <v>giant ruby (Tentacruel)</v>
      </c>
      <c r="D129" s="60">
        <v>360.0</v>
      </c>
      <c r="E129" s="60" t="s">
        <v>2</v>
      </c>
      <c r="F129" s="60">
        <v>5.0</v>
      </c>
      <c r="G129" s="60" t="str">
        <f t="shared" si="2"/>
        <v>Pokemon #5</v>
      </c>
      <c r="H129" s="60" t="s">
        <v>624</v>
      </c>
      <c r="I129" s="60" t="s">
        <v>631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</row>
    <row r="130">
      <c r="A130" s="60" t="s">
        <v>504</v>
      </c>
      <c r="B130" s="60" t="s">
        <v>505</v>
      </c>
      <c r="C130" s="60" t="str">
        <f t="shared" si="1"/>
        <v>gyarados tail (Gyarados)</v>
      </c>
      <c r="D130" s="60">
        <v>600.0</v>
      </c>
      <c r="E130" s="60" t="s">
        <v>2</v>
      </c>
      <c r="F130" s="60">
        <v>5.0</v>
      </c>
      <c r="G130" s="60" t="str">
        <f t="shared" si="2"/>
        <v>Pokemon #5</v>
      </c>
      <c r="H130" s="60" t="s">
        <v>624</v>
      </c>
      <c r="I130" s="60" t="s">
        <v>631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</row>
    <row r="131">
      <c r="A131" s="60" t="s">
        <v>614</v>
      </c>
      <c r="B131" s="60" t="s">
        <v>384</v>
      </c>
      <c r="C131" s="60" t="str">
        <f t="shared" si="1"/>
        <v>big fist gloves (Poliwrath)</v>
      </c>
      <c r="D131" s="60">
        <v>360.0</v>
      </c>
      <c r="E131" s="60" t="s">
        <v>2</v>
      </c>
      <c r="F131" s="60">
        <v>5.0</v>
      </c>
      <c r="G131" s="60" t="str">
        <f t="shared" si="2"/>
        <v>Pokemon #5</v>
      </c>
      <c r="H131" s="60" t="s">
        <v>624</v>
      </c>
      <c r="I131" s="60" t="s">
        <v>631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</row>
    <row r="132">
      <c r="A132" s="60" t="s">
        <v>506</v>
      </c>
      <c r="B132" s="58" t="s">
        <v>395</v>
      </c>
      <c r="C132" s="60" t="str">
        <f t="shared" si="1"/>
        <v>aquatic tail (Vaporeon)</v>
      </c>
      <c r="D132" s="60">
        <v>360.0</v>
      </c>
      <c r="E132" s="60" t="s">
        <v>2</v>
      </c>
      <c r="F132" s="60">
        <v>5.0</v>
      </c>
      <c r="G132" s="60" t="str">
        <f t="shared" si="2"/>
        <v>Pokemon #5</v>
      </c>
      <c r="H132" s="60" t="s">
        <v>624</v>
      </c>
      <c r="I132" s="60" t="s">
        <v>631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</row>
    <row r="133">
      <c r="A133" s="60" t="s">
        <v>616</v>
      </c>
      <c r="B133" s="60" t="s">
        <v>617</v>
      </c>
      <c r="C133" s="60" t="str">
        <f t="shared" si="1"/>
        <v>duck paw (Golduck)</v>
      </c>
      <c r="D133" s="60">
        <v>300.0</v>
      </c>
      <c r="E133" s="60" t="s">
        <v>2</v>
      </c>
      <c r="F133" s="60">
        <v>5.0</v>
      </c>
      <c r="G133" s="60" t="str">
        <f t="shared" si="2"/>
        <v>Pokemon #5</v>
      </c>
      <c r="H133" s="60" t="s">
        <v>624</v>
      </c>
      <c r="I133" s="60" t="s">
        <v>631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</row>
    <row r="134">
      <c r="A134" s="60" t="s">
        <v>509</v>
      </c>
      <c r="B134" s="60" t="s">
        <v>481</v>
      </c>
      <c r="C134" s="60" t="str">
        <f t="shared" si="1"/>
        <v>water stone (Verificar aba de drops)</v>
      </c>
      <c r="D134" s="60">
        <v>100.0</v>
      </c>
      <c r="E134" s="60" t="s">
        <v>2</v>
      </c>
      <c r="F134" s="60">
        <v>5.0</v>
      </c>
      <c r="G134" s="60" t="str">
        <f t="shared" si="2"/>
        <v>Pokemon #5</v>
      </c>
      <c r="H134" s="60" t="s">
        <v>624</v>
      </c>
      <c r="I134" s="60" t="s">
        <v>631</v>
      </c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</row>
    <row r="135">
      <c r="A135" s="60" t="s">
        <v>619</v>
      </c>
      <c r="B135" s="60" t="s">
        <v>481</v>
      </c>
      <c r="C135" s="60" t="str">
        <f t="shared" si="1"/>
        <v>crystal stone (Verificar aba de drops)</v>
      </c>
      <c r="D135" s="60">
        <v>50.0</v>
      </c>
      <c r="E135" s="60" t="s">
        <v>2</v>
      </c>
      <c r="F135" s="60">
        <v>5.0</v>
      </c>
      <c r="G135" s="60" t="str">
        <f t="shared" si="2"/>
        <v>Pokemon #5</v>
      </c>
      <c r="H135" s="60" t="s">
        <v>624</v>
      </c>
      <c r="I135" s="60" t="s">
        <v>631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</row>
    <row r="136">
      <c r="A136" s="61" t="s">
        <v>469</v>
      </c>
      <c r="B136" s="61" t="s">
        <v>469</v>
      </c>
      <c r="C136" s="61" t="str">
        <f t="shared" si="1"/>
        <v/>
      </c>
      <c r="D136" s="61"/>
      <c r="E136" s="61"/>
      <c r="F136" s="61"/>
      <c r="G136" s="61" t="str">
        <f t="shared" si="2"/>
        <v/>
      </c>
      <c r="H136" s="61"/>
      <c r="I136" s="61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</row>
    <row r="137">
      <c r="A137" s="60" t="s">
        <v>613</v>
      </c>
      <c r="B137" s="60" t="s">
        <v>391</v>
      </c>
      <c r="C137" s="60" t="str">
        <f t="shared" si="1"/>
        <v>giant ruby (Tentacruel)</v>
      </c>
      <c r="D137" s="60">
        <v>300.0</v>
      </c>
      <c r="E137" s="60" t="s">
        <v>2</v>
      </c>
      <c r="F137" s="60">
        <v>6.0</v>
      </c>
      <c r="G137" s="60" t="str">
        <f t="shared" si="2"/>
        <v>Pokemon #6</v>
      </c>
      <c r="H137" s="60" t="s">
        <v>624</v>
      </c>
      <c r="I137" s="60" t="s">
        <v>634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</row>
    <row r="138">
      <c r="A138" s="60" t="s">
        <v>504</v>
      </c>
      <c r="B138" s="60" t="s">
        <v>505</v>
      </c>
      <c r="C138" s="60" t="str">
        <f t="shared" si="1"/>
        <v>gyarados tail (Gyarados)</v>
      </c>
      <c r="D138" s="60">
        <v>500.0</v>
      </c>
      <c r="E138" s="60" t="s">
        <v>2</v>
      </c>
      <c r="F138" s="60">
        <v>6.0</v>
      </c>
      <c r="G138" s="60" t="str">
        <f t="shared" si="2"/>
        <v>Pokemon #6</v>
      </c>
      <c r="H138" s="60" t="s">
        <v>624</v>
      </c>
      <c r="I138" s="60" t="s">
        <v>634</v>
      </c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</row>
    <row r="139">
      <c r="A139" s="60" t="s">
        <v>614</v>
      </c>
      <c r="B139" s="60" t="s">
        <v>384</v>
      </c>
      <c r="C139" s="60" t="str">
        <f t="shared" si="1"/>
        <v>big fist gloves (Poliwrath)</v>
      </c>
      <c r="D139" s="60">
        <v>300.0</v>
      </c>
      <c r="E139" s="60" t="s">
        <v>2</v>
      </c>
      <c r="F139" s="60">
        <v>6.0</v>
      </c>
      <c r="G139" s="60" t="str">
        <f t="shared" si="2"/>
        <v>Pokemon #6</v>
      </c>
      <c r="H139" s="60" t="s">
        <v>624</v>
      </c>
      <c r="I139" s="60" t="s">
        <v>634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</row>
    <row r="140">
      <c r="A140" s="60" t="s">
        <v>506</v>
      </c>
      <c r="B140" s="58" t="s">
        <v>395</v>
      </c>
      <c r="C140" s="60" t="str">
        <f t="shared" si="1"/>
        <v>aquatic tail (Vaporeon)</v>
      </c>
      <c r="D140" s="60">
        <v>300.0</v>
      </c>
      <c r="E140" s="60" t="s">
        <v>2</v>
      </c>
      <c r="F140" s="60">
        <v>6.0</v>
      </c>
      <c r="G140" s="60" t="str">
        <f t="shared" si="2"/>
        <v>Pokemon #6</v>
      </c>
      <c r="H140" s="60" t="s">
        <v>624</v>
      </c>
      <c r="I140" s="60" t="s">
        <v>634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</row>
    <row r="141">
      <c r="A141" s="60" t="s">
        <v>616</v>
      </c>
      <c r="B141" s="60" t="s">
        <v>617</v>
      </c>
      <c r="C141" s="60" t="str">
        <f t="shared" si="1"/>
        <v>duck paw (Golduck)</v>
      </c>
      <c r="D141" s="60">
        <v>250.0</v>
      </c>
      <c r="E141" s="60" t="s">
        <v>2</v>
      </c>
      <c r="F141" s="60">
        <v>6.0</v>
      </c>
      <c r="G141" s="60" t="str">
        <f t="shared" si="2"/>
        <v>Pokemon #6</v>
      </c>
      <c r="H141" s="60" t="s">
        <v>624</v>
      </c>
      <c r="I141" s="60" t="s">
        <v>634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</row>
    <row r="142">
      <c r="A142" s="60" t="s">
        <v>509</v>
      </c>
      <c r="B142" s="60" t="s">
        <v>481</v>
      </c>
      <c r="C142" s="60" t="str">
        <f t="shared" si="1"/>
        <v>water stone (Verificar aba de drops)</v>
      </c>
      <c r="D142" s="60">
        <v>50.0</v>
      </c>
      <c r="E142" s="60" t="s">
        <v>2</v>
      </c>
      <c r="F142" s="60">
        <v>6.0</v>
      </c>
      <c r="G142" s="60" t="str">
        <f t="shared" si="2"/>
        <v>Pokemon #6</v>
      </c>
      <c r="H142" s="60" t="s">
        <v>624</v>
      </c>
      <c r="I142" s="60" t="s">
        <v>634</v>
      </c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</row>
    <row r="143">
      <c r="A143" s="60" t="s">
        <v>619</v>
      </c>
      <c r="B143" s="60" t="s">
        <v>481</v>
      </c>
      <c r="C143" s="60" t="str">
        <f t="shared" si="1"/>
        <v>crystal stone (Verificar aba de drops)</v>
      </c>
      <c r="D143" s="60">
        <v>25.0</v>
      </c>
      <c r="E143" s="60" t="s">
        <v>2</v>
      </c>
      <c r="F143" s="60">
        <v>6.0</v>
      </c>
      <c r="G143" s="60" t="str">
        <f t="shared" si="2"/>
        <v>Pokemon #6</v>
      </c>
      <c r="H143" s="60" t="s">
        <v>624</v>
      </c>
      <c r="I143" s="60" t="s">
        <v>634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</row>
    <row r="144">
      <c r="A144" s="61" t="s">
        <v>469</v>
      </c>
      <c r="B144" s="61" t="s">
        <v>469</v>
      </c>
      <c r="C144" s="61" t="str">
        <f t="shared" si="1"/>
        <v/>
      </c>
      <c r="D144" s="61"/>
      <c r="E144" s="61"/>
      <c r="F144" s="61"/>
      <c r="G144" s="61" t="str">
        <f t="shared" si="2"/>
        <v/>
      </c>
      <c r="H144" s="61"/>
      <c r="I144" s="61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</row>
    <row r="145">
      <c r="A145" s="60" t="s">
        <v>637</v>
      </c>
      <c r="B145" s="60" t="s">
        <v>481</v>
      </c>
      <c r="C145" s="60" t="str">
        <f t="shared" si="1"/>
        <v>mythic psychic orb (Verificar aba de drops)</v>
      </c>
      <c r="D145" s="60">
        <v>3.0</v>
      </c>
      <c r="E145" s="60" t="s">
        <v>2</v>
      </c>
      <c r="F145" s="60">
        <v>7.0</v>
      </c>
      <c r="G145" s="60" t="str">
        <f t="shared" si="2"/>
        <v>Pokemon #7</v>
      </c>
      <c r="H145" s="60" t="s">
        <v>638</v>
      </c>
      <c r="I145" s="60" t="s">
        <v>639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</row>
    <row r="146">
      <c r="A146" s="60" t="s">
        <v>559</v>
      </c>
      <c r="B146" s="60" t="s">
        <v>560</v>
      </c>
      <c r="C146" s="60" t="str">
        <f t="shared" si="1"/>
        <v>giraffe antenna (Girafarig)</v>
      </c>
      <c r="D146" s="60">
        <v>600.0</v>
      </c>
      <c r="E146" s="60" t="s">
        <v>2</v>
      </c>
      <c r="F146" s="60">
        <v>7.0</v>
      </c>
      <c r="G146" s="60" t="str">
        <f t="shared" si="2"/>
        <v>Pokemon #7</v>
      </c>
      <c r="H146" s="60" t="s">
        <v>638</v>
      </c>
      <c r="I146" s="60" t="s">
        <v>639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</row>
    <row r="147">
      <c r="A147" s="60" t="s">
        <v>640</v>
      </c>
      <c r="B147" s="60" t="s">
        <v>405</v>
      </c>
      <c r="C147" s="60" t="str">
        <f t="shared" si="1"/>
        <v>sea dragon fin (Kingdra)</v>
      </c>
      <c r="D147" s="60">
        <v>1000.0</v>
      </c>
      <c r="E147" s="60" t="s">
        <v>2</v>
      </c>
      <c r="F147" s="60">
        <v>7.0</v>
      </c>
      <c r="G147" s="60" t="str">
        <f t="shared" si="2"/>
        <v>Pokemon #7</v>
      </c>
      <c r="H147" s="60" t="s">
        <v>638</v>
      </c>
      <c r="I147" s="60" t="s">
        <v>639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</row>
    <row r="148">
      <c r="A148" s="60" t="s">
        <v>641</v>
      </c>
      <c r="B148" s="60" t="s">
        <v>362</v>
      </c>
      <c r="C148" s="60" t="str">
        <f t="shared" si="1"/>
        <v>red hair (Feraligatr)</v>
      </c>
      <c r="D148" s="60">
        <v>600.0</v>
      </c>
      <c r="E148" s="60" t="s">
        <v>2</v>
      </c>
      <c r="F148" s="60">
        <v>7.0</v>
      </c>
      <c r="G148" s="60" t="str">
        <f t="shared" si="2"/>
        <v>Pokemon #7</v>
      </c>
      <c r="H148" s="60" t="s">
        <v>638</v>
      </c>
      <c r="I148" s="60" t="s">
        <v>639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</row>
    <row r="149">
      <c r="A149" s="60" t="s">
        <v>508</v>
      </c>
      <c r="B149" s="60" t="s">
        <v>131</v>
      </c>
      <c r="C149" s="60" t="str">
        <f t="shared" si="1"/>
        <v>water cannon (Blastoise)</v>
      </c>
      <c r="D149" s="60">
        <v>600.0</v>
      </c>
      <c r="E149" s="60" t="s">
        <v>2</v>
      </c>
      <c r="F149" s="60">
        <v>7.0</v>
      </c>
      <c r="G149" s="60" t="str">
        <f t="shared" si="2"/>
        <v>Pokemon #7</v>
      </c>
      <c r="H149" s="60" t="s">
        <v>638</v>
      </c>
      <c r="I149" s="60" t="s">
        <v>639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</row>
    <row r="150">
      <c r="A150" s="60" t="s">
        <v>642</v>
      </c>
      <c r="B150" s="60" t="s">
        <v>373</v>
      </c>
      <c r="C150" s="60" t="str">
        <f t="shared" si="1"/>
        <v>blue ray tail (Mantine)</v>
      </c>
      <c r="D150" s="60">
        <v>500.0</v>
      </c>
      <c r="E150" s="60" t="s">
        <v>2</v>
      </c>
      <c r="F150" s="60">
        <v>7.0</v>
      </c>
      <c r="G150" s="60" t="str">
        <f t="shared" si="2"/>
        <v>Pokemon #7</v>
      </c>
      <c r="H150" s="60" t="s">
        <v>638</v>
      </c>
      <c r="I150" s="60" t="s">
        <v>639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</row>
    <row r="151">
      <c r="A151" s="60" t="s">
        <v>562</v>
      </c>
      <c r="B151" s="60" t="s">
        <v>481</v>
      </c>
      <c r="C151" s="60" t="str">
        <f t="shared" si="1"/>
        <v>enigma stone (Verificar aba de drops)</v>
      </c>
      <c r="D151" s="60">
        <v>1000.0</v>
      </c>
      <c r="E151" s="60" t="s">
        <v>2</v>
      </c>
      <c r="F151" s="60">
        <v>7.0</v>
      </c>
      <c r="G151" s="60" t="str">
        <f t="shared" si="2"/>
        <v>Pokemon #7</v>
      </c>
      <c r="H151" s="60" t="s">
        <v>638</v>
      </c>
      <c r="I151" s="60" t="s">
        <v>639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</row>
    <row r="152">
      <c r="A152" s="60" t="s">
        <v>461</v>
      </c>
      <c r="B152" s="60" t="s">
        <v>481</v>
      </c>
      <c r="C152" s="60" t="str">
        <f t="shared" si="1"/>
        <v>heart stone (Verificar aba de drops)</v>
      </c>
      <c r="D152" s="60">
        <v>500.0</v>
      </c>
      <c r="E152" s="60" t="s">
        <v>2</v>
      </c>
      <c r="F152" s="60">
        <v>7.0</v>
      </c>
      <c r="G152" s="60" t="str">
        <f t="shared" si="2"/>
        <v>Pokemon #7</v>
      </c>
      <c r="H152" s="60" t="s">
        <v>638</v>
      </c>
      <c r="I152" s="60" t="s">
        <v>639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</row>
    <row r="153">
      <c r="A153" s="61" t="s">
        <v>469</v>
      </c>
      <c r="B153" s="61" t="s">
        <v>469</v>
      </c>
      <c r="C153" s="61" t="str">
        <f t="shared" si="1"/>
        <v/>
      </c>
      <c r="D153" s="61"/>
      <c r="E153" s="61"/>
      <c r="F153" s="61"/>
      <c r="G153" s="61" t="str">
        <f t="shared" si="2"/>
        <v/>
      </c>
      <c r="H153" s="61"/>
      <c r="I153" s="61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</row>
    <row r="154">
      <c r="A154" s="60" t="s">
        <v>644</v>
      </c>
      <c r="B154" s="60" t="s">
        <v>481</v>
      </c>
      <c r="C154" s="60" t="str">
        <f t="shared" si="1"/>
        <v>arcane psychic orb (Verificar aba de drops)</v>
      </c>
      <c r="D154" s="60">
        <v>20.0</v>
      </c>
      <c r="E154" s="60" t="s">
        <v>2</v>
      </c>
      <c r="F154" s="60">
        <v>8.0</v>
      </c>
      <c r="G154" s="60" t="str">
        <f t="shared" si="2"/>
        <v>Pokemon #8</v>
      </c>
      <c r="H154" s="60" t="s">
        <v>645</v>
      </c>
      <c r="I154" s="60" t="s">
        <v>646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</row>
    <row r="155">
      <c r="A155" s="60" t="s">
        <v>559</v>
      </c>
      <c r="B155" s="60" t="s">
        <v>560</v>
      </c>
      <c r="C155" s="60" t="str">
        <f t="shared" si="1"/>
        <v>giraffe antenna (Girafarig)</v>
      </c>
      <c r="D155" s="60">
        <v>525.0</v>
      </c>
      <c r="E155" s="60" t="s">
        <v>2</v>
      </c>
      <c r="F155" s="60">
        <v>8.0</v>
      </c>
      <c r="G155" s="60" t="str">
        <f t="shared" si="2"/>
        <v>Pokemon #8</v>
      </c>
      <c r="H155" s="60" t="s">
        <v>645</v>
      </c>
      <c r="I155" s="60" t="s">
        <v>646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</row>
    <row r="156">
      <c r="A156" s="60" t="s">
        <v>640</v>
      </c>
      <c r="B156" s="60" t="s">
        <v>405</v>
      </c>
      <c r="C156" s="60" t="str">
        <f t="shared" si="1"/>
        <v>sea dragon fin (Kingdra)</v>
      </c>
      <c r="D156" s="60">
        <v>875.0</v>
      </c>
      <c r="E156" s="60" t="s">
        <v>2</v>
      </c>
      <c r="F156" s="60">
        <v>8.0</v>
      </c>
      <c r="G156" s="60" t="str">
        <f t="shared" si="2"/>
        <v>Pokemon #8</v>
      </c>
      <c r="H156" s="60" t="s">
        <v>645</v>
      </c>
      <c r="I156" s="60" t="s">
        <v>646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</row>
    <row r="157">
      <c r="A157" s="60" t="s">
        <v>641</v>
      </c>
      <c r="B157" s="60" t="s">
        <v>362</v>
      </c>
      <c r="C157" s="60" t="str">
        <f t="shared" si="1"/>
        <v>red hair (Feraligatr)</v>
      </c>
      <c r="D157" s="60">
        <v>525.0</v>
      </c>
      <c r="E157" s="60" t="s">
        <v>2</v>
      </c>
      <c r="F157" s="60">
        <v>8.0</v>
      </c>
      <c r="G157" s="60" t="str">
        <f t="shared" si="2"/>
        <v>Pokemon #8</v>
      </c>
      <c r="H157" s="60" t="s">
        <v>645</v>
      </c>
      <c r="I157" s="60" t="s">
        <v>646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</row>
    <row r="158">
      <c r="A158" s="60" t="s">
        <v>508</v>
      </c>
      <c r="B158" s="60" t="s">
        <v>131</v>
      </c>
      <c r="C158" s="60" t="str">
        <f t="shared" si="1"/>
        <v>water cannon (Blastoise)</v>
      </c>
      <c r="D158" s="60">
        <v>525.0</v>
      </c>
      <c r="E158" s="60" t="s">
        <v>2</v>
      </c>
      <c r="F158" s="60">
        <v>8.0</v>
      </c>
      <c r="G158" s="60" t="str">
        <f t="shared" si="2"/>
        <v>Pokemon #8</v>
      </c>
      <c r="H158" s="60" t="s">
        <v>645</v>
      </c>
      <c r="I158" s="60" t="s">
        <v>646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</row>
    <row r="159">
      <c r="A159" s="60" t="s">
        <v>642</v>
      </c>
      <c r="B159" s="60" t="s">
        <v>373</v>
      </c>
      <c r="C159" s="60" t="str">
        <f t="shared" si="1"/>
        <v>blue ray tail (Mantine)</v>
      </c>
      <c r="D159" s="60">
        <v>400.0</v>
      </c>
      <c r="E159" s="60" t="s">
        <v>2</v>
      </c>
      <c r="F159" s="60">
        <v>8.0</v>
      </c>
      <c r="G159" s="60" t="str">
        <f t="shared" si="2"/>
        <v>Pokemon #8</v>
      </c>
      <c r="H159" s="60" t="s">
        <v>645</v>
      </c>
      <c r="I159" s="60" t="s">
        <v>646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</row>
    <row r="160">
      <c r="A160" s="60" t="s">
        <v>562</v>
      </c>
      <c r="B160" s="60" t="s">
        <v>481</v>
      </c>
      <c r="C160" s="60" t="str">
        <f t="shared" si="1"/>
        <v>enigma stone (Verificar aba de drops)</v>
      </c>
      <c r="D160" s="60">
        <v>800.0</v>
      </c>
      <c r="E160" s="60" t="s">
        <v>2</v>
      </c>
      <c r="F160" s="60">
        <v>8.0</v>
      </c>
      <c r="G160" s="60" t="str">
        <f t="shared" si="2"/>
        <v>Pokemon #8</v>
      </c>
      <c r="H160" s="60" t="s">
        <v>645</v>
      </c>
      <c r="I160" s="60" t="s">
        <v>646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</row>
    <row r="161">
      <c r="A161" s="60" t="s">
        <v>461</v>
      </c>
      <c r="B161" s="60" t="s">
        <v>481</v>
      </c>
      <c r="C161" s="60" t="str">
        <f t="shared" si="1"/>
        <v>heart stone (Verificar aba de drops)</v>
      </c>
      <c r="D161" s="60">
        <v>800.0</v>
      </c>
      <c r="E161" s="60" t="s">
        <v>2</v>
      </c>
      <c r="F161" s="60">
        <v>8.0</v>
      </c>
      <c r="G161" s="60" t="str">
        <f t="shared" si="2"/>
        <v>Pokemon #8</v>
      </c>
      <c r="H161" s="60" t="s">
        <v>645</v>
      </c>
      <c r="I161" s="60" t="s">
        <v>646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</row>
    <row r="162">
      <c r="A162" s="61" t="s">
        <v>469</v>
      </c>
      <c r="B162" s="61" t="s">
        <v>469</v>
      </c>
      <c r="C162" s="61" t="str">
        <f t="shared" si="1"/>
        <v/>
      </c>
      <c r="D162" s="61"/>
      <c r="E162" s="61"/>
      <c r="F162" s="61"/>
      <c r="G162" s="61" t="str">
        <f t="shared" si="2"/>
        <v/>
      </c>
      <c r="H162" s="61"/>
      <c r="I162" s="61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</row>
    <row r="163">
      <c r="A163" s="60" t="s">
        <v>644</v>
      </c>
      <c r="B163" s="60" t="s">
        <v>481</v>
      </c>
      <c r="C163" s="60" t="str">
        <f t="shared" si="1"/>
        <v>arcane psychic orb (Verificar aba de drops)</v>
      </c>
      <c r="D163" s="60">
        <v>5.0</v>
      </c>
      <c r="E163" s="60" t="s">
        <v>2</v>
      </c>
      <c r="F163" s="60">
        <v>9.0</v>
      </c>
      <c r="G163" s="60" t="str">
        <f t="shared" si="2"/>
        <v>Pokemon #9</v>
      </c>
      <c r="H163" s="60" t="s">
        <v>666</v>
      </c>
      <c r="I163" s="60" t="s">
        <v>667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</row>
    <row r="164">
      <c r="A164" s="60" t="s">
        <v>559</v>
      </c>
      <c r="B164" s="60" t="s">
        <v>560</v>
      </c>
      <c r="C164" s="60" t="str">
        <f t="shared" si="1"/>
        <v>giraffe antenna (Girafarig)</v>
      </c>
      <c r="D164" s="60">
        <v>450.0</v>
      </c>
      <c r="E164" s="60" t="s">
        <v>2</v>
      </c>
      <c r="F164" s="60">
        <v>9.0</v>
      </c>
      <c r="G164" s="60" t="str">
        <f t="shared" si="2"/>
        <v>Pokemon #9</v>
      </c>
      <c r="H164" s="60" t="s">
        <v>666</v>
      </c>
      <c r="I164" s="60" t="s">
        <v>667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</row>
    <row r="165">
      <c r="A165" s="60" t="s">
        <v>640</v>
      </c>
      <c r="B165" s="60" t="s">
        <v>405</v>
      </c>
      <c r="C165" s="60" t="str">
        <f t="shared" si="1"/>
        <v>sea dragon fin (Kingdra)</v>
      </c>
      <c r="D165" s="60">
        <v>750.0</v>
      </c>
      <c r="E165" s="60" t="s">
        <v>2</v>
      </c>
      <c r="F165" s="60">
        <v>9.0</v>
      </c>
      <c r="G165" s="60" t="str">
        <f t="shared" si="2"/>
        <v>Pokemon #9</v>
      </c>
      <c r="H165" s="60" t="s">
        <v>666</v>
      </c>
      <c r="I165" s="60" t="s">
        <v>667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</row>
    <row r="166">
      <c r="A166" s="60" t="s">
        <v>641</v>
      </c>
      <c r="B166" s="60" t="s">
        <v>362</v>
      </c>
      <c r="C166" s="60" t="str">
        <f t="shared" si="1"/>
        <v>red hair (Feraligatr)</v>
      </c>
      <c r="D166" s="60">
        <v>450.0</v>
      </c>
      <c r="E166" s="60" t="s">
        <v>2</v>
      </c>
      <c r="F166" s="60">
        <v>9.0</v>
      </c>
      <c r="G166" s="60" t="str">
        <f t="shared" si="2"/>
        <v>Pokemon #9</v>
      </c>
      <c r="H166" s="60" t="s">
        <v>666</v>
      </c>
      <c r="I166" s="60" t="s">
        <v>667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</row>
    <row r="167">
      <c r="A167" s="60" t="s">
        <v>508</v>
      </c>
      <c r="B167" s="60" t="s">
        <v>131</v>
      </c>
      <c r="C167" s="60" t="str">
        <f t="shared" si="1"/>
        <v>water cannon (Blastoise)</v>
      </c>
      <c r="D167" s="60">
        <v>450.0</v>
      </c>
      <c r="E167" s="60" t="s">
        <v>2</v>
      </c>
      <c r="F167" s="60">
        <v>9.0</v>
      </c>
      <c r="G167" s="60" t="str">
        <f t="shared" si="2"/>
        <v>Pokemon #9</v>
      </c>
      <c r="H167" s="60" t="s">
        <v>666</v>
      </c>
      <c r="I167" s="60" t="s">
        <v>667</v>
      </c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</row>
    <row r="168">
      <c r="A168" s="60" t="s">
        <v>642</v>
      </c>
      <c r="B168" s="60" t="s">
        <v>373</v>
      </c>
      <c r="C168" s="60" t="str">
        <f t="shared" si="1"/>
        <v>blue ray tail (Mantine)</v>
      </c>
      <c r="D168" s="60">
        <v>375.0</v>
      </c>
      <c r="E168" s="60" t="s">
        <v>2</v>
      </c>
      <c r="F168" s="60">
        <v>9.0</v>
      </c>
      <c r="G168" s="60" t="str">
        <f t="shared" si="2"/>
        <v>Pokemon #9</v>
      </c>
      <c r="H168" s="60" t="s">
        <v>666</v>
      </c>
      <c r="I168" s="60" t="s">
        <v>667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</row>
    <row r="169">
      <c r="A169" s="60" t="s">
        <v>562</v>
      </c>
      <c r="B169" s="60" t="s">
        <v>481</v>
      </c>
      <c r="C169" s="60" t="str">
        <f t="shared" si="1"/>
        <v>enigma stone (Verificar aba de drops)</v>
      </c>
      <c r="D169" s="60">
        <v>400.0</v>
      </c>
      <c r="E169" s="60" t="s">
        <v>2</v>
      </c>
      <c r="F169" s="60">
        <v>9.0</v>
      </c>
      <c r="G169" s="60" t="str">
        <f t="shared" si="2"/>
        <v>Pokemon #9</v>
      </c>
      <c r="H169" s="60" t="s">
        <v>666</v>
      </c>
      <c r="I169" s="60" t="s">
        <v>667</v>
      </c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</row>
    <row r="170">
      <c r="A170" s="60" t="s">
        <v>461</v>
      </c>
      <c r="B170" s="60" t="s">
        <v>481</v>
      </c>
      <c r="C170" s="60" t="str">
        <f t="shared" si="1"/>
        <v>heart stone (Verificar aba de drops)</v>
      </c>
      <c r="D170" s="60">
        <v>400.0</v>
      </c>
      <c r="E170" s="60" t="s">
        <v>2</v>
      </c>
      <c r="F170" s="60">
        <v>9.0</v>
      </c>
      <c r="G170" s="60" t="str">
        <f t="shared" si="2"/>
        <v>Pokemon #9</v>
      </c>
      <c r="H170" s="60" t="s">
        <v>666</v>
      </c>
      <c r="I170" s="60" t="s">
        <v>667</v>
      </c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</row>
    <row r="171">
      <c r="A171" s="61" t="s">
        <v>469</v>
      </c>
      <c r="B171" s="61" t="s">
        <v>469</v>
      </c>
      <c r="C171" s="61" t="str">
        <f t="shared" si="1"/>
        <v/>
      </c>
      <c r="D171" s="61"/>
      <c r="E171" s="61"/>
      <c r="F171" s="61"/>
      <c r="G171" s="61" t="str">
        <f t="shared" si="2"/>
        <v/>
      </c>
      <c r="H171" s="61"/>
      <c r="I171" s="61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</row>
    <row r="172">
      <c r="A172" s="60" t="s">
        <v>670</v>
      </c>
      <c r="B172" s="60" t="s">
        <v>481</v>
      </c>
      <c r="C172" s="60" t="str">
        <f t="shared" si="1"/>
        <v>simple psychic orb (Verificar aba de drops)</v>
      </c>
      <c r="D172" s="60">
        <v>20.0</v>
      </c>
      <c r="E172" s="60" t="s">
        <v>2</v>
      </c>
      <c r="F172" s="60">
        <v>10.0</v>
      </c>
      <c r="G172" s="60" t="str">
        <f t="shared" si="2"/>
        <v>Pokemon #10</v>
      </c>
      <c r="H172" s="60" t="s">
        <v>666</v>
      </c>
      <c r="I172" s="60" t="s">
        <v>671</v>
      </c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</row>
    <row r="173">
      <c r="A173" s="60" t="s">
        <v>559</v>
      </c>
      <c r="B173" s="60" t="s">
        <v>560</v>
      </c>
      <c r="C173" s="60" t="str">
        <f t="shared" si="1"/>
        <v>giraffe antenna (Girafarig)</v>
      </c>
      <c r="D173" s="60">
        <v>420.0</v>
      </c>
      <c r="E173" s="60" t="s">
        <v>2</v>
      </c>
      <c r="F173" s="60">
        <v>10.0</v>
      </c>
      <c r="G173" s="60" t="str">
        <f t="shared" si="2"/>
        <v>Pokemon #10</v>
      </c>
      <c r="H173" s="60" t="s">
        <v>666</v>
      </c>
      <c r="I173" s="60" t="s">
        <v>671</v>
      </c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</row>
    <row r="174">
      <c r="A174" s="60" t="s">
        <v>640</v>
      </c>
      <c r="B174" s="60" t="s">
        <v>405</v>
      </c>
      <c r="C174" s="60" t="str">
        <f t="shared" si="1"/>
        <v>sea dragon fin (Kingdra)</v>
      </c>
      <c r="D174" s="60">
        <v>500.0</v>
      </c>
      <c r="E174" s="60" t="s">
        <v>2</v>
      </c>
      <c r="F174" s="60">
        <v>10.0</v>
      </c>
      <c r="G174" s="60" t="str">
        <f t="shared" si="2"/>
        <v>Pokemon #10</v>
      </c>
      <c r="H174" s="60" t="s">
        <v>666</v>
      </c>
      <c r="I174" s="60" t="s">
        <v>671</v>
      </c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</row>
    <row r="175">
      <c r="A175" s="60" t="s">
        <v>641</v>
      </c>
      <c r="B175" s="60" t="s">
        <v>362</v>
      </c>
      <c r="C175" s="60" t="str">
        <f t="shared" si="1"/>
        <v>red hair (Feraligatr)</v>
      </c>
      <c r="D175" s="60">
        <v>420.0</v>
      </c>
      <c r="E175" s="60" t="s">
        <v>2</v>
      </c>
      <c r="F175" s="60">
        <v>10.0</v>
      </c>
      <c r="G175" s="60" t="str">
        <f t="shared" si="2"/>
        <v>Pokemon #10</v>
      </c>
      <c r="H175" s="60" t="s">
        <v>666</v>
      </c>
      <c r="I175" s="60" t="s">
        <v>671</v>
      </c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</row>
    <row r="176">
      <c r="A176" s="60" t="s">
        <v>508</v>
      </c>
      <c r="B176" s="60" t="s">
        <v>131</v>
      </c>
      <c r="C176" s="60" t="str">
        <f t="shared" si="1"/>
        <v>water cannon (Blastoise)</v>
      </c>
      <c r="D176" s="60">
        <v>420.0</v>
      </c>
      <c r="E176" s="60" t="s">
        <v>2</v>
      </c>
      <c r="F176" s="60">
        <v>10.0</v>
      </c>
      <c r="G176" s="60" t="str">
        <f t="shared" si="2"/>
        <v>Pokemon #10</v>
      </c>
      <c r="H176" s="60" t="s">
        <v>666</v>
      </c>
      <c r="I176" s="60" t="s">
        <v>671</v>
      </c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</row>
    <row r="177">
      <c r="A177" s="60" t="s">
        <v>642</v>
      </c>
      <c r="B177" s="60" t="s">
        <v>373</v>
      </c>
      <c r="C177" s="60" t="str">
        <f t="shared" si="1"/>
        <v>blue ray tail (Mantine)</v>
      </c>
      <c r="D177" s="60">
        <v>350.0</v>
      </c>
      <c r="E177" s="60" t="s">
        <v>2</v>
      </c>
      <c r="F177" s="60">
        <v>10.0</v>
      </c>
      <c r="G177" s="60" t="str">
        <f t="shared" si="2"/>
        <v>Pokemon #10</v>
      </c>
      <c r="H177" s="60" t="s">
        <v>666</v>
      </c>
      <c r="I177" s="60" t="s">
        <v>671</v>
      </c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</row>
    <row r="178">
      <c r="A178" s="60" t="s">
        <v>562</v>
      </c>
      <c r="B178" s="60" t="s">
        <v>481</v>
      </c>
      <c r="C178" s="60" t="str">
        <f t="shared" si="1"/>
        <v>enigma stone (Verificar aba de drops)</v>
      </c>
      <c r="D178" s="60">
        <v>200.0</v>
      </c>
      <c r="E178" s="60" t="s">
        <v>2</v>
      </c>
      <c r="F178" s="60">
        <v>10.0</v>
      </c>
      <c r="G178" s="60" t="str">
        <f t="shared" si="2"/>
        <v>Pokemon #10</v>
      </c>
      <c r="H178" s="60" t="s">
        <v>666</v>
      </c>
      <c r="I178" s="60" t="s">
        <v>671</v>
      </c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</row>
    <row r="179">
      <c r="A179" s="60" t="s">
        <v>461</v>
      </c>
      <c r="B179" s="60" t="s">
        <v>481</v>
      </c>
      <c r="C179" s="60" t="str">
        <f t="shared" si="1"/>
        <v>heart stone (Verificar aba de drops)</v>
      </c>
      <c r="D179" s="60">
        <v>200.0</v>
      </c>
      <c r="E179" s="60" t="s">
        <v>2</v>
      </c>
      <c r="F179" s="60">
        <v>10.0</v>
      </c>
      <c r="G179" s="60" t="str">
        <f t="shared" si="2"/>
        <v>Pokemon #10</v>
      </c>
      <c r="H179" s="60" t="s">
        <v>666</v>
      </c>
      <c r="I179" s="60" t="s">
        <v>671</v>
      </c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</row>
    <row r="180">
      <c r="A180" s="61" t="s">
        <v>469</v>
      </c>
      <c r="B180" s="61" t="s">
        <v>469</v>
      </c>
      <c r="C180" s="61" t="str">
        <f t="shared" si="1"/>
        <v/>
      </c>
      <c r="D180" s="61"/>
      <c r="E180" s="61"/>
      <c r="F180" s="61"/>
      <c r="G180" s="61" t="str">
        <f t="shared" si="2"/>
        <v/>
      </c>
      <c r="H180" s="61"/>
      <c r="I180" s="61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</row>
    <row r="181">
      <c r="A181" s="60" t="s">
        <v>670</v>
      </c>
      <c r="B181" s="60" t="s">
        <v>481</v>
      </c>
      <c r="C181" s="60" t="str">
        <f t="shared" si="1"/>
        <v>simple psychic orb (Verificar aba de drops)</v>
      </c>
      <c r="D181" s="60">
        <v>10.0</v>
      </c>
      <c r="E181" s="60" t="s">
        <v>2</v>
      </c>
      <c r="F181" s="60">
        <v>11.0</v>
      </c>
      <c r="G181" s="60" t="str">
        <f t="shared" si="2"/>
        <v>Pokemon #11</v>
      </c>
      <c r="H181" s="60" t="s">
        <v>666</v>
      </c>
      <c r="I181" s="60" t="s">
        <v>674</v>
      </c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</row>
    <row r="182">
      <c r="A182" s="60" t="s">
        <v>559</v>
      </c>
      <c r="B182" s="60" t="s">
        <v>560</v>
      </c>
      <c r="C182" s="60" t="str">
        <f t="shared" si="1"/>
        <v>giraffe antenna (Girafarig)</v>
      </c>
      <c r="D182" s="60">
        <v>360.0</v>
      </c>
      <c r="E182" s="60" t="s">
        <v>2</v>
      </c>
      <c r="F182" s="60">
        <v>11.0</v>
      </c>
      <c r="G182" s="60" t="str">
        <f t="shared" si="2"/>
        <v>Pokemon #11</v>
      </c>
      <c r="H182" s="60" t="s">
        <v>666</v>
      </c>
      <c r="I182" s="60" t="s">
        <v>674</v>
      </c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</row>
    <row r="183">
      <c r="A183" s="60" t="s">
        <v>640</v>
      </c>
      <c r="B183" s="60" t="s">
        <v>405</v>
      </c>
      <c r="C183" s="60" t="str">
        <f t="shared" si="1"/>
        <v>sea dragon fin (Kingdra)</v>
      </c>
      <c r="D183" s="60">
        <v>600.0</v>
      </c>
      <c r="E183" s="60" t="s">
        <v>2</v>
      </c>
      <c r="F183" s="60">
        <v>11.0</v>
      </c>
      <c r="G183" s="60" t="str">
        <f t="shared" si="2"/>
        <v>Pokemon #11</v>
      </c>
      <c r="H183" s="60" t="s">
        <v>666</v>
      </c>
      <c r="I183" s="60" t="s">
        <v>674</v>
      </c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</row>
    <row r="184">
      <c r="A184" s="60" t="s">
        <v>641</v>
      </c>
      <c r="B184" s="60" t="s">
        <v>362</v>
      </c>
      <c r="C184" s="60" t="str">
        <f t="shared" si="1"/>
        <v>red hair (Feraligatr)</v>
      </c>
      <c r="D184" s="60">
        <v>360.0</v>
      </c>
      <c r="E184" s="60" t="s">
        <v>2</v>
      </c>
      <c r="F184" s="60">
        <v>11.0</v>
      </c>
      <c r="G184" s="60" t="str">
        <f t="shared" si="2"/>
        <v>Pokemon #11</v>
      </c>
      <c r="H184" s="60" t="s">
        <v>666</v>
      </c>
      <c r="I184" s="60" t="s">
        <v>674</v>
      </c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</row>
    <row r="185">
      <c r="A185" s="60" t="s">
        <v>508</v>
      </c>
      <c r="B185" s="60" t="s">
        <v>131</v>
      </c>
      <c r="C185" s="60" t="str">
        <f t="shared" si="1"/>
        <v>water cannon (Blastoise)</v>
      </c>
      <c r="D185" s="60">
        <v>360.0</v>
      </c>
      <c r="E185" s="60" t="s">
        <v>2</v>
      </c>
      <c r="F185" s="60">
        <v>11.0</v>
      </c>
      <c r="G185" s="60" t="str">
        <f t="shared" si="2"/>
        <v>Pokemon #11</v>
      </c>
      <c r="H185" s="60" t="s">
        <v>666</v>
      </c>
      <c r="I185" s="60" t="s">
        <v>674</v>
      </c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</row>
    <row r="186">
      <c r="A186" s="60" t="s">
        <v>642</v>
      </c>
      <c r="B186" s="60" t="s">
        <v>373</v>
      </c>
      <c r="C186" s="60" t="str">
        <f t="shared" si="1"/>
        <v>blue ray tail (Mantine)</v>
      </c>
      <c r="D186" s="60">
        <v>300.0</v>
      </c>
      <c r="E186" s="60" t="s">
        <v>2</v>
      </c>
      <c r="F186" s="60">
        <v>11.0</v>
      </c>
      <c r="G186" s="60" t="str">
        <f t="shared" si="2"/>
        <v>Pokemon #11</v>
      </c>
      <c r="H186" s="60" t="s">
        <v>666</v>
      </c>
      <c r="I186" s="60" t="s">
        <v>674</v>
      </c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</row>
    <row r="187">
      <c r="A187" s="60" t="s">
        <v>562</v>
      </c>
      <c r="B187" s="60" t="s">
        <v>481</v>
      </c>
      <c r="C187" s="60" t="str">
        <f t="shared" si="1"/>
        <v>enigma stone (Verificar aba de drops)</v>
      </c>
      <c r="D187" s="60">
        <v>100.0</v>
      </c>
      <c r="E187" s="60" t="s">
        <v>2</v>
      </c>
      <c r="F187" s="60">
        <v>11.0</v>
      </c>
      <c r="G187" s="60" t="str">
        <f t="shared" si="2"/>
        <v>Pokemon #11</v>
      </c>
      <c r="H187" s="60" t="s">
        <v>666</v>
      </c>
      <c r="I187" s="60" t="s">
        <v>674</v>
      </c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</row>
    <row r="188">
      <c r="A188" s="60" t="s">
        <v>461</v>
      </c>
      <c r="B188" s="60" t="s">
        <v>481</v>
      </c>
      <c r="C188" s="60" t="str">
        <f t="shared" si="1"/>
        <v>heart stone (Verificar aba de drops)</v>
      </c>
      <c r="D188" s="60">
        <v>100.0</v>
      </c>
      <c r="E188" s="60" t="s">
        <v>2</v>
      </c>
      <c r="F188" s="60">
        <v>11.0</v>
      </c>
      <c r="G188" s="60" t="str">
        <f t="shared" si="2"/>
        <v>Pokemon #11</v>
      </c>
      <c r="H188" s="60" t="s">
        <v>666</v>
      </c>
      <c r="I188" s="60" t="s">
        <v>674</v>
      </c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</row>
    <row r="189">
      <c r="A189" s="61" t="s">
        <v>469</v>
      </c>
      <c r="B189" s="61" t="s">
        <v>469</v>
      </c>
      <c r="C189" s="61" t="str">
        <f t="shared" si="1"/>
        <v/>
      </c>
      <c r="D189" s="61"/>
      <c r="E189" s="61"/>
      <c r="F189" s="61"/>
      <c r="G189" s="61" t="str">
        <f t="shared" si="2"/>
        <v/>
      </c>
      <c r="H189" s="61"/>
      <c r="I189" s="61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</row>
    <row r="190">
      <c r="A190" s="60" t="s">
        <v>559</v>
      </c>
      <c r="B190" s="60" t="s">
        <v>560</v>
      </c>
      <c r="C190" s="60" t="str">
        <f t="shared" si="1"/>
        <v>giraffe antenna (Girafarig)</v>
      </c>
      <c r="D190" s="60">
        <v>300.0</v>
      </c>
      <c r="E190" s="60" t="s">
        <v>2</v>
      </c>
      <c r="F190" s="60">
        <v>12.0</v>
      </c>
      <c r="G190" s="60" t="str">
        <f t="shared" si="2"/>
        <v>Pokemon #12</v>
      </c>
      <c r="H190" s="60" t="s">
        <v>666</v>
      </c>
      <c r="I190" s="60" t="s">
        <v>679</v>
      </c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</row>
    <row r="191">
      <c r="A191" s="60" t="s">
        <v>640</v>
      </c>
      <c r="B191" s="60" t="s">
        <v>405</v>
      </c>
      <c r="C191" s="60" t="str">
        <f t="shared" si="1"/>
        <v>sea dragon fin (Kingdra)</v>
      </c>
      <c r="D191" s="60">
        <v>500.0</v>
      </c>
      <c r="E191" s="60" t="s">
        <v>2</v>
      </c>
      <c r="F191" s="60">
        <v>12.0</v>
      </c>
      <c r="G191" s="60" t="str">
        <f t="shared" si="2"/>
        <v>Pokemon #12</v>
      </c>
      <c r="H191" s="60" t="s">
        <v>666</v>
      </c>
      <c r="I191" s="60" t="s">
        <v>679</v>
      </c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</row>
    <row r="192">
      <c r="A192" s="60" t="s">
        <v>641</v>
      </c>
      <c r="B192" s="60" t="s">
        <v>362</v>
      </c>
      <c r="C192" s="60" t="str">
        <f t="shared" si="1"/>
        <v>red hair (Feraligatr)</v>
      </c>
      <c r="D192" s="60">
        <v>300.0</v>
      </c>
      <c r="E192" s="60" t="s">
        <v>2</v>
      </c>
      <c r="F192" s="60">
        <v>12.0</v>
      </c>
      <c r="G192" s="60" t="str">
        <f t="shared" si="2"/>
        <v>Pokemon #12</v>
      </c>
      <c r="H192" s="60" t="s">
        <v>666</v>
      </c>
      <c r="I192" s="60" t="s">
        <v>679</v>
      </c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</row>
    <row r="193">
      <c r="A193" s="60" t="s">
        <v>508</v>
      </c>
      <c r="B193" s="60" t="s">
        <v>131</v>
      </c>
      <c r="C193" s="60" t="str">
        <f t="shared" si="1"/>
        <v>water cannon (Blastoise)</v>
      </c>
      <c r="D193" s="60">
        <v>300.0</v>
      </c>
      <c r="E193" s="60" t="s">
        <v>2</v>
      </c>
      <c r="F193" s="60">
        <v>12.0</v>
      </c>
      <c r="G193" s="60" t="str">
        <f t="shared" si="2"/>
        <v>Pokemon #12</v>
      </c>
      <c r="H193" s="60" t="s">
        <v>666</v>
      </c>
      <c r="I193" s="60" t="s">
        <v>679</v>
      </c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</row>
    <row r="194">
      <c r="A194" s="60" t="s">
        <v>642</v>
      </c>
      <c r="B194" s="60" t="s">
        <v>373</v>
      </c>
      <c r="C194" s="60" t="str">
        <f t="shared" si="1"/>
        <v>blue ray tail (Mantine)</v>
      </c>
      <c r="D194" s="60">
        <v>250.0</v>
      </c>
      <c r="E194" s="60" t="s">
        <v>2</v>
      </c>
      <c r="F194" s="60">
        <v>12.0</v>
      </c>
      <c r="G194" s="60" t="str">
        <f t="shared" si="2"/>
        <v>Pokemon #12</v>
      </c>
      <c r="H194" s="60" t="s">
        <v>666</v>
      </c>
      <c r="I194" s="60" t="s">
        <v>679</v>
      </c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</row>
    <row r="195">
      <c r="A195" s="60" t="s">
        <v>562</v>
      </c>
      <c r="B195" s="60" t="s">
        <v>481</v>
      </c>
      <c r="C195" s="60" t="str">
        <f t="shared" si="1"/>
        <v>enigma stone (Verificar aba de drops)</v>
      </c>
      <c r="D195" s="60">
        <v>50.0</v>
      </c>
      <c r="E195" s="60" t="s">
        <v>2</v>
      </c>
      <c r="F195" s="60">
        <v>12.0</v>
      </c>
      <c r="G195" s="60" t="str">
        <f t="shared" si="2"/>
        <v>Pokemon #12</v>
      </c>
      <c r="H195" s="60" t="s">
        <v>666</v>
      </c>
      <c r="I195" s="60" t="s">
        <v>679</v>
      </c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</row>
    <row r="196">
      <c r="A196" s="60" t="s">
        <v>461</v>
      </c>
      <c r="B196" s="60" t="s">
        <v>481</v>
      </c>
      <c r="C196" s="60" t="str">
        <f t="shared" si="1"/>
        <v>heart stone (Verificar aba de drops)</v>
      </c>
      <c r="D196" s="60">
        <v>50.0</v>
      </c>
      <c r="E196" s="60" t="s">
        <v>2</v>
      </c>
      <c r="F196" s="60">
        <v>12.0</v>
      </c>
      <c r="G196" s="60" t="str">
        <f t="shared" si="2"/>
        <v>Pokemon #12</v>
      </c>
      <c r="H196" s="60" t="s">
        <v>666</v>
      </c>
      <c r="I196" s="60" t="s">
        <v>679</v>
      </c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</row>
    <row r="197">
      <c r="A197" s="52" t="s">
        <v>469</v>
      </c>
      <c r="B197" s="52" t="s">
        <v>469</v>
      </c>
      <c r="C197" s="52" t="str">
        <f t="shared" si="1"/>
        <v/>
      </c>
      <c r="D197" s="52"/>
      <c r="E197" s="52"/>
      <c r="F197" s="52"/>
      <c r="G197" s="52" t="str">
        <f t="shared" si="2"/>
        <v/>
      </c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</row>
    <row r="198">
      <c r="A198" s="52" t="s">
        <v>469</v>
      </c>
      <c r="B198" s="52" t="s">
        <v>469</v>
      </c>
      <c r="C198" s="52" t="str">
        <f t="shared" si="1"/>
        <v/>
      </c>
      <c r="D198" s="52"/>
      <c r="E198" s="52"/>
      <c r="F198" s="52"/>
      <c r="G198" s="52" t="str">
        <f t="shared" si="2"/>
        <v/>
      </c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</row>
    <row r="199">
      <c r="A199" s="56" t="s">
        <v>693</v>
      </c>
      <c r="B199" s="56" t="s">
        <v>481</v>
      </c>
      <c r="C199" s="56" t="str">
        <f t="shared" si="1"/>
        <v>mythic ice orb (Verificar aba de drops)</v>
      </c>
      <c r="D199" s="56">
        <v>3.0</v>
      </c>
      <c r="E199" s="56" t="s">
        <v>2</v>
      </c>
      <c r="F199" s="56">
        <v>13.0</v>
      </c>
      <c r="G199" s="56" t="str">
        <f t="shared" si="2"/>
        <v>Pokemon #13</v>
      </c>
      <c r="H199" s="56" t="s">
        <v>694</v>
      </c>
      <c r="I199" s="56" t="s">
        <v>695</v>
      </c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</row>
    <row r="200">
      <c r="A200" s="56" t="s">
        <v>696</v>
      </c>
      <c r="B200" s="56" t="s">
        <v>697</v>
      </c>
      <c r="C200" s="56" t="str">
        <f t="shared" si="1"/>
        <v>pieces of shell (Cloyster)</v>
      </c>
      <c r="D200" s="56">
        <v>600.0</v>
      </c>
      <c r="E200" s="56" t="s">
        <v>2</v>
      </c>
      <c r="F200" s="56">
        <v>13.0</v>
      </c>
      <c r="G200" s="56" t="str">
        <f t="shared" si="2"/>
        <v>Pokemon #13</v>
      </c>
      <c r="H200" s="56" t="s">
        <v>694</v>
      </c>
      <c r="I200" s="56" t="s">
        <v>695</v>
      </c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</row>
    <row r="201">
      <c r="A201" s="56" t="s">
        <v>699</v>
      </c>
      <c r="B201" s="56" t="s">
        <v>618</v>
      </c>
      <c r="C201" s="56" t="str">
        <f t="shared" si="1"/>
        <v>dragonair tail (Dragonair)</v>
      </c>
      <c r="D201" s="56">
        <v>1000.0</v>
      </c>
      <c r="E201" s="56" t="s">
        <v>2</v>
      </c>
      <c r="F201" s="56">
        <v>13.0</v>
      </c>
      <c r="G201" s="56" t="str">
        <f t="shared" si="2"/>
        <v>Pokemon #13</v>
      </c>
      <c r="H201" s="56" t="s">
        <v>694</v>
      </c>
      <c r="I201" s="56" t="s">
        <v>695</v>
      </c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</row>
    <row r="202">
      <c r="A202" s="56" t="s">
        <v>701</v>
      </c>
      <c r="B202" s="56" t="s">
        <v>369</v>
      </c>
      <c r="C202" s="56" t="str">
        <f t="shared" si="1"/>
        <v>psychic wig (Jynx)</v>
      </c>
      <c r="D202" s="56">
        <v>600.0</v>
      </c>
      <c r="E202" s="56" t="s">
        <v>2</v>
      </c>
      <c r="F202" s="56">
        <v>13.0</v>
      </c>
      <c r="G202" s="56" t="str">
        <f t="shared" si="2"/>
        <v>Pokemon #13</v>
      </c>
      <c r="H202" s="56" t="s">
        <v>694</v>
      </c>
      <c r="I202" s="56" t="s">
        <v>695</v>
      </c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</row>
    <row r="203">
      <c r="A203" s="56" t="s">
        <v>702</v>
      </c>
      <c r="B203" s="56" t="s">
        <v>703</v>
      </c>
      <c r="C203" s="56" t="str">
        <f t="shared" si="1"/>
        <v>dewgong tail (Dewgong)</v>
      </c>
      <c r="D203" s="56">
        <v>600.0</v>
      </c>
      <c r="E203" s="56" t="s">
        <v>2</v>
      </c>
      <c r="F203" s="56">
        <v>13.0</v>
      </c>
      <c r="G203" s="56" t="str">
        <f t="shared" si="2"/>
        <v>Pokemon #13</v>
      </c>
      <c r="H203" s="56" t="s">
        <v>694</v>
      </c>
      <c r="I203" s="56" t="s">
        <v>695</v>
      </c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</row>
    <row r="204">
      <c r="A204" s="56" t="s">
        <v>704</v>
      </c>
      <c r="B204" s="56" t="s">
        <v>662</v>
      </c>
      <c r="C204" s="56" t="str">
        <f t="shared" si="1"/>
        <v>dragonite tail (Dragonite)</v>
      </c>
      <c r="D204" s="56">
        <v>500.0</v>
      </c>
      <c r="E204" s="56" t="s">
        <v>2</v>
      </c>
      <c r="F204" s="56">
        <v>13.0</v>
      </c>
      <c r="G204" s="56" t="str">
        <f t="shared" si="2"/>
        <v>Pokemon #13</v>
      </c>
      <c r="H204" s="56" t="s">
        <v>694</v>
      </c>
      <c r="I204" s="56" t="s">
        <v>695</v>
      </c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</row>
    <row r="205">
      <c r="A205" s="56" t="s">
        <v>511</v>
      </c>
      <c r="B205" s="56" t="s">
        <v>481</v>
      </c>
      <c r="C205" s="56" t="str">
        <f t="shared" si="1"/>
        <v>ice stone (Verificar aba de drops)</v>
      </c>
      <c r="D205" s="56">
        <v>1000.0</v>
      </c>
      <c r="E205" s="56" t="s">
        <v>2</v>
      </c>
      <c r="F205" s="56">
        <v>13.0</v>
      </c>
      <c r="G205" s="56" t="str">
        <f t="shared" si="2"/>
        <v>Pokemon #13</v>
      </c>
      <c r="H205" s="56" t="s">
        <v>694</v>
      </c>
      <c r="I205" s="56" t="s">
        <v>695</v>
      </c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</row>
    <row r="206">
      <c r="A206" s="56" t="s">
        <v>619</v>
      </c>
      <c r="B206" s="56" t="s">
        <v>481</v>
      </c>
      <c r="C206" s="56" t="str">
        <f t="shared" si="1"/>
        <v>crystal stone (Verificar aba de drops)</v>
      </c>
      <c r="D206" s="56">
        <v>500.0</v>
      </c>
      <c r="E206" s="56" t="s">
        <v>2</v>
      </c>
      <c r="F206" s="56">
        <v>13.0</v>
      </c>
      <c r="G206" s="56" t="str">
        <f t="shared" si="2"/>
        <v>Pokemon #13</v>
      </c>
      <c r="H206" s="56" t="s">
        <v>694</v>
      </c>
      <c r="I206" s="56" t="s">
        <v>695</v>
      </c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</row>
    <row r="207">
      <c r="A207" s="52" t="s">
        <v>469</v>
      </c>
      <c r="B207" s="52" t="s">
        <v>469</v>
      </c>
      <c r="C207" s="52" t="str">
        <f t="shared" si="1"/>
        <v/>
      </c>
      <c r="D207" s="52"/>
      <c r="E207" s="52"/>
      <c r="F207" s="52"/>
      <c r="G207" s="52" t="str">
        <f t="shared" si="2"/>
        <v/>
      </c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</row>
    <row r="208">
      <c r="A208" s="56" t="s">
        <v>693</v>
      </c>
      <c r="B208" s="56" t="s">
        <v>481</v>
      </c>
      <c r="C208" s="56" t="str">
        <f t="shared" si="1"/>
        <v>mythic ice orb (Verificar aba de drops)</v>
      </c>
      <c r="D208" s="56">
        <v>20.0</v>
      </c>
      <c r="E208" s="56" t="s">
        <v>2</v>
      </c>
      <c r="F208" s="56">
        <v>14.0</v>
      </c>
      <c r="G208" s="56" t="str">
        <f t="shared" si="2"/>
        <v>Pokemon #14</v>
      </c>
      <c r="H208" s="56" t="s">
        <v>705</v>
      </c>
      <c r="I208" s="56" t="s">
        <v>706</v>
      </c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</row>
    <row r="209">
      <c r="A209" s="56" t="s">
        <v>696</v>
      </c>
      <c r="B209" s="56" t="s">
        <v>697</v>
      </c>
      <c r="C209" s="56" t="str">
        <f t="shared" si="1"/>
        <v>pieces of shell (Cloyster)</v>
      </c>
      <c r="D209" s="56">
        <v>525.0</v>
      </c>
      <c r="E209" s="56" t="s">
        <v>2</v>
      </c>
      <c r="F209" s="56">
        <v>14.0</v>
      </c>
      <c r="G209" s="56" t="str">
        <f t="shared" si="2"/>
        <v>Pokemon #14</v>
      </c>
      <c r="H209" s="56" t="s">
        <v>705</v>
      </c>
      <c r="I209" s="56" t="s">
        <v>706</v>
      </c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</row>
    <row r="210">
      <c r="A210" s="56" t="s">
        <v>699</v>
      </c>
      <c r="B210" s="56" t="s">
        <v>618</v>
      </c>
      <c r="C210" s="56" t="str">
        <f t="shared" si="1"/>
        <v>dragonair tail (Dragonair)</v>
      </c>
      <c r="D210" s="56">
        <v>875.0</v>
      </c>
      <c r="E210" s="56" t="s">
        <v>2</v>
      </c>
      <c r="F210" s="56">
        <v>14.0</v>
      </c>
      <c r="G210" s="56" t="str">
        <f t="shared" si="2"/>
        <v>Pokemon #14</v>
      </c>
      <c r="H210" s="56" t="s">
        <v>705</v>
      </c>
      <c r="I210" s="56" t="s">
        <v>706</v>
      </c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</row>
    <row r="211">
      <c r="A211" s="56" t="s">
        <v>701</v>
      </c>
      <c r="B211" s="56" t="s">
        <v>369</v>
      </c>
      <c r="C211" s="56" t="str">
        <f t="shared" si="1"/>
        <v>psychic wig (Jynx)</v>
      </c>
      <c r="D211" s="56">
        <v>525.0</v>
      </c>
      <c r="E211" s="56" t="s">
        <v>2</v>
      </c>
      <c r="F211" s="56">
        <v>14.0</v>
      </c>
      <c r="G211" s="56" t="str">
        <f t="shared" si="2"/>
        <v>Pokemon #14</v>
      </c>
      <c r="H211" s="56" t="s">
        <v>705</v>
      </c>
      <c r="I211" s="56" t="s">
        <v>706</v>
      </c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</row>
    <row r="212">
      <c r="A212" s="56" t="s">
        <v>702</v>
      </c>
      <c r="B212" s="56" t="s">
        <v>703</v>
      </c>
      <c r="C212" s="56" t="str">
        <f t="shared" si="1"/>
        <v>dewgong tail (Dewgong)</v>
      </c>
      <c r="D212" s="56">
        <v>525.0</v>
      </c>
      <c r="E212" s="56" t="s">
        <v>2</v>
      </c>
      <c r="F212" s="56">
        <v>14.0</v>
      </c>
      <c r="G212" s="56" t="str">
        <f t="shared" si="2"/>
        <v>Pokemon #14</v>
      </c>
      <c r="H212" s="56" t="s">
        <v>705</v>
      </c>
      <c r="I212" s="56" t="s">
        <v>706</v>
      </c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</row>
    <row r="213">
      <c r="A213" s="56" t="s">
        <v>704</v>
      </c>
      <c r="B213" s="56" t="s">
        <v>662</v>
      </c>
      <c r="C213" s="56" t="str">
        <f t="shared" si="1"/>
        <v>dragonite tail (Dragonite)</v>
      </c>
      <c r="D213" s="56">
        <v>400.0</v>
      </c>
      <c r="E213" s="56" t="s">
        <v>2</v>
      </c>
      <c r="F213" s="56">
        <v>14.0</v>
      </c>
      <c r="G213" s="56" t="str">
        <f t="shared" si="2"/>
        <v>Pokemon #14</v>
      </c>
      <c r="H213" s="56" t="s">
        <v>705</v>
      </c>
      <c r="I213" s="56" t="s">
        <v>706</v>
      </c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</row>
    <row r="214">
      <c r="A214" s="56" t="s">
        <v>511</v>
      </c>
      <c r="B214" s="56" t="s">
        <v>481</v>
      </c>
      <c r="C214" s="56" t="str">
        <f t="shared" si="1"/>
        <v>ice stone (Verificar aba de drops)</v>
      </c>
      <c r="D214" s="56">
        <v>800.0</v>
      </c>
      <c r="E214" s="56" t="s">
        <v>2</v>
      </c>
      <c r="F214" s="56">
        <v>14.0</v>
      </c>
      <c r="G214" s="56" t="str">
        <f t="shared" si="2"/>
        <v>Pokemon #14</v>
      </c>
      <c r="H214" s="56" t="s">
        <v>705</v>
      </c>
      <c r="I214" s="56" t="s">
        <v>706</v>
      </c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</row>
    <row r="215">
      <c r="A215" s="56" t="s">
        <v>619</v>
      </c>
      <c r="B215" s="56" t="s">
        <v>481</v>
      </c>
      <c r="C215" s="56" t="str">
        <f t="shared" si="1"/>
        <v>crystal stone (Verificar aba de drops)</v>
      </c>
      <c r="D215" s="56">
        <v>400.0</v>
      </c>
      <c r="E215" s="56" t="s">
        <v>2</v>
      </c>
      <c r="F215" s="56">
        <v>14.0</v>
      </c>
      <c r="G215" s="56" t="str">
        <f t="shared" si="2"/>
        <v>Pokemon #14</v>
      </c>
      <c r="H215" s="56" t="s">
        <v>705</v>
      </c>
      <c r="I215" s="56" t="s">
        <v>706</v>
      </c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</row>
    <row r="216">
      <c r="A216" s="52" t="s">
        <v>469</v>
      </c>
      <c r="B216" s="52" t="s">
        <v>469</v>
      </c>
      <c r="C216" s="52" t="str">
        <f t="shared" si="1"/>
        <v/>
      </c>
      <c r="D216" s="52"/>
      <c r="E216" s="52"/>
      <c r="F216" s="52"/>
      <c r="G216" s="52" t="str">
        <f t="shared" si="2"/>
        <v/>
      </c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</row>
    <row r="217">
      <c r="A217" s="56" t="s">
        <v>693</v>
      </c>
      <c r="B217" s="56" t="s">
        <v>481</v>
      </c>
      <c r="C217" s="56" t="str">
        <f t="shared" si="1"/>
        <v>mythic ice orb (Verificar aba de drops)</v>
      </c>
      <c r="D217" s="56">
        <v>5.0</v>
      </c>
      <c r="E217" s="56" t="s">
        <v>2</v>
      </c>
      <c r="F217" s="56">
        <v>15.0</v>
      </c>
      <c r="G217" s="56" t="str">
        <f t="shared" si="2"/>
        <v>Pokemon #15</v>
      </c>
      <c r="H217" s="56" t="s">
        <v>718</v>
      </c>
      <c r="I217" s="56" t="s">
        <v>719</v>
      </c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</row>
    <row r="218">
      <c r="A218" s="56" t="s">
        <v>696</v>
      </c>
      <c r="B218" s="56" t="s">
        <v>697</v>
      </c>
      <c r="C218" s="56" t="str">
        <f t="shared" si="1"/>
        <v>pieces of shell (Cloyster)</v>
      </c>
      <c r="D218" s="56">
        <v>450.0</v>
      </c>
      <c r="E218" s="56" t="s">
        <v>2</v>
      </c>
      <c r="F218" s="56">
        <v>15.0</v>
      </c>
      <c r="G218" s="56" t="str">
        <f t="shared" si="2"/>
        <v>Pokemon #15</v>
      </c>
      <c r="H218" s="56" t="s">
        <v>718</v>
      </c>
      <c r="I218" s="56" t="s">
        <v>719</v>
      </c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</row>
    <row r="219">
      <c r="A219" s="56" t="s">
        <v>699</v>
      </c>
      <c r="B219" s="56" t="s">
        <v>618</v>
      </c>
      <c r="C219" s="56" t="str">
        <f t="shared" si="1"/>
        <v>dragonair tail (Dragonair)</v>
      </c>
      <c r="D219" s="56">
        <v>750.0</v>
      </c>
      <c r="E219" s="56" t="s">
        <v>2</v>
      </c>
      <c r="F219" s="56">
        <v>15.0</v>
      </c>
      <c r="G219" s="56" t="str">
        <f t="shared" si="2"/>
        <v>Pokemon #15</v>
      </c>
      <c r="H219" s="56" t="s">
        <v>718</v>
      </c>
      <c r="I219" s="56" t="s">
        <v>719</v>
      </c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</row>
    <row r="220">
      <c r="A220" s="56" t="s">
        <v>701</v>
      </c>
      <c r="B220" s="56" t="s">
        <v>369</v>
      </c>
      <c r="C220" s="56" t="str">
        <f t="shared" si="1"/>
        <v>psychic wig (Jynx)</v>
      </c>
      <c r="D220" s="56">
        <v>450.0</v>
      </c>
      <c r="E220" s="56" t="s">
        <v>2</v>
      </c>
      <c r="F220" s="56">
        <v>15.0</v>
      </c>
      <c r="G220" s="56" t="str">
        <f t="shared" si="2"/>
        <v>Pokemon #15</v>
      </c>
      <c r="H220" s="56" t="s">
        <v>718</v>
      </c>
      <c r="I220" s="56" t="s">
        <v>719</v>
      </c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</row>
    <row r="221">
      <c r="A221" s="56" t="s">
        <v>702</v>
      </c>
      <c r="B221" s="56" t="s">
        <v>703</v>
      </c>
      <c r="C221" s="56" t="str">
        <f t="shared" si="1"/>
        <v>dewgong tail (Dewgong)</v>
      </c>
      <c r="D221" s="56">
        <v>450.0</v>
      </c>
      <c r="E221" s="56" t="s">
        <v>2</v>
      </c>
      <c r="F221" s="56">
        <v>15.0</v>
      </c>
      <c r="G221" s="56" t="str">
        <f t="shared" si="2"/>
        <v>Pokemon #15</v>
      </c>
      <c r="H221" s="56" t="s">
        <v>718</v>
      </c>
      <c r="I221" s="56" t="s">
        <v>719</v>
      </c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</row>
    <row r="222">
      <c r="A222" s="56" t="s">
        <v>704</v>
      </c>
      <c r="B222" s="56" t="s">
        <v>662</v>
      </c>
      <c r="C222" s="56" t="str">
        <f t="shared" si="1"/>
        <v>dragonite tail (Dragonite)</v>
      </c>
      <c r="D222" s="56">
        <v>375.0</v>
      </c>
      <c r="E222" s="56" t="s">
        <v>2</v>
      </c>
      <c r="F222" s="56">
        <v>15.0</v>
      </c>
      <c r="G222" s="56" t="str">
        <f t="shared" si="2"/>
        <v>Pokemon #15</v>
      </c>
      <c r="H222" s="56" t="s">
        <v>718</v>
      </c>
      <c r="I222" s="56" t="s">
        <v>719</v>
      </c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</row>
    <row r="223">
      <c r="A223" s="56" t="s">
        <v>511</v>
      </c>
      <c r="B223" s="56" t="s">
        <v>481</v>
      </c>
      <c r="C223" s="56" t="str">
        <f t="shared" si="1"/>
        <v>ice stone (Verificar aba de drops)</v>
      </c>
      <c r="D223" s="56">
        <v>400.0</v>
      </c>
      <c r="E223" s="56" t="s">
        <v>2</v>
      </c>
      <c r="F223" s="56">
        <v>15.0</v>
      </c>
      <c r="G223" s="56" t="str">
        <f t="shared" si="2"/>
        <v>Pokemon #15</v>
      </c>
      <c r="H223" s="56" t="s">
        <v>718</v>
      </c>
      <c r="I223" s="56" t="s">
        <v>719</v>
      </c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</row>
    <row r="224">
      <c r="A224" s="56" t="s">
        <v>619</v>
      </c>
      <c r="B224" s="56" t="s">
        <v>481</v>
      </c>
      <c r="C224" s="56" t="str">
        <f t="shared" si="1"/>
        <v>crystal stone (Verificar aba de drops)</v>
      </c>
      <c r="D224" s="56">
        <v>200.0</v>
      </c>
      <c r="E224" s="56" t="s">
        <v>2</v>
      </c>
      <c r="F224" s="56">
        <v>15.0</v>
      </c>
      <c r="G224" s="56" t="str">
        <f t="shared" si="2"/>
        <v>Pokemon #15</v>
      </c>
      <c r="H224" s="56" t="s">
        <v>718</v>
      </c>
      <c r="I224" s="56" t="s">
        <v>719</v>
      </c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</row>
    <row r="225">
      <c r="A225" s="52" t="s">
        <v>469</v>
      </c>
      <c r="B225" s="52" t="s">
        <v>469</v>
      </c>
      <c r="C225" s="52" t="str">
        <f t="shared" si="1"/>
        <v/>
      </c>
      <c r="D225" s="52"/>
      <c r="E225" s="52"/>
      <c r="F225" s="52"/>
      <c r="G225" s="52" t="str">
        <f t="shared" si="2"/>
        <v/>
      </c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</row>
    <row r="226">
      <c r="A226" s="56" t="s">
        <v>693</v>
      </c>
      <c r="B226" s="56" t="s">
        <v>481</v>
      </c>
      <c r="C226" s="56" t="str">
        <f t="shared" si="1"/>
        <v>mythic ice orb (Verificar aba de drops)</v>
      </c>
      <c r="D226" s="56">
        <v>20.0</v>
      </c>
      <c r="E226" s="56" t="s">
        <v>2</v>
      </c>
      <c r="F226" s="56">
        <v>16.0</v>
      </c>
      <c r="G226" s="56" t="str">
        <f t="shared" si="2"/>
        <v>Pokemon #16</v>
      </c>
      <c r="H226" s="56" t="s">
        <v>718</v>
      </c>
      <c r="I226" s="56" t="s">
        <v>743</v>
      </c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</row>
    <row r="227">
      <c r="A227" s="56" t="s">
        <v>696</v>
      </c>
      <c r="B227" s="56" t="s">
        <v>697</v>
      </c>
      <c r="C227" s="56" t="str">
        <f t="shared" si="1"/>
        <v>pieces of shell (Cloyster)</v>
      </c>
      <c r="D227" s="56">
        <v>420.0</v>
      </c>
      <c r="E227" s="56" t="s">
        <v>2</v>
      </c>
      <c r="F227" s="56">
        <v>16.0</v>
      </c>
      <c r="G227" s="56" t="str">
        <f t="shared" si="2"/>
        <v>Pokemon #16</v>
      </c>
      <c r="H227" s="56" t="s">
        <v>718</v>
      </c>
      <c r="I227" s="56" t="s">
        <v>743</v>
      </c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</row>
    <row r="228">
      <c r="A228" s="56" t="s">
        <v>699</v>
      </c>
      <c r="B228" s="56" t="s">
        <v>618</v>
      </c>
      <c r="C228" s="56" t="str">
        <f t="shared" si="1"/>
        <v>dragonair tail (Dragonair)</v>
      </c>
      <c r="D228" s="56">
        <v>500.0</v>
      </c>
      <c r="E228" s="56" t="s">
        <v>2</v>
      </c>
      <c r="F228" s="56">
        <v>16.0</v>
      </c>
      <c r="G228" s="56" t="str">
        <f t="shared" si="2"/>
        <v>Pokemon #16</v>
      </c>
      <c r="H228" s="56" t="s">
        <v>718</v>
      </c>
      <c r="I228" s="56" t="s">
        <v>743</v>
      </c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</row>
    <row r="229">
      <c r="A229" s="56" t="s">
        <v>701</v>
      </c>
      <c r="B229" s="56" t="s">
        <v>369</v>
      </c>
      <c r="C229" s="56" t="str">
        <f t="shared" si="1"/>
        <v>psychic wig (Jynx)</v>
      </c>
      <c r="D229" s="56">
        <v>420.0</v>
      </c>
      <c r="E229" s="56" t="s">
        <v>2</v>
      </c>
      <c r="F229" s="56">
        <v>16.0</v>
      </c>
      <c r="G229" s="56" t="str">
        <f t="shared" si="2"/>
        <v>Pokemon #16</v>
      </c>
      <c r="H229" s="56" t="s">
        <v>718</v>
      </c>
      <c r="I229" s="56" t="s">
        <v>743</v>
      </c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</row>
    <row r="230">
      <c r="A230" s="56" t="s">
        <v>702</v>
      </c>
      <c r="B230" s="56" t="s">
        <v>703</v>
      </c>
      <c r="C230" s="56" t="str">
        <f t="shared" si="1"/>
        <v>dewgong tail (Dewgong)</v>
      </c>
      <c r="D230" s="56">
        <v>420.0</v>
      </c>
      <c r="E230" s="56" t="s">
        <v>2</v>
      </c>
      <c r="F230" s="56">
        <v>16.0</v>
      </c>
      <c r="G230" s="56" t="str">
        <f t="shared" si="2"/>
        <v>Pokemon #16</v>
      </c>
      <c r="H230" s="56" t="s">
        <v>718</v>
      </c>
      <c r="I230" s="56" t="s">
        <v>743</v>
      </c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</row>
    <row r="231">
      <c r="A231" s="56" t="s">
        <v>704</v>
      </c>
      <c r="B231" s="56" t="s">
        <v>662</v>
      </c>
      <c r="C231" s="56" t="str">
        <f t="shared" si="1"/>
        <v>dragonite tail (Dragonite)</v>
      </c>
      <c r="D231" s="56">
        <v>350.0</v>
      </c>
      <c r="E231" s="56" t="s">
        <v>2</v>
      </c>
      <c r="F231" s="56">
        <v>16.0</v>
      </c>
      <c r="G231" s="56" t="str">
        <f t="shared" si="2"/>
        <v>Pokemon #16</v>
      </c>
      <c r="H231" s="56" t="s">
        <v>718</v>
      </c>
      <c r="I231" s="56" t="s">
        <v>743</v>
      </c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</row>
    <row r="232">
      <c r="A232" s="56" t="s">
        <v>511</v>
      </c>
      <c r="B232" s="56" t="s">
        <v>481</v>
      </c>
      <c r="C232" s="56" t="str">
        <f t="shared" si="1"/>
        <v>ice stone (Verificar aba de drops)</v>
      </c>
      <c r="D232" s="56">
        <v>200.0</v>
      </c>
      <c r="E232" s="56" t="s">
        <v>2</v>
      </c>
      <c r="F232" s="56">
        <v>16.0</v>
      </c>
      <c r="G232" s="56" t="str">
        <f t="shared" si="2"/>
        <v>Pokemon #16</v>
      </c>
      <c r="H232" s="56" t="s">
        <v>718</v>
      </c>
      <c r="I232" s="56" t="s">
        <v>743</v>
      </c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</row>
    <row r="233">
      <c r="A233" s="56" t="s">
        <v>619</v>
      </c>
      <c r="B233" s="56" t="s">
        <v>481</v>
      </c>
      <c r="C233" s="56" t="str">
        <f t="shared" si="1"/>
        <v>crystal stone (Verificar aba de drops)</v>
      </c>
      <c r="D233" s="56">
        <v>100.0</v>
      </c>
      <c r="E233" s="56" t="s">
        <v>2</v>
      </c>
      <c r="F233" s="56">
        <v>16.0</v>
      </c>
      <c r="G233" s="56" t="str">
        <f t="shared" si="2"/>
        <v>Pokemon #16</v>
      </c>
      <c r="H233" s="56" t="s">
        <v>718</v>
      </c>
      <c r="I233" s="56" t="s">
        <v>743</v>
      </c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</row>
    <row r="234">
      <c r="A234" s="52" t="s">
        <v>469</v>
      </c>
      <c r="B234" s="52" t="s">
        <v>469</v>
      </c>
      <c r="C234" s="52" t="str">
        <f t="shared" si="1"/>
        <v/>
      </c>
      <c r="D234" s="52"/>
      <c r="E234" s="52"/>
      <c r="F234" s="52"/>
      <c r="G234" s="52" t="str">
        <f t="shared" si="2"/>
        <v/>
      </c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</row>
    <row r="235">
      <c r="A235" s="56" t="s">
        <v>693</v>
      </c>
      <c r="B235" s="56" t="s">
        <v>481</v>
      </c>
      <c r="C235" s="56" t="str">
        <f t="shared" si="1"/>
        <v>mythic ice orb (Verificar aba de drops)</v>
      </c>
      <c r="D235" s="56">
        <v>10.0</v>
      </c>
      <c r="E235" s="56" t="s">
        <v>2</v>
      </c>
      <c r="F235" s="56">
        <v>17.0</v>
      </c>
      <c r="G235" s="56" t="str">
        <f t="shared" si="2"/>
        <v>Pokemon #17</v>
      </c>
      <c r="H235" s="56" t="s">
        <v>718</v>
      </c>
      <c r="I235" s="56" t="s">
        <v>774</v>
      </c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</row>
    <row r="236">
      <c r="A236" s="56" t="s">
        <v>696</v>
      </c>
      <c r="B236" s="56" t="s">
        <v>697</v>
      </c>
      <c r="C236" s="56" t="str">
        <f t="shared" si="1"/>
        <v>pieces of shell (Cloyster)</v>
      </c>
      <c r="D236" s="56">
        <v>360.0</v>
      </c>
      <c r="E236" s="56" t="s">
        <v>2</v>
      </c>
      <c r="F236" s="56">
        <v>17.0</v>
      </c>
      <c r="G236" s="56" t="str">
        <f t="shared" si="2"/>
        <v>Pokemon #17</v>
      </c>
      <c r="H236" s="56" t="s">
        <v>718</v>
      </c>
      <c r="I236" s="56" t="s">
        <v>774</v>
      </c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</row>
    <row r="237">
      <c r="A237" s="56" t="s">
        <v>699</v>
      </c>
      <c r="B237" s="56" t="s">
        <v>618</v>
      </c>
      <c r="C237" s="56" t="str">
        <f t="shared" si="1"/>
        <v>dragonair tail (Dragonair)</v>
      </c>
      <c r="D237" s="56">
        <v>600.0</v>
      </c>
      <c r="E237" s="56" t="s">
        <v>2</v>
      </c>
      <c r="F237" s="56">
        <v>17.0</v>
      </c>
      <c r="G237" s="56" t="str">
        <f t="shared" si="2"/>
        <v>Pokemon #17</v>
      </c>
      <c r="H237" s="56" t="s">
        <v>718</v>
      </c>
      <c r="I237" s="56" t="s">
        <v>774</v>
      </c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</row>
    <row r="238">
      <c r="A238" s="56" t="s">
        <v>701</v>
      </c>
      <c r="B238" s="56" t="s">
        <v>369</v>
      </c>
      <c r="C238" s="56" t="str">
        <f t="shared" si="1"/>
        <v>psychic wig (Jynx)</v>
      </c>
      <c r="D238" s="56">
        <v>360.0</v>
      </c>
      <c r="E238" s="56" t="s">
        <v>2</v>
      </c>
      <c r="F238" s="56">
        <v>17.0</v>
      </c>
      <c r="G238" s="56" t="str">
        <f t="shared" si="2"/>
        <v>Pokemon #17</v>
      </c>
      <c r="H238" s="56" t="s">
        <v>718</v>
      </c>
      <c r="I238" s="56" t="s">
        <v>774</v>
      </c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</row>
    <row r="239">
      <c r="A239" s="56" t="s">
        <v>702</v>
      </c>
      <c r="B239" s="56" t="s">
        <v>703</v>
      </c>
      <c r="C239" s="56" t="str">
        <f t="shared" si="1"/>
        <v>dewgong tail (Dewgong)</v>
      </c>
      <c r="D239" s="56">
        <v>360.0</v>
      </c>
      <c r="E239" s="56" t="s">
        <v>2</v>
      </c>
      <c r="F239" s="56">
        <v>17.0</v>
      </c>
      <c r="G239" s="56" t="str">
        <f t="shared" si="2"/>
        <v>Pokemon #17</v>
      </c>
      <c r="H239" s="56" t="s">
        <v>718</v>
      </c>
      <c r="I239" s="56" t="s">
        <v>774</v>
      </c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</row>
    <row r="240">
      <c r="A240" s="56" t="s">
        <v>704</v>
      </c>
      <c r="B240" s="56" t="s">
        <v>662</v>
      </c>
      <c r="C240" s="56" t="str">
        <f t="shared" si="1"/>
        <v>dragonite tail (Dragonite)</v>
      </c>
      <c r="D240" s="56">
        <v>300.0</v>
      </c>
      <c r="E240" s="56" t="s">
        <v>2</v>
      </c>
      <c r="F240" s="56">
        <v>17.0</v>
      </c>
      <c r="G240" s="56" t="str">
        <f t="shared" si="2"/>
        <v>Pokemon #17</v>
      </c>
      <c r="H240" s="56" t="s">
        <v>718</v>
      </c>
      <c r="I240" s="56" t="s">
        <v>774</v>
      </c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</row>
    <row r="241">
      <c r="A241" s="56" t="s">
        <v>511</v>
      </c>
      <c r="B241" s="56" t="s">
        <v>481</v>
      </c>
      <c r="C241" s="56" t="str">
        <f t="shared" si="1"/>
        <v>ice stone (Verificar aba de drops)</v>
      </c>
      <c r="D241" s="56">
        <v>100.0</v>
      </c>
      <c r="E241" s="56" t="s">
        <v>2</v>
      </c>
      <c r="F241" s="56">
        <v>17.0</v>
      </c>
      <c r="G241" s="56" t="str">
        <f t="shared" si="2"/>
        <v>Pokemon #17</v>
      </c>
      <c r="H241" s="56" t="s">
        <v>718</v>
      </c>
      <c r="I241" s="56" t="s">
        <v>774</v>
      </c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</row>
    <row r="242">
      <c r="A242" s="56" t="s">
        <v>619</v>
      </c>
      <c r="B242" s="56" t="s">
        <v>481</v>
      </c>
      <c r="C242" s="56" t="str">
        <f t="shared" si="1"/>
        <v>crystal stone (Verificar aba de drops)</v>
      </c>
      <c r="D242" s="56">
        <v>50.0</v>
      </c>
      <c r="E242" s="56" t="s">
        <v>2</v>
      </c>
      <c r="F242" s="56">
        <v>17.0</v>
      </c>
      <c r="G242" s="56" t="str">
        <f t="shared" si="2"/>
        <v>Pokemon #17</v>
      </c>
      <c r="H242" s="56" t="s">
        <v>718</v>
      </c>
      <c r="I242" s="56" t="s">
        <v>774</v>
      </c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</row>
    <row r="243">
      <c r="A243" s="52" t="s">
        <v>469</v>
      </c>
      <c r="B243" s="52" t="s">
        <v>469</v>
      </c>
      <c r="C243" s="52" t="str">
        <f t="shared" si="1"/>
        <v/>
      </c>
      <c r="D243" s="52"/>
      <c r="E243" s="52"/>
      <c r="F243" s="52"/>
      <c r="G243" s="52" t="str">
        <f t="shared" si="2"/>
        <v/>
      </c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</row>
    <row r="244">
      <c r="A244" s="56" t="s">
        <v>696</v>
      </c>
      <c r="B244" s="56" t="s">
        <v>697</v>
      </c>
      <c r="C244" s="56" t="str">
        <f t="shared" si="1"/>
        <v>pieces of shell (Cloyster)</v>
      </c>
      <c r="D244" s="56">
        <v>300.0</v>
      </c>
      <c r="E244" s="56" t="s">
        <v>2</v>
      </c>
      <c r="F244" s="56">
        <v>18.0</v>
      </c>
      <c r="G244" s="56" t="str">
        <f t="shared" si="2"/>
        <v>Pokemon #18</v>
      </c>
      <c r="H244" s="56" t="s">
        <v>718</v>
      </c>
      <c r="I244" s="56" t="s">
        <v>806</v>
      </c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</row>
    <row r="245">
      <c r="A245" s="56" t="s">
        <v>699</v>
      </c>
      <c r="B245" s="56" t="s">
        <v>618</v>
      </c>
      <c r="C245" s="56" t="str">
        <f t="shared" si="1"/>
        <v>dragonair tail (Dragonair)</v>
      </c>
      <c r="D245" s="56">
        <v>500.0</v>
      </c>
      <c r="E245" s="56" t="s">
        <v>2</v>
      </c>
      <c r="F245" s="56">
        <v>18.0</v>
      </c>
      <c r="G245" s="56" t="str">
        <f t="shared" si="2"/>
        <v>Pokemon #18</v>
      </c>
      <c r="H245" s="56" t="s">
        <v>718</v>
      </c>
      <c r="I245" s="56" t="s">
        <v>806</v>
      </c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</row>
    <row r="246">
      <c r="A246" s="56" t="s">
        <v>701</v>
      </c>
      <c r="B246" s="56" t="s">
        <v>369</v>
      </c>
      <c r="C246" s="56" t="str">
        <f t="shared" si="1"/>
        <v>psychic wig (Jynx)</v>
      </c>
      <c r="D246" s="56">
        <v>300.0</v>
      </c>
      <c r="E246" s="56" t="s">
        <v>2</v>
      </c>
      <c r="F246" s="56">
        <v>18.0</v>
      </c>
      <c r="G246" s="56" t="str">
        <f t="shared" si="2"/>
        <v>Pokemon #18</v>
      </c>
      <c r="H246" s="56" t="s">
        <v>718</v>
      </c>
      <c r="I246" s="56" t="s">
        <v>806</v>
      </c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</row>
    <row r="247">
      <c r="A247" s="56" t="s">
        <v>702</v>
      </c>
      <c r="B247" s="56" t="s">
        <v>703</v>
      </c>
      <c r="C247" s="56" t="str">
        <f t="shared" si="1"/>
        <v>dewgong tail (Dewgong)</v>
      </c>
      <c r="D247" s="56">
        <v>300.0</v>
      </c>
      <c r="E247" s="56" t="s">
        <v>2</v>
      </c>
      <c r="F247" s="56">
        <v>18.0</v>
      </c>
      <c r="G247" s="56" t="str">
        <f t="shared" si="2"/>
        <v>Pokemon #18</v>
      </c>
      <c r="H247" s="56" t="s">
        <v>718</v>
      </c>
      <c r="I247" s="56" t="s">
        <v>806</v>
      </c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</row>
    <row r="248">
      <c r="A248" s="56" t="s">
        <v>704</v>
      </c>
      <c r="B248" s="56" t="s">
        <v>662</v>
      </c>
      <c r="C248" s="56" t="str">
        <f t="shared" si="1"/>
        <v>dragonite tail (Dragonite)</v>
      </c>
      <c r="D248" s="56">
        <v>250.0</v>
      </c>
      <c r="E248" s="56" t="s">
        <v>2</v>
      </c>
      <c r="F248" s="56">
        <v>18.0</v>
      </c>
      <c r="G248" s="56" t="str">
        <f t="shared" si="2"/>
        <v>Pokemon #18</v>
      </c>
      <c r="H248" s="56" t="s">
        <v>718</v>
      </c>
      <c r="I248" s="56" t="s">
        <v>806</v>
      </c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</row>
    <row r="249">
      <c r="A249" s="56" t="s">
        <v>511</v>
      </c>
      <c r="B249" s="56" t="s">
        <v>481</v>
      </c>
      <c r="C249" s="56" t="str">
        <f t="shared" si="1"/>
        <v>ice stone (Verificar aba de drops)</v>
      </c>
      <c r="D249" s="56">
        <v>50.0</v>
      </c>
      <c r="E249" s="56" t="s">
        <v>2</v>
      </c>
      <c r="F249" s="56">
        <v>18.0</v>
      </c>
      <c r="G249" s="56" t="str">
        <f t="shared" si="2"/>
        <v>Pokemon #18</v>
      </c>
      <c r="H249" s="56" t="s">
        <v>718</v>
      </c>
      <c r="I249" s="56" t="s">
        <v>806</v>
      </c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</row>
    <row r="250">
      <c r="A250" s="56" t="s">
        <v>619</v>
      </c>
      <c r="B250" s="56" t="s">
        <v>481</v>
      </c>
      <c r="C250" s="56" t="str">
        <f t="shared" si="1"/>
        <v>crystal stone (Verificar aba de drops)</v>
      </c>
      <c r="D250" s="56">
        <v>25.0</v>
      </c>
      <c r="E250" s="56" t="s">
        <v>2</v>
      </c>
      <c r="F250" s="56">
        <v>18.0</v>
      </c>
      <c r="G250" s="56" t="str">
        <f t="shared" si="2"/>
        <v>Pokemon #18</v>
      </c>
      <c r="H250" s="56" t="s">
        <v>718</v>
      </c>
      <c r="I250" s="56" t="s">
        <v>806</v>
      </c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</row>
    <row r="251">
      <c r="A251" s="56" t="s">
        <v>840</v>
      </c>
      <c r="B251" s="56" t="s">
        <v>481</v>
      </c>
      <c r="C251" s="56" t="str">
        <f t="shared" si="1"/>
        <v>mythic bug orb (Verificar aba de drops)</v>
      </c>
      <c r="D251" s="56">
        <v>2.0</v>
      </c>
      <c r="E251" s="56" t="s">
        <v>715</v>
      </c>
      <c r="F251" s="56">
        <v>1.0</v>
      </c>
      <c r="G251" s="56" t="str">
        <f t="shared" si="2"/>
        <v>Bug #1</v>
      </c>
      <c r="H251" s="56" t="s">
        <v>844</v>
      </c>
      <c r="I251" s="56" t="s">
        <v>845</v>
      </c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</row>
    <row r="252" ht="21.0" customHeight="1">
      <c r="A252" s="56" t="s">
        <v>848</v>
      </c>
      <c r="B252" s="57" t="s">
        <v>849</v>
      </c>
      <c r="C252" s="56" t="str">
        <f t="shared" si="1"/>
        <v>bug essence (Wurmple
Silcoon
Beautifly
Cascoon
Dustox
Surskit
Masquerain
Nincada
Ninjask
Shedinja
Volbeat
Illumise)</v>
      </c>
      <c r="D252" s="56">
        <v>100.0</v>
      </c>
      <c r="E252" s="56" t="s">
        <v>715</v>
      </c>
      <c r="F252" s="56">
        <v>1.0</v>
      </c>
      <c r="G252" s="56" t="str">
        <f t="shared" si="2"/>
        <v>Bug #1</v>
      </c>
      <c r="H252" s="56" t="s">
        <v>844</v>
      </c>
      <c r="I252" s="56" t="s">
        <v>845</v>
      </c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</row>
    <row r="253">
      <c r="A253" s="56" t="s">
        <v>855</v>
      </c>
      <c r="B253" s="56" t="s">
        <v>856</v>
      </c>
      <c r="C253" s="56" t="str">
        <f t="shared" si="1"/>
        <v>worm horn (Wurmple)</v>
      </c>
      <c r="D253" s="56">
        <v>500.0</v>
      </c>
      <c r="E253" s="56" t="s">
        <v>715</v>
      </c>
      <c r="F253" s="56">
        <v>1.0</v>
      </c>
      <c r="G253" s="56" t="str">
        <f t="shared" si="2"/>
        <v>Bug #1</v>
      </c>
      <c r="H253" s="56" t="s">
        <v>844</v>
      </c>
      <c r="I253" s="56" t="s">
        <v>845</v>
      </c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</row>
    <row r="254">
      <c r="A254" s="52" t="s">
        <v>469</v>
      </c>
      <c r="B254" s="52" t="s">
        <v>469</v>
      </c>
      <c r="C254" s="52" t="str">
        <f t="shared" si="1"/>
        <v/>
      </c>
      <c r="D254" s="52"/>
      <c r="E254" s="52"/>
      <c r="F254" s="52"/>
      <c r="G254" s="52" t="str">
        <f t="shared" si="2"/>
        <v/>
      </c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</row>
    <row r="255">
      <c r="A255" s="56" t="s">
        <v>840</v>
      </c>
      <c r="B255" s="56" t="s">
        <v>481</v>
      </c>
      <c r="C255" s="56" t="str">
        <f t="shared" si="1"/>
        <v>mythic bug orb (Verificar aba de drops)</v>
      </c>
      <c r="D255" s="56">
        <v>3.0</v>
      </c>
      <c r="E255" s="56" t="s">
        <v>715</v>
      </c>
      <c r="F255" s="56">
        <v>2.0</v>
      </c>
      <c r="G255" s="56" t="str">
        <f t="shared" si="2"/>
        <v>Bug #2</v>
      </c>
      <c r="H255" s="56" t="s">
        <v>844</v>
      </c>
      <c r="I255" s="56" t="s">
        <v>865</v>
      </c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</row>
    <row r="256">
      <c r="A256" s="56" t="s">
        <v>868</v>
      </c>
      <c r="B256" s="56" t="s">
        <v>869</v>
      </c>
      <c r="C256" s="56" t="str">
        <f t="shared" si="1"/>
        <v>pink bug horn (Shiny Heracross)</v>
      </c>
      <c r="D256" s="56">
        <v>1.0</v>
      </c>
      <c r="E256" s="56" t="s">
        <v>715</v>
      </c>
      <c r="F256" s="56">
        <v>2.0</v>
      </c>
      <c r="G256" s="56" t="str">
        <f t="shared" si="2"/>
        <v>Bug #2</v>
      </c>
      <c r="H256" s="56" t="s">
        <v>844</v>
      </c>
      <c r="I256" s="56" t="s">
        <v>865</v>
      </c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</row>
    <row r="257">
      <c r="A257" s="56" t="s">
        <v>872</v>
      </c>
      <c r="B257" s="56" t="s">
        <v>821</v>
      </c>
      <c r="C257" s="56" t="str">
        <f t="shared" si="1"/>
        <v>moth wing (Venomoth)</v>
      </c>
      <c r="D257" s="56">
        <v>500.0</v>
      </c>
      <c r="E257" s="56" t="s">
        <v>715</v>
      </c>
      <c r="F257" s="56">
        <v>2.0</v>
      </c>
      <c r="G257" s="56" t="str">
        <f t="shared" si="2"/>
        <v>Bug #2</v>
      </c>
      <c r="H257" s="56" t="s">
        <v>844</v>
      </c>
      <c r="I257" s="56" t="s">
        <v>865</v>
      </c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</row>
    <row r="258">
      <c r="A258" s="52" t="s">
        <v>469</v>
      </c>
      <c r="B258" s="52" t="s">
        <v>469</v>
      </c>
      <c r="C258" s="52" t="str">
        <f t="shared" si="1"/>
        <v/>
      </c>
      <c r="D258" s="52"/>
      <c r="E258" s="52"/>
      <c r="F258" s="52"/>
      <c r="G258" s="52" t="str">
        <f t="shared" si="2"/>
        <v/>
      </c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</row>
    <row r="259">
      <c r="A259" s="56" t="s">
        <v>877</v>
      </c>
      <c r="B259" s="56" t="s">
        <v>481</v>
      </c>
      <c r="C259" s="56" t="str">
        <f t="shared" si="1"/>
        <v>simple bug orb (Verificar aba de drops)</v>
      </c>
      <c r="D259" s="56">
        <v>5.0</v>
      </c>
      <c r="E259" s="56" t="s">
        <v>715</v>
      </c>
      <c r="F259" s="56">
        <v>3.0</v>
      </c>
      <c r="G259" s="56" t="str">
        <f t="shared" si="2"/>
        <v>Bug #3</v>
      </c>
      <c r="H259" s="56" t="s">
        <v>879</v>
      </c>
      <c r="I259" s="56" t="s">
        <v>880</v>
      </c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</row>
    <row r="260">
      <c r="A260" s="56" t="s">
        <v>881</v>
      </c>
      <c r="B260" s="56" t="s">
        <v>753</v>
      </c>
      <c r="C260" s="56" t="str">
        <f t="shared" si="1"/>
        <v>yellow sting (Shiny Weedle)</v>
      </c>
      <c r="D260" s="56">
        <v>3.0</v>
      </c>
      <c r="E260" s="56" t="s">
        <v>715</v>
      </c>
      <c r="F260" s="56">
        <v>3.0</v>
      </c>
      <c r="G260" s="56" t="str">
        <f t="shared" si="2"/>
        <v>Bug #3</v>
      </c>
      <c r="H260" s="56" t="s">
        <v>879</v>
      </c>
      <c r="I260" s="56" t="s">
        <v>880</v>
      </c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</row>
    <row r="261">
      <c r="A261" s="52" t="s">
        <v>469</v>
      </c>
      <c r="B261" s="52" t="s">
        <v>469</v>
      </c>
      <c r="C261" s="52" t="str">
        <f t="shared" si="1"/>
        <v/>
      </c>
      <c r="D261" s="52"/>
      <c r="E261" s="52"/>
      <c r="F261" s="52"/>
      <c r="G261" s="52" t="str">
        <f t="shared" si="2"/>
        <v/>
      </c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</row>
    <row r="262">
      <c r="A262" s="57" t="s">
        <v>889</v>
      </c>
      <c r="B262" s="56" t="s">
        <v>756</v>
      </c>
      <c r="C262" s="56" t="str">
        <f t="shared" si="1"/>
        <v>bee sting (Beedrill)</v>
      </c>
      <c r="D262" s="56">
        <v>25.0</v>
      </c>
      <c r="E262" s="56" t="s">
        <v>715</v>
      </c>
      <c r="F262" s="56">
        <v>4.0</v>
      </c>
      <c r="G262" s="56" t="str">
        <f t="shared" si="2"/>
        <v>Bug #4</v>
      </c>
      <c r="H262" s="56" t="s">
        <v>844</v>
      </c>
      <c r="I262" s="56" t="s">
        <v>892</v>
      </c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</row>
    <row r="263">
      <c r="A263" s="52" t="s">
        <v>469</v>
      </c>
      <c r="B263" s="52" t="s">
        <v>469</v>
      </c>
      <c r="C263" s="52" t="str">
        <f t="shared" si="1"/>
        <v/>
      </c>
      <c r="D263" s="52"/>
      <c r="E263" s="52"/>
      <c r="F263" s="52"/>
      <c r="G263" s="52" t="str">
        <f t="shared" si="2"/>
        <v/>
      </c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</row>
    <row r="264">
      <c r="A264" s="56" t="s">
        <v>900</v>
      </c>
      <c r="B264" s="56" t="s">
        <v>481</v>
      </c>
      <c r="C264" s="56" t="str">
        <f t="shared" si="1"/>
        <v>arcane bug orb (Verificar aba de drops)</v>
      </c>
      <c r="D264" s="56">
        <v>3.0</v>
      </c>
      <c r="E264" s="56" t="s">
        <v>715</v>
      </c>
      <c r="F264" s="56">
        <v>5.0</v>
      </c>
      <c r="G264" s="56" t="str">
        <f t="shared" si="2"/>
        <v>Bug #5</v>
      </c>
      <c r="H264" s="56" t="s">
        <v>879</v>
      </c>
      <c r="I264" s="56" t="s">
        <v>904</v>
      </c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</row>
    <row r="265">
      <c r="A265" s="56" t="s">
        <v>908</v>
      </c>
      <c r="B265" s="56" t="s">
        <v>755</v>
      </c>
      <c r="C265" s="56" t="str">
        <f t="shared" si="1"/>
        <v>red cocoon (Shiny Kakuna)</v>
      </c>
      <c r="D265" s="56">
        <v>3.0</v>
      </c>
      <c r="E265" s="56" t="s">
        <v>715</v>
      </c>
      <c r="F265" s="56">
        <v>5.0</v>
      </c>
      <c r="G265" s="56" t="str">
        <f t="shared" si="2"/>
        <v>Bug #5</v>
      </c>
      <c r="H265" s="56" t="s">
        <v>879</v>
      </c>
      <c r="I265" s="56" t="s">
        <v>904</v>
      </c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</row>
    <row r="266">
      <c r="A266" s="56" t="s">
        <v>889</v>
      </c>
      <c r="B266" s="56" t="s">
        <v>756</v>
      </c>
      <c r="C266" s="56" t="str">
        <f t="shared" si="1"/>
        <v>bee sting (Beedrill)</v>
      </c>
      <c r="D266" s="56">
        <v>120.0</v>
      </c>
      <c r="E266" s="56" t="s">
        <v>715</v>
      </c>
      <c r="F266" s="56">
        <v>5.0</v>
      </c>
      <c r="G266" s="56" t="str">
        <f t="shared" si="2"/>
        <v>Bug #5</v>
      </c>
      <c r="H266" s="56" t="s">
        <v>879</v>
      </c>
      <c r="I266" s="56" t="s">
        <v>904</v>
      </c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</row>
    <row r="267">
      <c r="A267" s="52" t="s">
        <v>469</v>
      </c>
      <c r="B267" s="52" t="s">
        <v>469</v>
      </c>
      <c r="C267" s="52" t="str">
        <f t="shared" si="1"/>
        <v/>
      </c>
      <c r="D267" s="52"/>
      <c r="E267" s="52"/>
      <c r="F267" s="52"/>
      <c r="G267" s="52" t="str">
        <f t="shared" si="2"/>
        <v/>
      </c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</row>
    <row r="268">
      <c r="A268" s="56" t="s">
        <v>877</v>
      </c>
      <c r="B268" s="56" t="s">
        <v>481</v>
      </c>
      <c r="C268" s="56" t="str">
        <f t="shared" si="1"/>
        <v>simple bug orb (Verificar aba de drops)</v>
      </c>
      <c r="D268" s="56">
        <v>5.0</v>
      </c>
      <c r="E268" s="56" t="s">
        <v>715</v>
      </c>
      <c r="F268" s="56">
        <v>6.0</v>
      </c>
      <c r="G268" s="56" t="str">
        <f t="shared" si="2"/>
        <v>Bug #6</v>
      </c>
      <c r="H268" s="56" t="s">
        <v>930</v>
      </c>
      <c r="I268" s="56" t="s">
        <v>931</v>
      </c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</row>
    <row r="269">
      <c r="A269" s="56" t="s">
        <v>936</v>
      </c>
      <c r="B269" s="56" t="s">
        <v>747</v>
      </c>
      <c r="C269" s="56" t="str">
        <f t="shared" si="1"/>
        <v>sparkle antenna (Shiny Caterpie)</v>
      </c>
      <c r="D269" s="56">
        <v>3.0</v>
      </c>
      <c r="E269" s="56" t="s">
        <v>715</v>
      </c>
      <c r="F269" s="56">
        <v>6.0</v>
      </c>
      <c r="G269" s="56" t="str">
        <f t="shared" si="2"/>
        <v>Bug #6</v>
      </c>
      <c r="H269" s="56" t="s">
        <v>930</v>
      </c>
      <c r="I269" s="56" t="s">
        <v>931</v>
      </c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</row>
    <row r="270">
      <c r="A270" s="52" t="s">
        <v>469</v>
      </c>
      <c r="B270" s="52" t="s">
        <v>469</v>
      </c>
      <c r="C270" s="52" t="str">
        <f t="shared" si="1"/>
        <v/>
      </c>
      <c r="D270" s="52"/>
      <c r="E270" s="52"/>
      <c r="F270" s="52"/>
      <c r="G270" s="52" t="str">
        <f t="shared" si="2"/>
        <v/>
      </c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</row>
    <row r="271">
      <c r="A271" s="56" t="s">
        <v>978</v>
      </c>
      <c r="B271" s="56" t="s">
        <v>748</v>
      </c>
      <c r="C271" s="56" t="str">
        <f t="shared" si="1"/>
        <v>piece of cocoon (Metapod)</v>
      </c>
      <c r="D271" s="56">
        <v>25.0</v>
      </c>
      <c r="E271" s="56" t="s">
        <v>715</v>
      </c>
      <c r="F271" s="56">
        <v>7.0</v>
      </c>
      <c r="G271" s="56" t="str">
        <f t="shared" si="2"/>
        <v>Bug #7</v>
      </c>
      <c r="H271" s="56" t="s">
        <v>982</v>
      </c>
      <c r="I271" s="56" t="s">
        <v>985</v>
      </c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</row>
    <row r="272">
      <c r="A272" s="56" t="s">
        <v>991</v>
      </c>
      <c r="B272" s="56" t="s">
        <v>754</v>
      </c>
      <c r="C272" s="56" t="str">
        <f t="shared" si="1"/>
        <v>yellow cocoon (Kakuna)</v>
      </c>
      <c r="D272" s="56">
        <v>25.0</v>
      </c>
      <c r="E272" s="56" t="s">
        <v>715</v>
      </c>
      <c r="F272" s="56">
        <v>7.0</v>
      </c>
      <c r="G272" s="56" t="str">
        <f t="shared" si="2"/>
        <v>Bug #7</v>
      </c>
      <c r="H272" s="56" t="s">
        <v>982</v>
      </c>
      <c r="I272" s="56" t="s">
        <v>985</v>
      </c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</row>
    <row r="273">
      <c r="A273" s="52" t="s">
        <v>469</v>
      </c>
      <c r="B273" s="52" t="s">
        <v>469</v>
      </c>
      <c r="C273" s="52" t="str">
        <f t="shared" si="1"/>
        <v/>
      </c>
      <c r="D273" s="52"/>
      <c r="E273" s="52"/>
      <c r="F273" s="52"/>
      <c r="G273" s="52" t="str">
        <f t="shared" si="2"/>
        <v/>
      </c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</row>
    <row r="274">
      <c r="A274" s="56" t="s">
        <v>900</v>
      </c>
      <c r="B274" s="56" t="s">
        <v>481</v>
      </c>
      <c r="C274" s="56" t="str">
        <f t="shared" si="1"/>
        <v>arcane bug orb (Verificar aba de drops)</v>
      </c>
      <c r="D274" s="56">
        <v>3.0</v>
      </c>
      <c r="E274" s="56" t="s">
        <v>715</v>
      </c>
      <c r="F274" s="56">
        <v>8.0</v>
      </c>
      <c r="G274" s="56" t="str">
        <f t="shared" si="2"/>
        <v>Bug #8</v>
      </c>
      <c r="H274" s="56" t="s">
        <v>930</v>
      </c>
      <c r="I274" s="56" t="s">
        <v>1001</v>
      </c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</row>
    <row r="275">
      <c r="A275" s="56" t="s">
        <v>1005</v>
      </c>
      <c r="B275" s="56" t="s">
        <v>749</v>
      </c>
      <c r="C275" s="56" t="str">
        <f t="shared" si="1"/>
        <v>red piece of cocoon (Shiny Metapod)</v>
      </c>
      <c r="D275" s="56">
        <v>3.0</v>
      </c>
      <c r="E275" s="56" t="s">
        <v>715</v>
      </c>
      <c r="F275" s="56">
        <v>8.0</v>
      </c>
      <c r="G275" s="56" t="str">
        <f t="shared" si="2"/>
        <v>Bug #8</v>
      </c>
      <c r="H275" s="56" t="s">
        <v>930</v>
      </c>
      <c r="I275" s="56" t="s">
        <v>1001</v>
      </c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</row>
    <row r="276">
      <c r="A276" s="56" t="s">
        <v>1011</v>
      </c>
      <c r="B276" s="56" t="s">
        <v>750</v>
      </c>
      <c r="C276" s="56" t="str">
        <f t="shared" si="1"/>
        <v>butterfree wing (Butterfree)</v>
      </c>
      <c r="D276" s="56">
        <v>120.0</v>
      </c>
      <c r="E276" s="56" t="s">
        <v>715</v>
      </c>
      <c r="F276" s="56">
        <v>8.0</v>
      </c>
      <c r="G276" s="56" t="str">
        <f t="shared" si="2"/>
        <v>Bug #8</v>
      </c>
      <c r="H276" s="56" t="s">
        <v>930</v>
      </c>
      <c r="I276" s="56" t="s">
        <v>1001</v>
      </c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</row>
    <row r="277">
      <c r="A277" s="57" t="s">
        <v>1015</v>
      </c>
      <c r="B277" s="56" t="s">
        <v>481</v>
      </c>
      <c r="C277" s="56" t="str">
        <f t="shared" si="1"/>
        <v>mythic dark orb (Verificar aba de drops)</v>
      </c>
      <c r="D277" s="56">
        <v>2.0</v>
      </c>
      <c r="E277" s="56" t="s">
        <v>731</v>
      </c>
      <c r="F277" s="56">
        <v>1.0</v>
      </c>
      <c r="G277" s="56" t="str">
        <f t="shared" si="2"/>
        <v>Dark #1</v>
      </c>
      <c r="H277" s="56" t="s">
        <v>1016</v>
      </c>
      <c r="I277" s="56" t="s">
        <v>1018</v>
      </c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</row>
    <row r="278">
      <c r="A278" s="56" t="s">
        <v>1019</v>
      </c>
      <c r="B278" s="56" t="s">
        <v>481</v>
      </c>
      <c r="C278" s="56" t="str">
        <f t="shared" si="1"/>
        <v>dark essence (Verificar aba de drops)</v>
      </c>
      <c r="D278" s="56">
        <v>100.0</v>
      </c>
      <c r="E278" s="56" t="s">
        <v>731</v>
      </c>
      <c r="F278" s="56">
        <v>1.0</v>
      </c>
      <c r="G278" s="56" t="str">
        <f t="shared" si="2"/>
        <v>Dark #1</v>
      </c>
      <c r="H278" s="56" t="s">
        <v>1016</v>
      </c>
      <c r="I278" s="56" t="s">
        <v>1018</v>
      </c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</row>
    <row r="279">
      <c r="A279" s="56" t="s">
        <v>1021</v>
      </c>
      <c r="B279" s="57" t="s">
        <v>1022</v>
      </c>
      <c r="C279" s="56" t="str">
        <f t="shared" si="1"/>
        <v>pooch fur (Poochyena)</v>
      </c>
      <c r="D279" s="56">
        <v>500.0</v>
      </c>
      <c r="E279" s="56" t="s">
        <v>731</v>
      </c>
      <c r="F279" s="56">
        <v>1.0</v>
      </c>
      <c r="G279" s="56" t="str">
        <f t="shared" si="2"/>
        <v>Dark #1</v>
      </c>
      <c r="H279" s="56" t="s">
        <v>1016</v>
      </c>
      <c r="I279" s="56" t="s">
        <v>1018</v>
      </c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</row>
    <row r="280">
      <c r="A280" s="52" t="s">
        <v>469</v>
      </c>
      <c r="B280" s="52" t="s">
        <v>469</v>
      </c>
      <c r="C280" s="52" t="str">
        <f t="shared" si="1"/>
        <v/>
      </c>
      <c r="D280" s="52"/>
      <c r="E280" s="52"/>
      <c r="F280" s="52"/>
      <c r="G280" s="52" t="str">
        <f t="shared" si="2"/>
        <v/>
      </c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</row>
    <row r="281">
      <c r="A281" s="56" t="s">
        <v>1015</v>
      </c>
      <c r="B281" s="56" t="s">
        <v>481</v>
      </c>
      <c r="C281" s="56" t="str">
        <f t="shared" si="1"/>
        <v>mythic dark orb (Verificar aba de drops)</v>
      </c>
      <c r="D281" s="56">
        <v>3.0</v>
      </c>
      <c r="E281" s="56" t="s">
        <v>731</v>
      </c>
      <c r="F281" s="56">
        <v>2.0</v>
      </c>
      <c r="G281" s="56" t="str">
        <f t="shared" si="2"/>
        <v>Dark #2</v>
      </c>
      <c r="H281" s="56" t="s">
        <v>1016</v>
      </c>
      <c r="I281" s="56" t="s">
        <v>1025</v>
      </c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</row>
    <row r="282">
      <c r="A282" s="56" t="s">
        <v>1027</v>
      </c>
      <c r="B282" s="56" t="s">
        <v>1028</v>
      </c>
      <c r="C282" s="56" t="str">
        <f t="shared" si="1"/>
        <v>cyan feather (Shiny Sneasel)</v>
      </c>
      <c r="D282" s="56">
        <v>1.0</v>
      </c>
      <c r="E282" s="56" t="s">
        <v>731</v>
      </c>
      <c r="F282" s="56">
        <v>2.0</v>
      </c>
      <c r="G282" s="56" t="str">
        <f t="shared" si="2"/>
        <v>Dark #2</v>
      </c>
      <c r="H282" s="56" t="s">
        <v>1016</v>
      </c>
      <c r="I282" s="56" t="s">
        <v>1025</v>
      </c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</row>
    <row r="283">
      <c r="A283" s="56" t="s">
        <v>1030</v>
      </c>
      <c r="B283" s="56" t="s">
        <v>665</v>
      </c>
      <c r="C283" s="56" t="str">
        <f t="shared" si="1"/>
        <v>tyranitar tail (Tyranitar)</v>
      </c>
      <c r="D283" s="56">
        <v>500.0</v>
      </c>
      <c r="E283" s="56" t="s">
        <v>731</v>
      </c>
      <c r="F283" s="56">
        <v>2.0</v>
      </c>
      <c r="G283" s="56" t="str">
        <f t="shared" si="2"/>
        <v>Dark #2</v>
      </c>
      <c r="H283" s="56" t="s">
        <v>1016</v>
      </c>
      <c r="I283" s="56" t="s">
        <v>1025</v>
      </c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</row>
    <row r="284">
      <c r="A284" s="52" t="s">
        <v>469</v>
      </c>
      <c r="B284" s="52" t="s">
        <v>469</v>
      </c>
      <c r="C284" s="52" t="str">
        <f t="shared" si="1"/>
        <v/>
      </c>
      <c r="D284" s="52"/>
      <c r="E284" s="52"/>
      <c r="F284" s="52"/>
      <c r="G284" s="52" t="str">
        <f t="shared" si="2"/>
        <v/>
      </c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</row>
    <row r="285">
      <c r="A285" s="56" t="s">
        <v>1032</v>
      </c>
      <c r="B285" s="56" t="s">
        <v>1033</v>
      </c>
      <c r="C285" s="56" t="str">
        <f t="shared" si="1"/>
        <v>simple dark orb (Shiny Houndour)</v>
      </c>
      <c r="D285" s="56">
        <v>5.0</v>
      </c>
      <c r="E285" s="56" t="s">
        <v>731</v>
      </c>
      <c r="F285" s="56">
        <v>3.0</v>
      </c>
      <c r="G285" s="56" t="str">
        <f t="shared" si="2"/>
        <v>Dark #3</v>
      </c>
      <c r="H285" s="56" t="s">
        <v>1035</v>
      </c>
      <c r="I285" s="56" t="s">
        <v>1036</v>
      </c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</row>
    <row r="286">
      <c r="A286" s="56" t="s">
        <v>1037</v>
      </c>
      <c r="B286" s="56" t="s">
        <v>1033</v>
      </c>
      <c r="C286" s="56" t="str">
        <f t="shared" si="1"/>
        <v>smoked bones (Shiny Houndour)</v>
      </c>
      <c r="D286" s="56">
        <v>3.0</v>
      </c>
      <c r="E286" s="56" t="s">
        <v>731</v>
      </c>
      <c r="F286" s="56">
        <v>3.0</v>
      </c>
      <c r="G286" s="56" t="str">
        <f t="shared" si="2"/>
        <v>Dark #3</v>
      </c>
      <c r="H286" s="56" t="s">
        <v>1035</v>
      </c>
      <c r="I286" s="56" t="s">
        <v>1036</v>
      </c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</row>
    <row r="287">
      <c r="A287" s="52" t="s">
        <v>469</v>
      </c>
      <c r="B287" s="52" t="s">
        <v>469</v>
      </c>
      <c r="C287" s="52" t="str">
        <f t="shared" si="1"/>
        <v/>
      </c>
      <c r="D287" s="52"/>
      <c r="E287" s="52"/>
      <c r="F287" s="52"/>
      <c r="G287" s="52" t="str">
        <f t="shared" si="2"/>
        <v/>
      </c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</row>
    <row r="288">
      <c r="A288" s="56" t="s">
        <v>1040</v>
      </c>
      <c r="B288" s="56" t="s">
        <v>1041</v>
      </c>
      <c r="C288" s="56" t="str">
        <f t="shared" si="1"/>
        <v>yellow beak (Murkrow)</v>
      </c>
      <c r="D288" s="56">
        <v>25.0</v>
      </c>
      <c r="E288" s="56" t="s">
        <v>731</v>
      </c>
      <c r="F288" s="56">
        <v>4.0</v>
      </c>
      <c r="G288" s="56" t="str">
        <f t="shared" si="2"/>
        <v>Dark #4</v>
      </c>
      <c r="H288" s="56" t="s">
        <v>1016</v>
      </c>
      <c r="I288" s="56" t="s">
        <v>1043</v>
      </c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</row>
    <row r="289">
      <c r="A289" s="52" t="s">
        <v>469</v>
      </c>
      <c r="B289" s="52" t="s">
        <v>469</v>
      </c>
      <c r="C289" s="52" t="str">
        <f t="shared" si="1"/>
        <v/>
      </c>
      <c r="D289" s="52"/>
      <c r="E289" s="52"/>
      <c r="F289" s="52"/>
      <c r="G289" s="52" t="str">
        <f t="shared" si="2"/>
        <v/>
      </c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</row>
    <row r="290">
      <c r="A290" s="56" t="s">
        <v>1048</v>
      </c>
      <c r="B290" s="56" t="s">
        <v>481</v>
      </c>
      <c r="C290" s="56" t="str">
        <f t="shared" si="1"/>
        <v>arcane dark orb (Verificar aba de drops)</v>
      </c>
      <c r="D290" s="56">
        <v>3.0</v>
      </c>
      <c r="E290" s="56" t="s">
        <v>731</v>
      </c>
      <c r="F290" s="56">
        <v>5.0</v>
      </c>
      <c r="G290" s="56" t="str">
        <f t="shared" si="2"/>
        <v>Dark #5</v>
      </c>
      <c r="H290" s="56" t="s">
        <v>1035</v>
      </c>
      <c r="I290" s="56" t="s">
        <v>1050</v>
      </c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</row>
    <row r="291">
      <c r="A291" s="56" t="s">
        <v>1052</v>
      </c>
      <c r="B291" s="56" t="s">
        <v>1053</v>
      </c>
      <c r="C291" s="56" t="str">
        <f t="shared" si="1"/>
        <v>dark beak (Shiny Murkrow)</v>
      </c>
      <c r="D291" s="56">
        <v>3.0</v>
      </c>
      <c r="E291" s="56" t="s">
        <v>731</v>
      </c>
      <c r="F291" s="56">
        <v>5.0</v>
      </c>
      <c r="G291" s="56" t="str">
        <f t="shared" si="2"/>
        <v>Dark #5</v>
      </c>
      <c r="H291" s="56" t="s">
        <v>1035</v>
      </c>
      <c r="I291" s="56" t="s">
        <v>1050</v>
      </c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</row>
    <row r="292">
      <c r="A292" s="56" t="s">
        <v>1040</v>
      </c>
      <c r="B292" s="56" t="s">
        <v>1041</v>
      </c>
      <c r="C292" s="56" t="str">
        <f t="shared" si="1"/>
        <v>yellow beak (Murkrow)</v>
      </c>
      <c r="D292" s="56">
        <v>120.0</v>
      </c>
      <c r="E292" s="56" t="s">
        <v>731</v>
      </c>
      <c r="F292" s="56">
        <v>5.0</v>
      </c>
      <c r="G292" s="56" t="str">
        <f t="shared" si="2"/>
        <v>Dark #5</v>
      </c>
      <c r="H292" s="56" t="s">
        <v>1035</v>
      </c>
      <c r="I292" s="56" t="s">
        <v>1050</v>
      </c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</row>
    <row r="293">
      <c r="A293" s="52" t="s">
        <v>469</v>
      </c>
      <c r="B293" s="52" t="s">
        <v>469</v>
      </c>
      <c r="C293" s="52" t="str">
        <f t="shared" si="1"/>
        <v/>
      </c>
      <c r="D293" s="52"/>
      <c r="E293" s="52"/>
      <c r="F293" s="52"/>
      <c r="G293" s="52" t="str">
        <f t="shared" si="2"/>
        <v/>
      </c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</row>
    <row r="294">
      <c r="A294" s="56" t="s">
        <v>1032</v>
      </c>
      <c r="B294" s="56" t="s">
        <v>1033</v>
      </c>
      <c r="C294" s="56" t="str">
        <f t="shared" si="1"/>
        <v>simple dark orb (Shiny Houndour)</v>
      </c>
      <c r="D294" s="56">
        <v>5.0</v>
      </c>
      <c r="E294" s="56" t="s">
        <v>731</v>
      </c>
      <c r="F294" s="56">
        <v>6.0</v>
      </c>
      <c r="G294" s="56" t="str">
        <f t="shared" si="2"/>
        <v>Dark #6</v>
      </c>
      <c r="H294" s="56" t="s">
        <v>1060</v>
      </c>
      <c r="I294" s="56" t="s">
        <v>1061</v>
      </c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</row>
    <row r="295">
      <c r="A295" s="56" t="s">
        <v>1037</v>
      </c>
      <c r="B295" s="56" t="s">
        <v>1033</v>
      </c>
      <c r="C295" s="56" t="str">
        <f t="shared" si="1"/>
        <v>smoked bones (Shiny Houndour)</v>
      </c>
      <c r="D295" s="56">
        <v>3.0</v>
      </c>
      <c r="E295" s="56" t="s">
        <v>731</v>
      </c>
      <c r="F295" s="56">
        <v>6.0</v>
      </c>
      <c r="G295" s="56" t="str">
        <f t="shared" si="2"/>
        <v>Dark #6</v>
      </c>
      <c r="H295" s="56" t="s">
        <v>1060</v>
      </c>
      <c r="I295" s="56" t="s">
        <v>1061</v>
      </c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</row>
    <row r="296">
      <c r="A296" s="52" t="s">
        <v>469</v>
      </c>
      <c r="B296" s="52" t="s">
        <v>469</v>
      </c>
      <c r="C296" s="52" t="str">
        <f t="shared" si="1"/>
        <v/>
      </c>
      <c r="D296" s="52"/>
      <c r="E296" s="52"/>
      <c r="F296" s="52"/>
      <c r="G296" s="52" t="str">
        <f t="shared" si="2"/>
        <v/>
      </c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</row>
    <row r="297">
      <c r="A297" s="56" t="s">
        <v>1040</v>
      </c>
      <c r="B297" s="56" t="s">
        <v>1041</v>
      </c>
      <c r="C297" s="56" t="str">
        <f t="shared" si="1"/>
        <v>yellow beak (Murkrow)</v>
      </c>
      <c r="D297" s="56">
        <v>50.0</v>
      </c>
      <c r="E297" s="56" t="s">
        <v>731</v>
      </c>
      <c r="F297" s="56">
        <v>7.0</v>
      </c>
      <c r="G297" s="56" t="str">
        <f t="shared" si="2"/>
        <v>Dark #7</v>
      </c>
      <c r="H297" s="56" t="s">
        <v>1070</v>
      </c>
      <c r="I297" s="56" t="s">
        <v>1073</v>
      </c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</row>
    <row r="298">
      <c r="A298" s="52" t="s">
        <v>469</v>
      </c>
      <c r="B298" s="52" t="s">
        <v>469</v>
      </c>
      <c r="C298" s="52" t="str">
        <f t="shared" si="1"/>
        <v/>
      </c>
      <c r="D298" s="52"/>
      <c r="E298" s="52"/>
      <c r="F298" s="52"/>
      <c r="G298" s="52" t="str">
        <f t="shared" si="2"/>
        <v/>
      </c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</row>
    <row r="299">
      <c r="A299" s="56" t="s">
        <v>1048</v>
      </c>
      <c r="B299" s="57" t="s">
        <v>481</v>
      </c>
      <c r="C299" s="56" t="str">
        <f t="shared" si="1"/>
        <v>arcane dark orb (Verificar aba de drops)</v>
      </c>
      <c r="D299" s="56">
        <v>3.0</v>
      </c>
      <c r="E299" s="56" t="s">
        <v>731</v>
      </c>
      <c r="F299" s="56">
        <v>8.0</v>
      </c>
      <c r="G299" s="56" t="str">
        <f t="shared" si="2"/>
        <v>Dark #8</v>
      </c>
      <c r="H299" s="56" t="s">
        <v>1060</v>
      </c>
      <c r="I299" s="56" t="s">
        <v>1079</v>
      </c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</row>
    <row r="300">
      <c r="A300" s="56" t="s">
        <v>1052</v>
      </c>
      <c r="B300" s="56" t="s">
        <v>1053</v>
      </c>
      <c r="C300" s="56" t="str">
        <f t="shared" si="1"/>
        <v>dark beak (Shiny Murkrow)</v>
      </c>
      <c r="D300" s="56">
        <v>3.0</v>
      </c>
      <c r="E300" s="56" t="s">
        <v>731</v>
      </c>
      <c r="F300" s="56">
        <v>8.0</v>
      </c>
      <c r="G300" s="56" t="str">
        <f t="shared" si="2"/>
        <v>Dark #8</v>
      </c>
      <c r="H300" s="56" t="s">
        <v>1060</v>
      </c>
      <c r="I300" s="56" t="s">
        <v>1079</v>
      </c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</row>
    <row r="301">
      <c r="A301" s="56" t="s">
        <v>1040</v>
      </c>
      <c r="B301" s="56" t="s">
        <v>1041</v>
      </c>
      <c r="C301" s="56" t="str">
        <f t="shared" si="1"/>
        <v>yellow beak (Murkrow)</v>
      </c>
      <c r="D301" s="56">
        <v>120.0</v>
      </c>
      <c r="E301" s="56" t="s">
        <v>731</v>
      </c>
      <c r="F301" s="56">
        <v>8.0</v>
      </c>
      <c r="G301" s="56" t="str">
        <f t="shared" si="2"/>
        <v>Dark #8</v>
      </c>
      <c r="H301" s="56" t="s">
        <v>1060</v>
      </c>
      <c r="I301" s="56" t="s">
        <v>1079</v>
      </c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</row>
    <row r="302">
      <c r="A302" s="56" t="s">
        <v>1087</v>
      </c>
      <c r="B302" s="56" t="s">
        <v>481</v>
      </c>
      <c r="C302" s="56" t="str">
        <f t="shared" si="1"/>
        <v>mythic dragon orb (Verificar aba de drops)</v>
      </c>
      <c r="D302" s="56">
        <v>2.0</v>
      </c>
      <c r="E302" s="56" t="s">
        <v>745</v>
      </c>
      <c r="F302" s="56">
        <v>1.0</v>
      </c>
      <c r="G302" s="56" t="str">
        <f t="shared" si="2"/>
        <v>Dragon #1</v>
      </c>
      <c r="H302" s="56" t="s">
        <v>1090</v>
      </c>
      <c r="I302" s="56" t="s">
        <v>1091</v>
      </c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</row>
    <row r="303">
      <c r="A303" s="56" t="s">
        <v>1092</v>
      </c>
      <c r="B303" s="56" t="s">
        <v>481</v>
      </c>
      <c r="C303" s="56" t="str">
        <f t="shared" si="1"/>
        <v>dragon essence (Verificar aba de drops)</v>
      </c>
      <c r="D303" s="56">
        <v>100.0</v>
      </c>
      <c r="E303" s="56" t="s">
        <v>745</v>
      </c>
      <c r="F303" s="56">
        <v>1.0</v>
      </c>
      <c r="G303" s="56" t="str">
        <f t="shared" si="2"/>
        <v>Dragon #1</v>
      </c>
      <c r="H303" s="56" t="s">
        <v>1090</v>
      </c>
      <c r="I303" s="56" t="s">
        <v>1091</v>
      </c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</row>
    <row r="304">
      <c r="A304" s="56" t="s">
        <v>1095</v>
      </c>
      <c r="B304" s="56" t="s">
        <v>1096</v>
      </c>
      <c r="C304" s="56" t="str">
        <f t="shared" si="1"/>
        <v>dragon topknot (Bagon)</v>
      </c>
      <c r="D304" s="56">
        <v>500.0</v>
      </c>
      <c r="E304" s="56" t="s">
        <v>745</v>
      </c>
      <c r="F304" s="56">
        <v>1.0</v>
      </c>
      <c r="G304" s="56" t="str">
        <f t="shared" si="2"/>
        <v>Dragon #1</v>
      </c>
      <c r="H304" s="56" t="s">
        <v>1090</v>
      </c>
      <c r="I304" s="56" t="s">
        <v>1091</v>
      </c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</row>
    <row r="305">
      <c r="A305" s="52" t="s">
        <v>469</v>
      </c>
      <c r="B305" s="52" t="s">
        <v>469</v>
      </c>
      <c r="C305" s="52" t="str">
        <f t="shared" si="1"/>
        <v/>
      </c>
      <c r="D305" s="52"/>
      <c r="E305" s="52"/>
      <c r="F305" s="52"/>
      <c r="G305" s="52" t="str">
        <f t="shared" si="2"/>
        <v/>
      </c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</row>
    <row r="306">
      <c r="A306" s="56" t="s">
        <v>1087</v>
      </c>
      <c r="B306" s="56" t="s">
        <v>481</v>
      </c>
      <c r="C306" s="56" t="str">
        <f t="shared" si="1"/>
        <v>mythic dragon orb (Verificar aba de drops)</v>
      </c>
      <c r="D306" s="56">
        <v>3.0</v>
      </c>
      <c r="E306" s="56" t="s">
        <v>745</v>
      </c>
      <c r="F306" s="56">
        <v>2.0</v>
      </c>
      <c r="G306" s="56" t="str">
        <f t="shared" si="2"/>
        <v>Dragon #2</v>
      </c>
      <c r="H306" s="56" t="s">
        <v>1090</v>
      </c>
      <c r="I306" s="56" t="s">
        <v>1101</v>
      </c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</row>
    <row r="307">
      <c r="A307" s="56" t="s">
        <v>1103</v>
      </c>
      <c r="B307" s="56" t="s">
        <v>1077</v>
      </c>
      <c r="C307" s="56" t="str">
        <f t="shared" si="1"/>
        <v>shiny dragon ears (Shiny Dratini)</v>
      </c>
      <c r="D307" s="56">
        <v>3.0</v>
      </c>
      <c r="E307" s="56" t="s">
        <v>745</v>
      </c>
      <c r="F307" s="56">
        <v>2.0</v>
      </c>
      <c r="G307" s="56" t="str">
        <f t="shared" si="2"/>
        <v>Dragon #2</v>
      </c>
      <c r="H307" s="56" t="s">
        <v>1090</v>
      </c>
      <c r="I307" s="56" t="s">
        <v>1101</v>
      </c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</row>
    <row r="308">
      <c r="A308" s="56" t="s">
        <v>704</v>
      </c>
      <c r="B308" s="56" t="s">
        <v>662</v>
      </c>
      <c r="C308" s="56" t="str">
        <f t="shared" si="1"/>
        <v>dragonite tail (Dragonite)</v>
      </c>
      <c r="D308" s="56">
        <v>500.0</v>
      </c>
      <c r="E308" s="56" t="s">
        <v>745</v>
      </c>
      <c r="F308" s="56">
        <v>2.0</v>
      </c>
      <c r="G308" s="56" t="str">
        <f t="shared" si="2"/>
        <v>Dragon #2</v>
      </c>
      <c r="H308" s="56" t="s">
        <v>1090</v>
      </c>
      <c r="I308" s="56" t="s">
        <v>1101</v>
      </c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</row>
    <row r="309">
      <c r="A309" s="52" t="s">
        <v>469</v>
      </c>
      <c r="B309" s="52" t="s">
        <v>469</v>
      </c>
      <c r="C309" s="52" t="str">
        <f t="shared" si="1"/>
        <v/>
      </c>
      <c r="D309" s="52"/>
      <c r="E309" s="52"/>
      <c r="F309" s="52"/>
      <c r="G309" s="52" t="str">
        <f t="shared" si="2"/>
        <v/>
      </c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</row>
    <row r="310">
      <c r="A310" s="56" t="s">
        <v>1109</v>
      </c>
      <c r="B310" s="56" t="s">
        <v>1077</v>
      </c>
      <c r="C310" s="56" t="str">
        <f t="shared" si="1"/>
        <v>simple dragon orb (Shiny Dratini)</v>
      </c>
      <c r="D310" s="56">
        <v>5.0</v>
      </c>
      <c r="E310" s="56" t="s">
        <v>745</v>
      </c>
      <c r="F310" s="56">
        <v>3.0</v>
      </c>
      <c r="G310" s="56" t="str">
        <f t="shared" si="2"/>
        <v>Dragon #3</v>
      </c>
      <c r="H310" s="56" t="s">
        <v>1111</v>
      </c>
      <c r="I310" s="56" t="s">
        <v>1112</v>
      </c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</row>
    <row r="311">
      <c r="A311" s="56" t="s">
        <v>1103</v>
      </c>
      <c r="B311" s="56" t="s">
        <v>1077</v>
      </c>
      <c r="C311" s="56" t="str">
        <f t="shared" si="1"/>
        <v>shiny dragon ears (Shiny Dratini)</v>
      </c>
      <c r="D311" s="56">
        <v>5.0</v>
      </c>
      <c r="E311" s="56" t="s">
        <v>745</v>
      </c>
      <c r="F311" s="56">
        <v>3.0</v>
      </c>
      <c r="G311" s="56" t="str">
        <f t="shared" si="2"/>
        <v>Dragon #3</v>
      </c>
      <c r="H311" s="56" t="s">
        <v>1111</v>
      </c>
      <c r="I311" s="56" t="s">
        <v>1112</v>
      </c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</row>
    <row r="312">
      <c r="A312" s="52" t="s">
        <v>469</v>
      </c>
      <c r="B312" s="52" t="s">
        <v>469</v>
      </c>
      <c r="C312" s="52" t="str">
        <f t="shared" si="1"/>
        <v/>
      </c>
      <c r="D312" s="52"/>
      <c r="E312" s="52"/>
      <c r="F312" s="52"/>
      <c r="G312" s="52" t="str">
        <f t="shared" si="2"/>
        <v/>
      </c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</row>
    <row r="313">
      <c r="A313" s="56" t="s">
        <v>1118</v>
      </c>
      <c r="B313" s="56" t="s">
        <v>1076</v>
      </c>
      <c r="C313" s="56" t="str">
        <f t="shared" si="1"/>
        <v>dratini ear (Dratini)</v>
      </c>
      <c r="D313" s="56">
        <v>50.0</v>
      </c>
      <c r="E313" s="56" t="s">
        <v>745</v>
      </c>
      <c r="F313" s="56">
        <v>4.0</v>
      </c>
      <c r="G313" s="56" t="str">
        <f t="shared" si="2"/>
        <v>Dragon #4</v>
      </c>
      <c r="H313" s="56" t="s">
        <v>1090</v>
      </c>
      <c r="I313" s="56" t="s">
        <v>1121</v>
      </c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</row>
    <row r="314">
      <c r="A314" s="52" t="s">
        <v>469</v>
      </c>
      <c r="B314" s="52" t="s">
        <v>469</v>
      </c>
      <c r="C314" s="52" t="str">
        <f t="shared" si="1"/>
        <v/>
      </c>
      <c r="D314" s="52"/>
      <c r="E314" s="52"/>
      <c r="F314" s="52"/>
      <c r="G314" s="52" t="str">
        <f t="shared" si="2"/>
        <v/>
      </c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</row>
    <row r="315">
      <c r="A315" s="56" t="s">
        <v>1124</v>
      </c>
      <c r="B315" s="56" t="s">
        <v>1078</v>
      </c>
      <c r="C315" s="56" t="str">
        <f t="shared" si="1"/>
        <v>arcane dragon orb (Shiny Dragonair)</v>
      </c>
      <c r="D315" s="56">
        <v>3.0</v>
      </c>
      <c r="E315" s="56" t="s">
        <v>745</v>
      </c>
      <c r="F315" s="56">
        <v>5.0</v>
      </c>
      <c r="G315" s="56" t="str">
        <f t="shared" si="2"/>
        <v>Dragon #5</v>
      </c>
      <c r="H315" s="56" t="s">
        <v>1111</v>
      </c>
      <c r="I315" s="56" t="s">
        <v>1127</v>
      </c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</row>
    <row r="316">
      <c r="A316" s="56" t="s">
        <v>1103</v>
      </c>
      <c r="B316" s="56" t="s">
        <v>1077</v>
      </c>
      <c r="C316" s="56" t="str">
        <f t="shared" si="1"/>
        <v>shiny dragon ears (Shiny Dratini)</v>
      </c>
      <c r="D316" s="56">
        <v>10.0</v>
      </c>
      <c r="E316" s="56" t="s">
        <v>745</v>
      </c>
      <c r="F316" s="56">
        <v>5.0</v>
      </c>
      <c r="G316" s="56" t="str">
        <f t="shared" si="2"/>
        <v>Dragon #5</v>
      </c>
      <c r="H316" s="56" t="s">
        <v>1111</v>
      </c>
      <c r="I316" s="56" t="s">
        <v>1127</v>
      </c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</row>
    <row r="317">
      <c r="A317" s="56" t="s">
        <v>1118</v>
      </c>
      <c r="B317" s="56" t="s">
        <v>1076</v>
      </c>
      <c r="C317" s="56" t="str">
        <f t="shared" si="1"/>
        <v>dratini ear (Dratini)</v>
      </c>
      <c r="D317" s="56">
        <v>120.0</v>
      </c>
      <c r="E317" s="56" t="s">
        <v>745</v>
      </c>
      <c r="F317" s="56">
        <v>5.0</v>
      </c>
      <c r="G317" s="56" t="str">
        <f t="shared" si="2"/>
        <v>Dragon #5</v>
      </c>
      <c r="H317" s="56" t="s">
        <v>1111</v>
      </c>
      <c r="I317" s="56" t="s">
        <v>1127</v>
      </c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</row>
    <row r="318">
      <c r="A318" s="52" t="s">
        <v>469</v>
      </c>
      <c r="B318" s="52" t="s">
        <v>469</v>
      </c>
      <c r="C318" s="52" t="str">
        <f t="shared" si="1"/>
        <v/>
      </c>
      <c r="D318" s="52"/>
      <c r="E318" s="52"/>
      <c r="F318" s="52"/>
      <c r="G318" s="52" t="str">
        <f t="shared" si="2"/>
        <v/>
      </c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</row>
    <row r="319">
      <c r="A319" s="56" t="s">
        <v>1109</v>
      </c>
      <c r="B319" s="56" t="s">
        <v>1077</v>
      </c>
      <c r="C319" s="56" t="str">
        <f t="shared" si="1"/>
        <v>simple dragon orb (Shiny Dratini)</v>
      </c>
      <c r="D319" s="56">
        <v>5.0</v>
      </c>
      <c r="E319" s="56" t="s">
        <v>745</v>
      </c>
      <c r="F319" s="56">
        <v>6.0</v>
      </c>
      <c r="G319" s="56" t="str">
        <f t="shared" si="2"/>
        <v>Dragon #6</v>
      </c>
      <c r="H319" s="56" t="s">
        <v>1137</v>
      </c>
      <c r="I319" s="56" t="s">
        <v>1139</v>
      </c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</row>
    <row r="320">
      <c r="A320" s="56" t="s">
        <v>1103</v>
      </c>
      <c r="B320" s="56" t="s">
        <v>1077</v>
      </c>
      <c r="C320" s="56" t="str">
        <f t="shared" si="1"/>
        <v>shiny dragon ears (Shiny Dratini)</v>
      </c>
      <c r="D320" s="56">
        <v>5.0</v>
      </c>
      <c r="E320" s="56" t="s">
        <v>745</v>
      </c>
      <c r="F320" s="56">
        <v>6.0</v>
      </c>
      <c r="G320" s="56" t="str">
        <f t="shared" si="2"/>
        <v>Dragon #6</v>
      </c>
      <c r="H320" s="56" t="s">
        <v>1137</v>
      </c>
      <c r="I320" s="56" t="s">
        <v>1139</v>
      </c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</row>
    <row r="321">
      <c r="A321" s="52" t="s">
        <v>469</v>
      </c>
      <c r="B321" s="52" t="s">
        <v>469</v>
      </c>
      <c r="C321" s="52" t="str">
        <f t="shared" si="1"/>
        <v/>
      </c>
      <c r="D321" s="52"/>
      <c r="E321" s="52"/>
      <c r="F321" s="52"/>
      <c r="G321" s="52" t="str">
        <f t="shared" si="2"/>
        <v/>
      </c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</row>
    <row r="322">
      <c r="A322" s="56" t="s">
        <v>1118</v>
      </c>
      <c r="B322" s="56" t="s">
        <v>1076</v>
      </c>
      <c r="C322" s="56" t="str">
        <f t="shared" si="1"/>
        <v>dratini ear (Dratini)</v>
      </c>
      <c r="D322" s="56">
        <v>50.0</v>
      </c>
      <c r="E322" s="56" t="s">
        <v>745</v>
      </c>
      <c r="F322" s="56">
        <v>7.0</v>
      </c>
      <c r="G322" s="56" t="str">
        <f t="shared" si="2"/>
        <v>Dragon #7</v>
      </c>
      <c r="H322" s="56" t="s">
        <v>1143</v>
      </c>
      <c r="I322" s="56" t="s">
        <v>1144</v>
      </c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</row>
    <row r="323">
      <c r="A323" s="52" t="s">
        <v>469</v>
      </c>
      <c r="B323" s="52" t="s">
        <v>469</v>
      </c>
      <c r="C323" s="52" t="str">
        <f t="shared" si="1"/>
        <v/>
      </c>
      <c r="D323" s="52"/>
      <c r="E323" s="52"/>
      <c r="F323" s="52"/>
      <c r="G323" s="52" t="str">
        <f t="shared" si="2"/>
        <v/>
      </c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</row>
    <row r="324">
      <c r="A324" s="56" t="s">
        <v>1124</v>
      </c>
      <c r="B324" s="56" t="s">
        <v>1078</v>
      </c>
      <c r="C324" s="56" t="str">
        <f t="shared" si="1"/>
        <v>arcane dragon orb (Shiny Dragonair)</v>
      </c>
      <c r="D324" s="56">
        <v>3.0</v>
      </c>
      <c r="E324" s="56" t="s">
        <v>745</v>
      </c>
      <c r="F324" s="56">
        <v>8.0</v>
      </c>
      <c r="G324" s="56" t="str">
        <f t="shared" si="2"/>
        <v>Dragon #8</v>
      </c>
      <c r="H324" s="56" t="s">
        <v>1137</v>
      </c>
      <c r="I324" s="56" t="s">
        <v>1149</v>
      </c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</row>
    <row r="325">
      <c r="A325" s="56" t="s">
        <v>1103</v>
      </c>
      <c r="B325" s="56" t="s">
        <v>1077</v>
      </c>
      <c r="C325" s="56" t="str">
        <f t="shared" si="1"/>
        <v>shiny dragon ears (Shiny Dratini)</v>
      </c>
      <c r="D325" s="56">
        <v>10.0</v>
      </c>
      <c r="E325" s="56" t="s">
        <v>745</v>
      </c>
      <c r="F325" s="56">
        <v>8.0</v>
      </c>
      <c r="G325" s="56" t="str">
        <f t="shared" si="2"/>
        <v>Dragon #8</v>
      </c>
      <c r="H325" s="56" t="s">
        <v>1137</v>
      </c>
      <c r="I325" s="56" t="s">
        <v>1149</v>
      </c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</row>
    <row r="326">
      <c r="A326" s="56" t="s">
        <v>1118</v>
      </c>
      <c r="B326" s="56" t="s">
        <v>1076</v>
      </c>
      <c r="C326" s="56" t="str">
        <f t="shared" si="1"/>
        <v>dratini ear (Dratini)</v>
      </c>
      <c r="D326" s="56">
        <v>120.0</v>
      </c>
      <c r="E326" s="56" t="s">
        <v>745</v>
      </c>
      <c r="F326" s="56">
        <v>8.0</v>
      </c>
      <c r="G326" s="56" t="str">
        <f t="shared" si="2"/>
        <v>Dragon #8</v>
      </c>
      <c r="H326" s="56" t="s">
        <v>1137</v>
      </c>
      <c r="I326" s="56" t="s">
        <v>1149</v>
      </c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</row>
    <row r="327">
      <c r="A327" s="56" t="s">
        <v>1154</v>
      </c>
      <c r="B327" s="56" t="s">
        <v>481</v>
      </c>
      <c r="C327" s="56" t="str">
        <f t="shared" si="1"/>
        <v>simple electric orb (Verificar aba de drops)</v>
      </c>
      <c r="D327" s="56">
        <v>5.0</v>
      </c>
      <c r="E327" s="56" t="s">
        <v>723</v>
      </c>
      <c r="F327" s="56">
        <v>1.0</v>
      </c>
      <c r="G327" s="56" t="str">
        <f t="shared" si="2"/>
        <v>Electric #1</v>
      </c>
      <c r="H327" s="56" t="s">
        <v>1157</v>
      </c>
      <c r="I327" s="56" t="s">
        <v>1158</v>
      </c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</row>
    <row r="328">
      <c r="A328" s="56" t="s">
        <v>1161</v>
      </c>
      <c r="B328" s="56" t="s">
        <v>929</v>
      </c>
      <c r="C328" s="56" t="str">
        <f t="shared" si="1"/>
        <v>green remains (Shiny Voltorb)</v>
      </c>
      <c r="D328" s="56">
        <v>3.0</v>
      </c>
      <c r="E328" s="56" t="s">
        <v>723</v>
      </c>
      <c r="F328" s="56">
        <v>1.0</v>
      </c>
      <c r="G328" s="56" t="str">
        <f t="shared" si="2"/>
        <v>Electric #1</v>
      </c>
      <c r="H328" s="56" t="s">
        <v>1157</v>
      </c>
      <c r="I328" s="56" t="s">
        <v>1158</v>
      </c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</row>
    <row r="329">
      <c r="A329" s="52" t="s">
        <v>469</v>
      </c>
      <c r="B329" s="52" t="s">
        <v>469</v>
      </c>
      <c r="C329" s="52" t="str">
        <f t="shared" si="1"/>
        <v/>
      </c>
      <c r="D329" s="52"/>
      <c r="E329" s="52"/>
      <c r="F329" s="52"/>
      <c r="G329" s="52" t="str">
        <f t="shared" si="2"/>
        <v/>
      </c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</row>
    <row r="330">
      <c r="A330" s="56" t="s">
        <v>1164</v>
      </c>
      <c r="B330" s="57" t="s">
        <v>782</v>
      </c>
      <c r="C330" s="56" t="str">
        <f t="shared" si="1"/>
        <v>electric rat tail (Pikachu)</v>
      </c>
      <c r="D330" s="56">
        <v>50.0</v>
      </c>
      <c r="E330" s="56" t="s">
        <v>723</v>
      </c>
      <c r="F330" s="56">
        <v>2.0</v>
      </c>
      <c r="G330" s="56" t="str">
        <f t="shared" si="2"/>
        <v>Electric #2</v>
      </c>
      <c r="H330" s="56" t="s">
        <v>1167</v>
      </c>
      <c r="I330" s="56" t="s">
        <v>1168</v>
      </c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</row>
    <row r="331">
      <c r="A331" s="52" t="s">
        <v>469</v>
      </c>
      <c r="B331" s="52" t="s">
        <v>469</v>
      </c>
      <c r="C331" s="52" t="str">
        <f t="shared" si="1"/>
        <v/>
      </c>
      <c r="D331" s="52"/>
      <c r="E331" s="52"/>
      <c r="F331" s="52"/>
      <c r="G331" s="52" t="str">
        <f t="shared" si="2"/>
        <v/>
      </c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</row>
    <row r="332">
      <c r="A332" s="56" t="s">
        <v>1171</v>
      </c>
      <c r="B332" s="56" t="s">
        <v>481</v>
      </c>
      <c r="C332" s="56" t="str">
        <f t="shared" si="1"/>
        <v>mythic electric orb (Verificar aba de drops)</v>
      </c>
      <c r="D332" s="56">
        <v>3.0</v>
      </c>
      <c r="E332" s="56" t="s">
        <v>723</v>
      </c>
      <c r="F332" s="56">
        <v>3.0</v>
      </c>
      <c r="G332" s="56" t="str">
        <f t="shared" si="2"/>
        <v>Electric #3</v>
      </c>
      <c r="H332" s="56" t="s">
        <v>1157</v>
      </c>
      <c r="I332" s="56" t="s">
        <v>1173</v>
      </c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</row>
    <row r="333">
      <c r="A333" s="56" t="s">
        <v>1175</v>
      </c>
      <c r="B333" s="56" t="s">
        <v>1160</v>
      </c>
      <c r="C333" s="56" t="str">
        <f t="shared" si="1"/>
        <v>electric soft wool (Shiny Flaaffy)</v>
      </c>
      <c r="D333" s="56">
        <v>3.0</v>
      </c>
      <c r="E333" s="56" t="s">
        <v>723</v>
      </c>
      <c r="F333" s="56">
        <v>3.0</v>
      </c>
      <c r="G333" s="56" t="str">
        <f t="shared" si="2"/>
        <v>Electric #3</v>
      </c>
      <c r="H333" s="56" t="s">
        <v>1157</v>
      </c>
      <c r="I333" s="56" t="s">
        <v>1173</v>
      </c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</row>
    <row r="334">
      <c r="A334" s="56" t="s">
        <v>1178</v>
      </c>
      <c r="B334" s="56" t="s">
        <v>1159</v>
      </c>
      <c r="C334" s="56" t="str">
        <f t="shared" si="1"/>
        <v>soft wool (Flaaffy)</v>
      </c>
      <c r="D334" s="56">
        <v>120.0</v>
      </c>
      <c r="E334" s="56" t="s">
        <v>723</v>
      </c>
      <c r="F334" s="56">
        <v>3.0</v>
      </c>
      <c r="G334" s="56" t="str">
        <f t="shared" si="2"/>
        <v>Electric #3</v>
      </c>
      <c r="H334" s="56" t="s">
        <v>1157</v>
      </c>
      <c r="I334" s="56" t="s">
        <v>1173</v>
      </c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</row>
    <row r="335">
      <c r="A335" s="52" t="s">
        <v>469</v>
      </c>
      <c r="B335" s="52" t="s">
        <v>469</v>
      </c>
      <c r="C335" s="52" t="str">
        <f t="shared" si="1"/>
        <v/>
      </c>
      <c r="D335" s="52"/>
      <c r="E335" s="52"/>
      <c r="F335" s="52"/>
      <c r="G335" s="52" t="str">
        <f t="shared" si="2"/>
        <v/>
      </c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</row>
    <row r="336">
      <c r="A336" s="56" t="s">
        <v>1171</v>
      </c>
      <c r="B336" s="56" t="s">
        <v>481</v>
      </c>
      <c r="C336" s="56" t="str">
        <f t="shared" si="1"/>
        <v>mythic electric orb (Verificar aba de drops)</v>
      </c>
      <c r="D336" s="56">
        <v>2.0</v>
      </c>
      <c r="E336" s="56" t="s">
        <v>723</v>
      </c>
      <c r="F336" s="56">
        <v>4.0</v>
      </c>
      <c r="G336" s="56" t="str">
        <f t="shared" si="2"/>
        <v>Electric #4</v>
      </c>
      <c r="H336" s="56" t="s">
        <v>1167</v>
      </c>
      <c r="I336" s="56" t="s">
        <v>1185</v>
      </c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</row>
    <row r="337">
      <c r="A337" s="56" t="s">
        <v>1187</v>
      </c>
      <c r="B337" s="56" t="s">
        <v>481</v>
      </c>
      <c r="C337" s="56" t="str">
        <f t="shared" si="1"/>
        <v>electric essence (Verificar aba de drops)</v>
      </c>
      <c r="D337" s="56">
        <v>100.0</v>
      </c>
      <c r="E337" s="56" t="s">
        <v>723</v>
      </c>
      <c r="F337" s="56">
        <v>4.0</v>
      </c>
      <c r="G337" s="56" t="str">
        <f t="shared" si="2"/>
        <v>Electric #4</v>
      </c>
      <c r="H337" s="56" t="s">
        <v>1167</v>
      </c>
      <c r="I337" s="56" t="s">
        <v>1185</v>
      </c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</row>
    <row r="338">
      <c r="A338" s="56" t="s">
        <v>1190</v>
      </c>
      <c r="B338" s="57" t="s">
        <v>1191</v>
      </c>
      <c r="C338" s="56" t="str">
        <f t="shared" si="1"/>
        <v>green crest (Electrike)</v>
      </c>
      <c r="D338" s="56">
        <v>500.0</v>
      </c>
      <c r="E338" s="56" t="s">
        <v>723</v>
      </c>
      <c r="F338" s="56">
        <v>4.0</v>
      </c>
      <c r="G338" s="56" t="str">
        <f t="shared" si="2"/>
        <v>Electric #4</v>
      </c>
      <c r="H338" s="56" t="s">
        <v>1167</v>
      </c>
      <c r="I338" s="56" t="s">
        <v>1185</v>
      </c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</row>
    <row r="339">
      <c r="A339" s="52" t="s">
        <v>469</v>
      </c>
      <c r="B339" s="52" t="s">
        <v>469</v>
      </c>
      <c r="C339" s="52" t="str">
        <f t="shared" si="1"/>
        <v/>
      </c>
      <c r="D339" s="52"/>
      <c r="E339" s="52"/>
      <c r="F339" s="52"/>
      <c r="G339" s="52" t="str">
        <f t="shared" si="2"/>
        <v/>
      </c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</row>
    <row r="340">
      <c r="A340" s="56" t="s">
        <v>1196</v>
      </c>
      <c r="B340" s="56" t="s">
        <v>481</v>
      </c>
      <c r="C340" s="56" t="str">
        <f t="shared" si="1"/>
        <v>arcane electric orb (Verificar aba de drops)</v>
      </c>
      <c r="D340" s="56">
        <v>3.0</v>
      </c>
      <c r="E340" s="56" t="s">
        <v>723</v>
      </c>
      <c r="F340" s="56">
        <v>5.0</v>
      </c>
      <c r="G340" s="56" t="str">
        <f t="shared" si="2"/>
        <v>Electric #5</v>
      </c>
      <c r="H340" s="56" t="s">
        <v>1198</v>
      </c>
      <c r="I340" s="56" t="s">
        <v>1199</v>
      </c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</row>
    <row r="341">
      <c r="A341" s="56" t="s">
        <v>1202</v>
      </c>
      <c r="B341" s="56" t="s">
        <v>934</v>
      </c>
      <c r="C341" s="56" t="str">
        <f t="shared" si="1"/>
        <v>big green piece (Shiny Electrode)</v>
      </c>
      <c r="D341" s="56">
        <v>1.0</v>
      </c>
      <c r="E341" s="56" t="s">
        <v>723</v>
      </c>
      <c r="F341" s="56">
        <v>5.0</v>
      </c>
      <c r="G341" s="56" t="str">
        <f t="shared" si="2"/>
        <v>Electric #5</v>
      </c>
      <c r="H341" s="56" t="s">
        <v>1198</v>
      </c>
      <c r="I341" s="56" t="s">
        <v>1199</v>
      </c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</row>
    <row r="342">
      <c r="A342" s="56" t="s">
        <v>516</v>
      </c>
      <c r="B342" s="56" t="s">
        <v>161</v>
      </c>
      <c r="C342" s="56" t="str">
        <f t="shared" si="1"/>
        <v>electric sheep tail (Ampharos)</v>
      </c>
      <c r="D342" s="56">
        <v>500.0</v>
      </c>
      <c r="E342" s="56" t="s">
        <v>723</v>
      </c>
      <c r="F342" s="56">
        <v>5.0</v>
      </c>
      <c r="G342" s="56" t="str">
        <f t="shared" si="2"/>
        <v>Electric #5</v>
      </c>
      <c r="H342" s="56" t="s">
        <v>1198</v>
      </c>
      <c r="I342" s="56" t="s">
        <v>1199</v>
      </c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</row>
    <row r="343">
      <c r="A343" s="52" t="s">
        <v>469</v>
      </c>
      <c r="B343" s="52" t="s">
        <v>469</v>
      </c>
      <c r="C343" s="52" t="str">
        <f t="shared" si="1"/>
        <v/>
      </c>
      <c r="D343" s="52"/>
      <c r="E343" s="52"/>
      <c r="F343" s="52"/>
      <c r="G343" s="52" t="str">
        <f t="shared" si="2"/>
        <v/>
      </c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</row>
    <row r="344">
      <c r="A344" s="56" t="s">
        <v>1154</v>
      </c>
      <c r="B344" s="56" t="s">
        <v>481</v>
      </c>
      <c r="C344" s="56" t="str">
        <f t="shared" si="1"/>
        <v>simple electric orb (Verificar aba de drops)</v>
      </c>
      <c r="D344" s="56">
        <v>5.0</v>
      </c>
      <c r="E344" s="56" t="s">
        <v>723</v>
      </c>
      <c r="F344" s="56">
        <v>6.0</v>
      </c>
      <c r="G344" s="56" t="str">
        <f t="shared" si="2"/>
        <v>Electric #6</v>
      </c>
      <c r="H344" s="56" t="s">
        <v>1198</v>
      </c>
      <c r="I344" s="56" t="s">
        <v>1208</v>
      </c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</row>
    <row r="345">
      <c r="A345" s="56" t="s">
        <v>1209</v>
      </c>
      <c r="B345" s="56" t="s">
        <v>887</v>
      </c>
      <c r="C345" s="56" t="str">
        <f t="shared" si="1"/>
        <v>blue screws (Shiny Magnemite)</v>
      </c>
      <c r="D345" s="56">
        <v>3.0</v>
      </c>
      <c r="E345" s="56" t="s">
        <v>723</v>
      </c>
      <c r="F345" s="56">
        <v>6.0</v>
      </c>
      <c r="G345" s="56" t="str">
        <f t="shared" si="2"/>
        <v>Electric #6</v>
      </c>
      <c r="H345" s="56" t="s">
        <v>1198</v>
      </c>
      <c r="I345" s="56" t="s">
        <v>1208</v>
      </c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</row>
    <row r="346">
      <c r="A346" s="52" t="s">
        <v>469</v>
      </c>
      <c r="B346" s="52" t="s">
        <v>469</v>
      </c>
      <c r="C346" s="52" t="str">
        <f t="shared" si="1"/>
        <v/>
      </c>
      <c r="D346" s="52"/>
      <c r="E346" s="52"/>
      <c r="F346" s="52"/>
      <c r="G346" s="52" t="str">
        <f t="shared" si="2"/>
        <v/>
      </c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</row>
    <row r="347">
      <c r="A347" s="56" t="s">
        <v>568</v>
      </c>
      <c r="B347" s="56" t="s">
        <v>569</v>
      </c>
      <c r="C347" s="56" t="str">
        <f t="shared" si="1"/>
        <v>remains of voltorb (Voltorb)</v>
      </c>
      <c r="D347" s="56">
        <v>25.0</v>
      </c>
      <c r="E347" s="56" t="s">
        <v>723</v>
      </c>
      <c r="F347" s="56">
        <v>7.0</v>
      </c>
      <c r="G347" s="56" t="str">
        <f t="shared" si="2"/>
        <v>Electric #7</v>
      </c>
      <c r="H347" s="56" t="s">
        <v>1217</v>
      </c>
      <c r="I347" s="56" t="s">
        <v>1218</v>
      </c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</row>
    <row r="348">
      <c r="A348" s="57" t="s">
        <v>563</v>
      </c>
      <c r="B348" s="56" t="s">
        <v>564</v>
      </c>
      <c r="C348" s="56" t="str">
        <f t="shared" si="1"/>
        <v>electric screws (Magnemite)</v>
      </c>
      <c r="D348" s="56">
        <v>25.0</v>
      </c>
      <c r="E348" s="56" t="s">
        <v>723</v>
      </c>
      <c r="F348" s="56">
        <v>7.0</v>
      </c>
      <c r="G348" s="56" t="str">
        <f t="shared" si="2"/>
        <v>Electric #7</v>
      </c>
      <c r="H348" s="56" t="s">
        <v>1217</v>
      </c>
      <c r="I348" s="56" t="s">
        <v>1218</v>
      </c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</row>
    <row r="349">
      <c r="A349" s="52" t="s">
        <v>469</v>
      </c>
      <c r="B349" s="52" t="s">
        <v>469</v>
      </c>
      <c r="C349" s="52" t="str">
        <f t="shared" si="1"/>
        <v/>
      </c>
      <c r="D349" s="52"/>
      <c r="E349" s="52"/>
      <c r="F349" s="52"/>
      <c r="G349" s="52" t="str">
        <f t="shared" si="2"/>
        <v/>
      </c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</row>
    <row r="350">
      <c r="A350" s="56" t="s">
        <v>1196</v>
      </c>
      <c r="B350" s="56" t="s">
        <v>481</v>
      </c>
      <c r="C350" s="56" t="str">
        <f t="shared" si="1"/>
        <v>arcane electric orb (Verificar aba de drops)</v>
      </c>
      <c r="D350" s="56">
        <v>3.0</v>
      </c>
      <c r="E350" s="56" t="s">
        <v>723</v>
      </c>
      <c r="F350" s="56">
        <v>8.0</v>
      </c>
      <c r="G350" s="56" t="str">
        <f t="shared" si="2"/>
        <v>Electric #8</v>
      </c>
      <c r="H350" s="56" t="s">
        <v>1198</v>
      </c>
      <c r="I350" s="56" t="s">
        <v>1229</v>
      </c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</row>
    <row r="351">
      <c r="A351" s="56" t="s">
        <v>1164</v>
      </c>
      <c r="B351" s="57" t="s">
        <v>783</v>
      </c>
      <c r="C351" s="56" t="str">
        <f t="shared" si="1"/>
        <v>electric rat tail (Shiny Pikachu)</v>
      </c>
      <c r="D351" s="56">
        <v>3.0</v>
      </c>
      <c r="E351" s="56" t="s">
        <v>723</v>
      </c>
      <c r="F351" s="56">
        <v>8.0</v>
      </c>
      <c r="G351" s="56" t="str">
        <f t="shared" si="2"/>
        <v>Electric #8</v>
      </c>
      <c r="H351" s="56" t="s">
        <v>1198</v>
      </c>
      <c r="I351" s="56" t="s">
        <v>1229</v>
      </c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</row>
    <row r="352">
      <c r="A352" s="56" t="s">
        <v>520</v>
      </c>
      <c r="B352" s="56" t="s">
        <v>385</v>
      </c>
      <c r="C352" s="56" t="str">
        <f t="shared" si="1"/>
        <v>electric ear (Raichu)</v>
      </c>
      <c r="D352" s="56">
        <v>120.0</v>
      </c>
      <c r="E352" s="56" t="s">
        <v>723</v>
      </c>
      <c r="F352" s="56">
        <v>8.0</v>
      </c>
      <c r="G352" s="56" t="str">
        <f t="shared" si="2"/>
        <v>Electric #8</v>
      </c>
      <c r="H352" s="56" t="s">
        <v>1198</v>
      </c>
      <c r="I352" s="56" t="s">
        <v>1229</v>
      </c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</row>
    <row r="353">
      <c r="A353" s="56" t="s">
        <v>1234</v>
      </c>
      <c r="B353" s="56" t="s">
        <v>481</v>
      </c>
      <c r="C353" s="56" t="str">
        <f t="shared" si="1"/>
        <v>simple fairy orb (Verificar aba de drops)</v>
      </c>
      <c r="D353" s="56">
        <v>5.0</v>
      </c>
      <c r="E353" s="56" t="s">
        <v>728</v>
      </c>
      <c r="F353" s="56">
        <v>1.0</v>
      </c>
      <c r="G353" s="56" t="str">
        <f t="shared" si="2"/>
        <v>Fairy #1</v>
      </c>
      <c r="H353" s="56" t="s">
        <v>1236</v>
      </c>
      <c r="I353" s="56" t="s">
        <v>1237</v>
      </c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</row>
    <row r="354">
      <c r="A354" s="56" t="s">
        <v>1239</v>
      </c>
      <c r="B354" s="56" t="s">
        <v>1227</v>
      </c>
      <c r="C354" s="56" t="str">
        <f t="shared" si="1"/>
        <v>punk ear (Shiny Snubbull)</v>
      </c>
      <c r="D354" s="56">
        <v>3.0</v>
      </c>
      <c r="E354" s="56" t="s">
        <v>728</v>
      </c>
      <c r="F354" s="56">
        <v>1.0</v>
      </c>
      <c r="G354" s="56" t="str">
        <f t="shared" si="2"/>
        <v>Fairy #1</v>
      </c>
      <c r="H354" s="56" t="s">
        <v>1236</v>
      </c>
      <c r="I354" s="56" t="s">
        <v>1237</v>
      </c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</row>
    <row r="355">
      <c r="A355" s="52" t="s">
        <v>469</v>
      </c>
      <c r="B355" s="52" t="s">
        <v>469</v>
      </c>
      <c r="C355" s="52" t="str">
        <f t="shared" si="1"/>
        <v/>
      </c>
      <c r="D355" s="52"/>
      <c r="E355" s="52"/>
      <c r="F355" s="52"/>
      <c r="G355" s="52" t="str">
        <f t="shared" si="2"/>
        <v/>
      </c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</row>
    <row r="356">
      <c r="A356" s="56" t="s">
        <v>1242</v>
      </c>
      <c r="B356" s="56" t="s">
        <v>1226</v>
      </c>
      <c r="C356" s="56" t="str">
        <f t="shared" si="1"/>
        <v>snubull ear (Snubbull)</v>
      </c>
      <c r="D356" s="56">
        <v>50.0</v>
      </c>
      <c r="E356" s="56" t="s">
        <v>728</v>
      </c>
      <c r="F356" s="56">
        <v>2.0</v>
      </c>
      <c r="G356" s="56" t="str">
        <f t="shared" si="2"/>
        <v>Fairy #2</v>
      </c>
      <c r="H356" s="56" t="s">
        <v>1244</v>
      </c>
      <c r="I356" s="56" t="s">
        <v>1245</v>
      </c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</row>
    <row r="357">
      <c r="A357" s="52" t="s">
        <v>469</v>
      </c>
      <c r="B357" s="52" t="s">
        <v>469</v>
      </c>
      <c r="C357" s="52" t="str">
        <f t="shared" si="1"/>
        <v/>
      </c>
      <c r="D357" s="52"/>
      <c r="E357" s="52"/>
      <c r="F357" s="52"/>
      <c r="G357" s="52" t="str">
        <f t="shared" si="2"/>
        <v/>
      </c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</row>
    <row r="358">
      <c r="A358" s="56" t="s">
        <v>1250</v>
      </c>
      <c r="B358" s="56" t="s">
        <v>1230</v>
      </c>
      <c r="C358" s="56" t="str">
        <f t="shared" si="1"/>
        <v>mythic fairy orb (Shiny Granbull)</v>
      </c>
      <c r="D358" s="56">
        <v>3.0</v>
      </c>
      <c r="E358" s="56" t="s">
        <v>728</v>
      </c>
      <c r="F358" s="56">
        <v>3.0</v>
      </c>
      <c r="G358" s="56" t="str">
        <f t="shared" si="2"/>
        <v>Fairy #3</v>
      </c>
      <c r="H358" s="56" t="s">
        <v>1236</v>
      </c>
      <c r="I358" s="56" t="s">
        <v>1253</v>
      </c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</row>
    <row r="359">
      <c r="A359" s="56" t="s">
        <v>1256</v>
      </c>
      <c r="B359" s="56" t="s">
        <v>800</v>
      </c>
      <c r="C359" s="56" t="str">
        <f t="shared" si="1"/>
        <v>purple moon topknot (Shiny Clefairy)</v>
      </c>
      <c r="D359" s="56">
        <v>3.0</v>
      </c>
      <c r="E359" s="56" t="s">
        <v>728</v>
      </c>
      <c r="F359" s="56">
        <v>3.0</v>
      </c>
      <c r="G359" s="56" t="str">
        <f t="shared" si="2"/>
        <v>Fairy #3</v>
      </c>
      <c r="H359" s="56" t="s">
        <v>1236</v>
      </c>
      <c r="I359" s="56" t="s">
        <v>1253</v>
      </c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</row>
    <row r="360">
      <c r="A360" s="56" t="s">
        <v>1261</v>
      </c>
      <c r="B360" s="56" t="s">
        <v>799</v>
      </c>
      <c r="C360" s="56" t="str">
        <f t="shared" si="1"/>
        <v>moon topknot (Clefairy)</v>
      </c>
      <c r="D360" s="56">
        <v>120.0</v>
      </c>
      <c r="E360" s="56" t="s">
        <v>728</v>
      </c>
      <c r="F360" s="56">
        <v>3.0</v>
      </c>
      <c r="G360" s="56" t="str">
        <f t="shared" si="2"/>
        <v>Fairy #3</v>
      </c>
      <c r="H360" s="56" t="s">
        <v>1236</v>
      </c>
      <c r="I360" s="56" t="s">
        <v>1253</v>
      </c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</row>
    <row r="361">
      <c r="A361" s="52" t="s">
        <v>469</v>
      </c>
      <c r="B361" s="52" t="s">
        <v>469</v>
      </c>
      <c r="C361" s="52" t="str">
        <f t="shared" si="1"/>
        <v/>
      </c>
      <c r="D361" s="52"/>
      <c r="E361" s="52"/>
      <c r="F361" s="52"/>
      <c r="G361" s="52" t="str">
        <f t="shared" si="2"/>
        <v/>
      </c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</row>
    <row r="362">
      <c r="A362" s="56" t="s">
        <v>1250</v>
      </c>
      <c r="B362" s="56" t="s">
        <v>1230</v>
      </c>
      <c r="C362" s="56" t="str">
        <f t="shared" si="1"/>
        <v>mythic fairy orb (Shiny Granbull)</v>
      </c>
      <c r="D362" s="56">
        <v>2.0</v>
      </c>
      <c r="E362" s="56" t="s">
        <v>728</v>
      </c>
      <c r="F362" s="56">
        <v>4.0</v>
      </c>
      <c r="G362" s="56" t="str">
        <f t="shared" si="2"/>
        <v>Fairy #4</v>
      </c>
      <c r="H362" s="56" t="s">
        <v>1244</v>
      </c>
      <c r="I362" s="56" t="s">
        <v>1268</v>
      </c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</row>
    <row r="363">
      <c r="A363" s="56" t="s">
        <v>1269</v>
      </c>
      <c r="B363" s="56" t="s">
        <v>481</v>
      </c>
      <c r="C363" s="56" t="str">
        <f t="shared" si="1"/>
        <v>fairy essence (Verificar aba de drops)</v>
      </c>
      <c r="D363" s="56">
        <v>100.0</v>
      </c>
      <c r="E363" s="56" t="s">
        <v>728</v>
      </c>
      <c r="F363" s="56">
        <v>4.0</v>
      </c>
      <c r="G363" s="56" t="str">
        <f t="shared" si="2"/>
        <v>Fairy #4</v>
      </c>
      <c r="H363" s="56" t="s">
        <v>1244</v>
      </c>
      <c r="I363" s="56" t="s">
        <v>1268</v>
      </c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</row>
    <row r="364">
      <c r="A364" s="56" t="s">
        <v>1272</v>
      </c>
      <c r="B364" s="56" t="s">
        <v>1273</v>
      </c>
      <c r="C364" s="56" t="str">
        <f t="shared" si="1"/>
        <v>baby blue tail (Azurill)</v>
      </c>
      <c r="D364" s="56">
        <v>500.0</v>
      </c>
      <c r="E364" s="56" t="s">
        <v>728</v>
      </c>
      <c r="F364" s="56">
        <v>4.0</v>
      </c>
      <c r="G364" s="56" t="str">
        <f t="shared" si="2"/>
        <v>Fairy #4</v>
      </c>
      <c r="H364" s="56" t="s">
        <v>1244</v>
      </c>
      <c r="I364" s="56" t="s">
        <v>1268</v>
      </c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</row>
    <row r="365">
      <c r="A365" s="52" t="s">
        <v>469</v>
      </c>
      <c r="B365" s="52" t="s">
        <v>469</v>
      </c>
      <c r="C365" s="52" t="str">
        <f t="shared" si="1"/>
        <v/>
      </c>
      <c r="D365" s="52"/>
      <c r="E365" s="52"/>
      <c r="F365" s="52"/>
      <c r="G365" s="52" t="str">
        <f t="shared" si="2"/>
        <v/>
      </c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</row>
    <row r="366">
      <c r="A366" s="56" t="s">
        <v>1279</v>
      </c>
      <c r="B366" s="56" t="s">
        <v>481</v>
      </c>
      <c r="C366" s="56" t="str">
        <f t="shared" si="1"/>
        <v>arcane fairy orb (Verificar aba de drops)</v>
      </c>
      <c r="D366" s="56">
        <v>3.0</v>
      </c>
      <c r="E366" s="56" t="s">
        <v>728</v>
      </c>
      <c r="F366" s="56">
        <v>5.0</v>
      </c>
      <c r="G366" s="56" t="str">
        <f t="shared" si="2"/>
        <v>Fairy #5</v>
      </c>
      <c r="H366" s="56" t="s">
        <v>1282</v>
      </c>
      <c r="I366" s="56" t="s">
        <v>1283</v>
      </c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</row>
    <row r="367">
      <c r="A367" s="56" t="s">
        <v>1286</v>
      </c>
      <c r="B367" s="56" t="s">
        <v>1150</v>
      </c>
      <c r="C367" s="56" t="str">
        <f t="shared" si="1"/>
        <v>pink dainty wing (Shiny Togetic)</v>
      </c>
      <c r="D367" s="56">
        <v>1.0</v>
      </c>
      <c r="E367" s="56" t="s">
        <v>728</v>
      </c>
      <c r="F367" s="56">
        <v>5.0</v>
      </c>
      <c r="G367" s="56" t="str">
        <f t="shared" si="2"/>
        <v>Fairy #5</v>
      </c>
      <c r="H367" s="56" t="s">
        <v>1282</v>
      </c>
      <c r="I367" s="56" t="s">
        <v>1283</v>
      </c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</row>
    <row r="368">
      <c r="A368" s="56" t="s">
        <v>462</v>
      </c>
      <c r="B368" s="56" t="s">
        <v>463</v>
      </c>
      <c r="C368" s="56" t="str">
        <f t="shared" si="1"/>
        <v>pink wings (Clefable)</v>
      </c>
      <c r="D368" s="56">
        <v>500.0</v>
      </c>
      <c r="E368" s="56" t="s">
        <v>728</v>
      </c>
      <c r="F368" s="56">
        <v>5.0</v>
      </c>
      <c r="G368" s="56" t="str">
        <f t="shared" si="2"/>
        <v>Fairy #5</v>
      </c>
      <c r="H368" s="56" t="s">
        <v>1282</v>
      </c>
      <c r="I368" s="56" t="s">
        <v>1283</v>
      </c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</row>
    <row r="369">
      <c r="A369" s="52" t="s">
        <v>469</v>
      </c>
      <c r="B369" s="52" t="s">
        <v>469</v>
      </c>
      <c r="C369" s="52" t="str">
        <f t="shared" si="1"/>
        <v/>
      </c>
      <c r="D369" s="52"/>
      <c r="E369" s="52"/>
      <c r="F369" s="52"/>
      <c r="G369" s="52" t="str">
        <f t="shared" si="2"/>
        <v/>
      </c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</row>
    <row r="370">
      <c r="A370" s="56" t="s">
        <v>1234</v>
      </c>
      <c r="B370" s="56" t="s">
        <v>481</v>
      </c>
      <c r="C370" s="56" t="str">
        <f t="shared" si="1"/>
        <v>simple fairy orb (Verificar aba de drops)</v>
      </c>
      <c r="D370" s="56">
        <v>5.0</v>
      </c>
      <c r="E370" s="56" t="s">
        <v>728</v>
      </c>
      <c r="F370" s="56">
        <v>6.0</v>
      </c>
      <c r="G370" s="56" t="str">
        <f t="shared" si="2"/>
        <v>Fairy #6</v>
      </c>
      <c r="H370" s="56" t="s">
        <v>1282</v>
      </c>
      <c r="I370" s="56" t="s">
        <v>1297</v>
      </c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</row>
    <row r="371">
      <c r="A371" s="56" t="s">
        <v>1239</v>
      </c>
      <c r="B371" s="56" t="s">
        <v>1227</v>
      </c>
      <c r="C371" s="56" t="str">
        <f t="shared" si="1"/>
        <v>punk ear (Shiny Snubbull)</v>
      </c>
      <c r="D371" s="56">
        <v>3.0</v>
      </c>
      <c r="E371" s="56" t="s">
        <v>728</v>
      </c>
      <c r="F371" s="56">
        <v>6.0</v>
      </c>
      <c r="G371" s="56" t="str">
        <f t="shared" si="2"/>
        <v>Fairy #6</v>
      </c>
      <c r="H371" s="56" t="s">
        <v>1282</v>
      </c>
      <c r="I371" s="56" t="s">
        <v>1297</v>
      </c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</row>
    <row r="372">
      <c r="A372" s="52" t="s">
        <v>469</v>
      </c>
      <c r="B372" s="52" t="s">
        <v>469</v>
      </c>
      <c r="C372" s="52" t="str">
        <f t="shared" si="1"/>
        <v/>
      </c>
      <c r="D372" s="52"/>
      <c r="E372" s="52"/>
      <c r="F372" s="52"/>
      <c r="G372" s="52" t="str">
        <f t="shared" si="2"/>
        <v/>
      </c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</row>
    <row r="373">
      <c r="A373" s="56" t="s">
        <v>1242</v>
      </c>
      <c r="B373" s="56" t="s">
        <v>1226</v>
      </c>
      <c r="C373" s="56" t="str">
        <f t="shared" si="1"/>
        <v>snubull ear (Snubbull)</v>
      </c>
      <c r="D373" s="56">
        <v>50.0</v>
      </c>
      <c r="E373" s="56" t="s">
        <v>728</v>
      </c>
      <c r="F373" s="56">
        <v>7.0</v>
      </c>
      <c r="G373" s="56" t="str">
        <f t="shared" si="2"/>
        <v>Fairy #7</v>
      </c>
      <c r="H373" s="56" t="s">
        <v>1303</v>
      </c>
      <c r="I373" s="56" t="s">
        <v>1304</v>
      </c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</row>
    <row r="374">
      <c r="A374" s="52" t="s">
        <v>469</v>
      </c>
      <c r="B374" s="52" t="s">
        <v>469</v>
      </c>
      <c r="C374" s="52" t="str">
        <f t="shared" si="1"/>
        <v/>
      </c>
      <c r="D374" s="52"/>
      <c r="E374" s="52"/>
      <c r="F374" s="52"/>
      <c r="G374" s="52" t="str">
        <f t="shared" si="2"/>
        <v/>
      </c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</row>
    <row r="375">
      <c r="A375" s="56" t="s">
        <v>1279</v>
      </c>
      <c r="B375" s="56" t="s">
        <v>481</v>
      </c>
      <c r="C375" s="56" t="str">
        <f t="shared" si="1"/>
        <v>arcane fairy orb (Verificar aba de drops)</v>
      </c>
      <c r="D375" s="56">
        <v>3.0</v>
      </c>
      <c r="E375" s="56" t="s">
        <v>728</v>
      </c>
      <c r="F375" s="56">
        <v>8.0</v>
      </c>
      <c r="G375" s="56" t="str">
        <f t="shared" si="2"/>
        <v>Fairy #8</v>
      </c>
      <c r="H375" s="56" t="s">
        <v>1282</v>
      </c>
      <c r="I375" s="56" t="s">
        <v>1312</v>
      </c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</row>
    <row r="376">
      <c r="A376" s="56" t="s">
        <v>1256</v>
      </c>
      <c r="B376" s="56" t="s">
        <v>800</v>
      </c>
      <c r="C376" s="56" t="str">
        <f t="shared" si="1"/>
        <v>purple moon topknot (Shiny Clefairy)</v>
      </c>
      <c r="D376" s="56">
        <v>3.0</v>
      </c>
      <c r="E376" s="56" t="s">
        <v>728</v>
      </c>
      <c r="F376" s="56">
        <v>8.0</v>
      </c>
      <c r="G376" s="56" t="str">
        <f t="shared" si="2"/>
        <v>Fairy #8</v>
      </c>
      <c r="H376" s="56" t="s">
        <v>1282</v>
      </c>
      <c r="I376" s="56" t="s">
        <v>1312</v>
      </c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</row>
    <row r="377">
      <c r="A377" s="56" t="s">
        <v>1261</v>
      </c>
      <c r="B377" s="56" t="s">
        <v>799</v>
      </c>
      <c r="C377" s="56" t="str">
        <f t="shared" si="1"/>
        <v>moon topknot (Clefairy)</v>
      </c>
      <c r="D377" s="56">
        <v>120.0</v>
      </c>
      <c r="E377" s="56" t="s">
        <v>728</v>
      </c>
      <c r="F377" s="56">
        <v>8.0</v>
      </c>
      <c r="G377" s="56" t="str">
        <f t="shared" si="2"/>
        <v>Fairy #8</v>
      </c>
      <c r="H377" s="56" t="s">
        <v>1282</v>
      </c>
      <c r="I377" s="56" t="s">
        <v>1312</v>
      </c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</row>
    <row r="378">
      <c r="A378" s="56" t="s">
        <v>1318</v>
      </c>
      <c r="B378" s="56" t="s">
        <v>481</v>
      </c>
      <c r="C378" s="56" t="str">
        <f t="shared" si="1"/>
        <v>mythic fighting orb (Verificar aba de drops)</v>
      </c>
      <c r="D378" s="56">
        <v>2.0</v>
      </c>
      <c r="E378" s="56" t="s">
        <v>734</v>
      </c>
      <c r="F378" s="56">
        <v>1.0</v>
      </c>
      <c r="G378" s="56" t="str">
        <f t="shared" si="2"/>
        <v>Fighting #1</v>
      </c>
      <c r="H378" s="56" t="s">
        <v>1320</v>
      </c>
      <c r="I378" s="56" t="s">
        <v>1322</v>
      </c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</row>
    <row r="379">
      <c r="A379" s="56" t="s">
        <v>1324</v>
      </c>
      <c r="B379" s="56" t="s">
        <v>481</v>
      </c>
      <c r="C379" s="56" t="str">
        <f t="shared" si="1"/>
        <v>fighter essence (Verificar aba de drops)</v>
      </c>
      <c r="D379" s="56">
        <v>100.0</v>
      </c>
      <c r="E379" s="56" t="s">
        <v>734</v>
      </c>
      <c r="F379" s="56">
        <v>1.0</v>
      </c>
      <c r="G379" s="56" t="str">
        <f t="shared" si="2"/>
        <v>Fighting #1</v>
      </c>
      <c r="H379" s="56" t="s">
        <v>1320</v>
      </c>
      <c r="I379" s="56" t="s">
        <v>1322</v>
      </c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</row>
    <row r="380">
      <c r="A380" s="131" t="s">
        <v>1330</v>
      </c>
      <c r="B380" s="57" t="s">
        <v>1336</v>
      </c>
      <c r="C380" s="56" t="str">
        <f t="shared" si="1"/>
        <v>boxing gloves (Makuhita)</v>
      </c>
      <c r="D380" s="131">
        <v>500.0</v>
      </c>
      <c r="E380" s="56" t="s">
        <v>734</v>
      </c>
      <c r="F380" s="131">
        <v>1.0</v>
      </c>
      <c r="G380" s="56" t="str">
        <f t="shared" si="2"/>
        <v>Fighting #1</v>
      </c>
      <c r="H380" s="131" t="s">
        <v>1320</v>
      </c>
      <c r="I380" s="56" t="s">
        <v>1322</v>
      </c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</row>
    <row r="381">
      <c r="A381" s="52" t="s">
        <v>469</v>
      </c>
      <c r="B381" s="52" t="s">
        <v>469</v>
      </c>
      <c r="C381" s="52" t="str">
        <f t="shared" si="1"/>
        <v/>
      </c>
      <c r="D381" s="52"/>
      <c r="E381" s="52"/>
      <c r="F381" s="52"/>
      <c r="G381" s="52" t="str">
        <f t="shared" si="2"/>
        <v/>
      </c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</row>
    <row r="382">
      <c r="A382" s="56" t="s">
        <v>1318</v>
      </c>
      <c r="B382" s="56" t="s">
        <v>481</v>
      </c>
      <c r="C382" s="56" t="str">
        <f t="shared" si="1"/>
        <v>mythic fighting orb (Verificar aba de drops)</v>
      </c>
      <c r="D382" s="56">
        <v>3.0</v>
      </c>
      <c r="E382" s="56" t="s">
        <v>734</v>
      </c>
      <c r="F382" s="56">
        <v>2.0</v>
      </c>
      <c r="G382" s="56" t="str">
        <f t="shared" si="2"/>
        <v>Fighting #2</v>
      </c>
      <c r="H382" s="56" t="s">
        <v>1320</v>
      </c>
      <c r="I382" s="56" t="s">
        <v>1343</v>
      </c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</row>
    <row r="383">
      <c r="A383" s="56" t="s">
        <v>1344</v>
      </c>
      <c r="B383" s="56" t="s">
        <v>836</v>
      </c>
      <c r="C383" s="56" t="str">
        <f t="shared" si="1"/>
        <v>metal bracelet (Shiny Primeape)</v>
      </c>
      <c r="D383" s="56">
        <v>2.0</v>
      </c>
      <c r="E383" s="56" t="s">
        <v>734</v>
      </c>
      <c r="F383" s="56">
        <v>2.0</v>
      </c>
      <c r="G383" s="56" t="str">
        <f t="shared" si="2"/>
        <v>Fighting #2</v>
      </c>
      <c r="H383" s="56" t="s">
        <v>1320</v>
      </c>
      <c r="I383" s="56" t="s">
        <v>1343</v>
      </c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</row>
    <row r="384">
      <c r="A384" s="56" t="s">
        <v>1346</v>
      </c>
      <c r="B384" s="56" t="s">
        <v>365</v>
      </c>
      <c r="C384" s="56" t="str">
        <f t="shared" si="1"/>
        <v>punching machine (Hitmonchan)</v>
      </c>
      <c r="D384" s="56">
        <v>500.0</v>
      </c>
      <c r="E384" s="56" t="s">
        <v>734</v>
      </c>
      <c r="F384" s="56">
        <v>2.0</v>
      </c>
      <c r="G384" s="56" t="str">
        <f t="shared" si="2"/>
        <v>Fighting #2</v>
      </c>
      <c r="H384" s="56" t="s">
        <v>1320</v>
      </c>
      <c r="I384" s="56" t="s">
        <v>1343</v>
      </c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</row>
    <row r="385">
      <c r="A385" s="52" t="s">
        <v>469</v>
      </c>
      <c r="B385" s="52" t="s">
        <v>469</v>
      </c>
      <c r="C385" s="52" t="str">
        <f t="shared" si="1"/>
        <v/>
      </c>
      <c r="D385" s="52"/>
      <c r="E385" s="52"/>
      <c r="F385" s="52"/>
      <c r="G385" s="52" t="str">
        <f t="shared" si="2"/>
        <v/>
      </c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</row>
    <row r="386">
      <c r="A386" s="56" t="s">
        <v>1352</v>
      </c>
      <c r="B386" s="56" t="s">
        <v>481</v>
      </c>
      <c r="C386" s="56" t="str">
        <f t="shared" si="1"/>
        <v>simple fighting orb (Verificar aba de drops)</v>
      </c>
      <c r="D386" s="56">
        <v>5.0</v>
      </c>
      <c r="E386" s="56" t="s">
        <v>734</v>
      </c>
      <c r="F386" s="56">
        <v>3.0</v>
      </c>
      <c r="G386" s="56" t="str">
        <f t="shared" si="2"/>
        <v>Fighting #3</v>
      </c>
      <c r="H386" s="56" t="s">
        <v>1354</v>
      </c>
      <c r="I386" s="56" t="s">
        <v>1355</v>
      </c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</row>
    <row r="387">
      <c r="A387" s="56" t="s">
        <v>1357</v>
      </c>
      <c r="B387" s="56" t="s">
        <v>858</v>
      </c>
      <c r="C387" s="56" t="str">
        <f t="shared" si="1"/>
        <v>blond hawk (Shiny Machop)</v>
      </c>
      <c r="D387" s="56">
        <v>3.0</v>
      </c>
      <c r="E387" s="56" t="s">
        <v>734</v>
      </c>
      <c r="F387" s="56">
        <v>3.0</v>
      </c>
      <c r="G387" s="56" t="str">
        <f t="shared" si="2"/>
        <v>Fighting #3</v>
      </c>
      <c r="H387" s="56" t="s">
        <v>1354</v>
      </c>
      <c r="I387" s="56" t="s">
        <v>1355</v>
      </c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</row>
    <row r="388">
      <c r="A388" s="52" t="s">
        <v>469</v>
      </c>
      <c r="B388" s="52" t="s">
        <v>469</v>
      </c>
      <c r="C388" s="52" t="str">
        <f t="shared" si="1"/>
        <v/>
      </c>
      <c r="D388" s="52"/>
      <c r="E388" s="52"/>
      <c r="F388" s="52"/>
      <c r="G388" s="52" t="str">
        <f t="shared" si="2"/>
        <v/>
      </c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</row>
    <row r="389">
      <c r="A389" s="56" t="s">
        <v>1363</v>
      </c>
      <c r="B389" s="56" t="s">
        <v>11</v>
      </c>
      <c r="C389" s="56" t="str">
        <f t="shared" si="1"/>
        <v>mankey tail (Mankey)</v>
      </c>
      <c r="D389" s="56">
        <v>50.0</v>
      </c>
      <c r="E389" s="56" t="s">
        <v>734</v>
      </c>
      <c r="F389" s="56">
        <v>4.0</v>
      </c>
      <c r="G389" s="56" t="str">
        <f t="shared" si="2"/>
        <v>Fighting #4</v>
      </c>
      <c r="H389" s="56" t="s">
        <v>1320</v>
      </c>
      <c r="I389" s="56" t="s">
        <v>1365</v>
      </c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</row>
    <row r="390">
      <c r="A390" s="52" t="s">
        <v>469</v>
      </c>
      <c r="B390" s="52" t="s">
        <v>469</v>
      </c>
      <c r="C390" s="52" t="str">
        <f t="shared" si="1"/>
        <v/>
      </c>
      <c r="D390" s="52"/>
      <c r="E390" s="52"/>
      <c r="F390" s="52"/>
      <c r="G390" s="52" t="str">
        <f t="shared" si="2"/>
        <v/>
      </c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</row>
    <row r="391">
      <c r="A391" s="56" t="s">
        <v>1369</v>
      </c>
      <c r="B391" s="56" t="s">
        <v>481</v>
      </c>
      <c r="C391" s="56" t="str">
        <f t="shared" si="1"/>
        <v>arcane fighting orb (Verificar aba de drops)</v>
      </c>
      <c r="D391" s="56">
        <v>3.0</v>
      </c>
      <c r="E391" s="56" t="s">
        <v>734</v>
      </c>
      <c r="F391" s="56">
        <v>5.0</v>
      </c>
      <c r="G391" s="56" t="str">
        <f t="shared" si="2"/>
        <v>Fighting #5</v>
      </c>
      <c r="H391" s="56" t="s">
        <v>1354</v>
      </c>
      <c r="I391" s="56" t="s">
        <v>1370</v>
      </c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</row>
    <row r="392">
      <c r="A392" s="56" t="s">
        <v>1372</v>
      </c>
      <c r="B392" s="56" t="s">
        <v>860</v>
      </c>
      <c r="C392" s="56" t="str">
        <f t="shared" si="1"/>
        <v>champion underwear (Shiny Machoke)</v>
      </c>
      <c r="D392" s="56">
        <v>3.0</v>
      </c>
      <c r="E392" s="56" t="s">
        <v>734</v>
      </c>
      <c r="F392" s="56">
        <v>5.0</v>
      </c>
      <c r="G392" s="56" t="str">
        <f t="shared" si="2"/>
        <v>Fighting #5</v>
      </c>
      <c r="H392" s="56" t="s">
        <v>1354</v>
      </c>
      <c r="I392" s="56" t="s">
        <v>1370</v>
      </c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</row>
    <row r="393">
      <c r="A393" s="56" t="s">
        <v>1375</v>
      </c>
      <c r="B393" s="56" t="s">
        <v>859</v>
      </c>
      <c r="C393" s="56" t="str">
        <f t="shared" si="1"/>
        <v>fighter underwear (Machoke)</v>
      </c>
      <c r="D393" s="56">
        <v>120.0</v>
      </c>
      <c r="E393" s="56" t="s">
        <v>734</v>
      </c>
      <c r="F393" s="56">
        <v>5.0</v>
      </c>
      <c r="G393" s="56" t="str">
        <f t="shared" si="2"/>
        <v>Fighting #5</v>
      </c>
      <c r="H393" s="56" t="s">
        <v>1354</v>
      </c>
      <c r="I393" s="56" t="s">
        <v>1370</v>
      </c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</row>
    <row r="394">
      <c r="A394" s="52" t="s">
        <v>469</v>
      </c>
      <c r="B394" s="52" t="s">
        <v>469</v>
      </c>
      <c r="C394" s="52" t="str">
        <f t="shared" si="1"/>
        <v/>
      </c>
      <c r="D394" s="52"/>
      <c r="E394" s="52"/>
      <c r="F394" s="52"/>
      <c r="G394" s="52" t="str">
        <f t="shared" si="2"/>
        <v/>
      </c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</row>
    <row r="395">
      <c r="A395" s="56" t="s">
        <v>1352</v>
      </c>
      <c r="B395" s="56" t="s">
        <v>481</v>
      </c>
      <c r="C395" s="56" t="str">
        <f t="shared" si="1"/>
        <v>simple fighting orb (Verificar aba de drops)</v>
      </c>
      <c r="D395" s="56">
        <v>5.0</v>
      </c>
      <c r="E395" s="56" t="s">
        <v>734</v>
      </c>
      <c r="F395" s="56">
        <v>6.0</v>
      </c>
      <c r="G395" s="56" t="str">
        <f t="shared" si="2"/>
        <v>Fighting #6</v>
      </c>
      <c r="H395" s="56" t="s">
        <v>1381</v>
      </c>
      <c r="I395" s="56" t="s">
        <v>1382</v>
      </c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</row>
    <row r="396">
      <c r="A396" s="56" t="s">
        <v>1383</v>
      </c>
      <c r="B396" s="57" t="s">
        <v>834</v>
      </c>
      <c r="C396" s="56" t="str">
        <f t="shared" si="1"/>
        <v>white monkey tail (Shiny Mankey)</v>
      </c>
      <c r="D396" s="56">
        <v>3.0</v>
      </c>
      <c r="E396" s="56" t="s">
        <v>734</v>
      </c>
      <c r="F396" s="56">
        <v>6.0</v>
      </c>
      <c r="G396" s="56" t="str">
        <f t="shared" si="2"/>
        <v>Fighting #6</v>
      </c>
      <c r="H396" s="56" t="s">
        <v>1381</v>
      </c>
      <c r="I396" s="56" t="s">
        <v>1382</v>
      </c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</row>
    <row r="397">
      <c r="A397" s="52" t="s">
        <v>469</v>
      </c>
      <c r="B397" s="52" t="s">
        <v>469</v>
      </c>
      <c r="C397" s="52" t="str">
        <f t="shared" si="1"/>
        <v/>
      </c>
      <c r="D397" s="52"/>
      <c r="E397" s="52"/>
      <c r="F397" s="52"/>
      <c r="G397" s="52" t="str">
        <f t="shared" si="2"/>
        <v/>
      </c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</row>
    <row r="398">
      <c r="A398" s="56" t="s">
        <v>447</v>
      </c>
      <c r="B398" s="56" t="s">
        <v>448</v>
      </c>
      <c r="C398" s="56" t="str">
        <f t="shared" si="1"/>
        <v>fighter hawk (Machop)</v>
      </c>
      <c r="D398" s="56">
        <v>50.0</v>
      </c>
      <c r="E398" s="56" t="s">
        <v>734</v>
      </c>
      <c r="F398" s="56">
        <v>7.0</v>
      </c>
      <c r="G398" s="56" t="str">
        <f t="shared" si="2"/>
        <v>Fighting #7</v>
      </c>
      <c r="H398" s="56" t="s">
        <v>1391</v>
      </c>
      <c r="I398" s="56" t="s">
        <v>1392</v>
      </c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</row>
    <row r="399">
      <c r="A399" s="52" t="s">
        <v>469</v>
      </c>
      <c r="B399" s="52" t="s">
        <v>469</v>
      </c>
      <c r="C399" s="52" t="str">
        <f t="shared" si="1"/>
        <v/>
      </c>
      <c r="D399" s="52"/>
      <c r="E399" s="52"/>
      <c r="F399" s="52"/>
      <c r="G399" s="52" t="str">
        <f t="shared" si="2"/>
        <v/>
      </c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</row>
    <row r="400">
      <c r="A400" s="56" t="s">
        <v>1369</v>
      </c>
      <c r="B400" s="56" t="s">
        <v>481</v>
      </c>
      <c r="C400" s="56" t="str">
        <f t="shared" si="1"/>
        <v>arcane fighting orb (Verificar aba de drops)</v>
      </c>
      <c r="D400" s="56">
        <v>3.0</v>
      </c>
      <c r="E400" s="56" t="s">
        <v>734</v>
      </c>
      <c r="F400" s="56">
        <v>8.0</v>
      </c>
      <c r="G400" s="56" t="str">
        <f t="shared" si="2"/>
        <v>Fighting #8</v>
      </c>
      <c r="H400" s="56" t="s">
        <v>1381</v>
      </c>
      <c r="I400" s="56" t="s">
        <v>1399</v>
      </c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</row>
    <row r="401">
      <c r="A401" s="56" t="s">
        <v>1372</v>
      </c>
      <c r="B401" s="56" t="s">
        <v>860</v>
      </c>
      <c r="C401" s="56" t="str">
        <f t="shared" si="1"/>
        <v>champion underwear (Shiny Machoke)</v>
      </c>
      <c r="D401" s="56">
        <v>3.0</v>
      </c>
      <c r="E401" s="56" t="s">
        <v>734</v>
      </c>
      <c r="F401" s="56">
        <v>8.0</v>
      </c>
      <c r="G401" s="56" t="str">
        <f t="shared" si="2"/>
        <v>Fighting #8</v>
      </c>
      <c r="H401" s="56" t="s">
        <v>1381</v>
      </c>
      <c r="I401" s="56" t="s">
        <v>1399</v>
      </c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</row>
    <row r="402">
      <c r="A402" s="56" t="s">
        <v>1375</v>
      </c>
      <c r="B402" s="56" t="s">
        <v>859</v>
      </c>
      <c r="C402" s="56" t="str">
        <f t="shared" si="1"/>
        <v>fighter underwear (Machoke)</v>
      </c>
      <c r="D402" s="56">
        <v>120.0</v>
      </c>
      <c r="E402" s="56" t="s">
        <v>734</v>
      </c>
      <c r="F402" s="56">
        <v>8.0</v>
      </c>
      <c r="G402" s="56" t="str">
        <f t="shared" si="2"/>
        <v>Fighting #8</v>
      </c>
      <c r="H402" s="56" t="s">
        <v>1381</v>
      </c>
      <c r="I402" s="56" t="s">
        <v>1399</v>
      </c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</row>
    <row r="403">
      <c r="A403" s="57" t="s">
        <v>1408</v>
      </c>
      <c r="B403" s="56" t="s">
        <v>481</v>
      </c>
      <c r="C403" s="56" t="str">
        <f t="shared" si="1"/>
        <v>mythic fire orb (Verificar aba de drops)</v>
      </c>
      <c r="D403" s="56">
        <v>2.0</v>
      </c>
      <c r="E403" s="56" t="s">
        <v>710</v>
      </c>
      <c r="F403" s="56">
        <v>1.0</v>
      </c>
      <c r="G403" s="56" t="str">
        <f t="shared" si="2"/>
        <v>Fire #1</v>
      </c>
      <c r="H403" s="56" t="s">
        <v>1410</v>
      </c>
      <c r="I403" s="56" t="s">
        <v>1412</v>
      </c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</row>
    <row r="404">
      <c r="A404" s="56" t="s">
        <v>1324</v>
      </c>
      <c r="B404" s="56" t="s">
        <v>481</v>
      </c>
      <c r="C404" s="56" t="str">
        <f t="shared" si="1"/>
        <v>fighter essence (Verificar aba de drops)</v>
      </c>
      <c r="D404" s="56">
        <v>100.0</v>
      </c>
      <c r="E404" s="56" t="s">
        <v>710</v>
      </c>
      <c r="F404" s="56">
        <v>1.0</v>
      </c>
      <c r="G404" s="56" t="str">
        <f t="shared" si="2"/>
        <v>Fire #1</v>
      </c>
      <c r="H404" s="56" t="s">
        <v>1410</v>
      </c>
      <c r="I404" s="56" t="s">
        <v>1412</v>
      </c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</row>
    <row r="405">
      <c r="A405" s="56" t="s">
        <v>1418</v>
      </c>
      <c r="B405" s="57" t="s">
        <v>1332</v>
      </c>
      <c r="C405" s="56" t="str">
        <f t="shared" si="1"/>
        <v>fire plume (Torchic)</v>
      </c>
      <c r="D405" s="56">
        <v>500.0</v>
      </c>
      <c r="E405" s="56" t="s">
        <v>710</v>
      </c>
      <c r="F405" s="56">
        <v>1.0</v>
      </c>
      <c r="G405" s="56" t="str">
        <f t="shared" si="2"/>
        <v>Fire #1</v>
      </c>
      <c r="H405" s="56" t="s">
        <v>1410</v>
      </c>
      <c r="I405" s="56" t="s">
        <v>1412</v>
      </c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</row>
    <row r="406">
      <c r="A406" s="52" t="s">
        <v>469</v>
      </c>
      <c r="B406" s="52" t="s">
        <v>469</v>
      </c>
      <c r="C406" s="52" t="str">
        <f t="shared" si="1"/>
        <v/>
      </c>
      <c r="D406" s="52"/>
      <c r="E406" s="52"/>
      <c r="F406" s="52"/>
      <c r="G406" s="52" t="str">
        <f t="shared" si="2"/>
        <v/>
      </c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</row>
    <row r="407">
      <c r="A407" s="57" t="s">
        <v>1408</v>
      </c>
      <c r="B407" s="56" t="s">
        <v>481</v>
      </c>
      <c r="C407" s="56" t="str">
        <f t="shared" si="1"/>
        <v>mythic fire orb (Verificar aba de drops)</v>
      </c>
      <c r="D407" s="56">
        <v>3.0</v>
      </c>
      <c r="E407" s="56" t="s">
        <v>710</v>
      </c>
      <c r="F407" s="56">
        <v>2.0</v>
      </c>
      <c r="G407" s="56" t="str">
        <f t="shared" si="2"/>
        <v>Fire #2</v>
      </c>
      <c r="H407" s="56" t="s">
        <v>1410</v>
      </c>
      <c r="I407" s="56" t="s">
        <v>1425</v>
      </c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</row>
    <row r="408">
      <c r="A408" s="56" t="s">
        <v>1428</v>
      </c>
      <c r="B408" s="56" t="s">
        <v>1429</v>
      </c>
      <c r="C408" s="56" t="str">
        <f t="shared" si="1"/>
        <v>black lizard tail (Shiny Charmelion)</v>
      </c>
      <c r="D408" s="56">
        <v>2.0</v>
      </c>
      <c r="E408" s="56" t="s">
        <v>710</v>
      </c>
      <c r="F408" s="56">
        <v>2.0</v>
      </c>
      <c r="G408" s="56" t="str">
        <f t="shared" si="2"/>
        <v>Fire #2</v>
      </c>
      <c r="H408" s="56" t="s">
        <v>1410</v>
      </c>
      <c r="I408" s="56" t="s">
        <v>1425</v>
      </c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</row>
    <row r="409">
      <c r="A409" s="56" t="s">
        <v>479</v>
      </c>
      <c r="B409" s="56" t="s">
        <v>372</v>
      </c>
      <c r="C409" s="56" t="str">
        <f t="shared" si="1"/>
        <v>magma shell (Magcargo)</v>
      </c>
      <c r="D409" s="56">
        <v>500.0</v>
      </c>
      <c r="E409" s="56" t="s">
        <v>710</v>
      </c>
      <c r="F409" s="56">
        <v>2.0</v>
      </c>
      <c r="G409" s="56" t="str">
        <f t="shared" si="2"/>
        <v>Fire #2</v>
      </c>
      <c r="H409" s="56" t="s">
        <v>1410</v>
      </c>
      <c r="I409" s="56" t="s">
        <v>1425</v>
      </c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</row>
    <row r="410">
      <c r="A410" s="52" t="s">
        <v>469</v>
      </c>
      <c r="B410" s="52" t="s">
        <v>469</v>
      </c>
      <c r="C410" s="52" t="str">
        <f t="shared" si="1"/>
        <v/>
      </c>
      <c r="D410" s="52"/>
      <c r="E410" s="52"/>
      <c r="F410" s="52"/>
      <c r="G410" s="52" t="str">
        <f t="shared" si="2"/>
        <v/>
      </c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</row>
    <row r="411">
      <c r="A411" s="56" t="s">
        <v>1440</v>
      </c>
      <c r="B411" s="56" t="s">
        <v>481</v>
      </c>
      <c r="C411" s="56" t="str">
        <f t="shared" si="1"/>
        <v>simple fire orb (Verificar aba de drops)</v>
      </c>
      <c r="D411" s="56">
        <v>5.0</v>
      </c>
      <c r="E411" s="56" t="s">
        <v>710</v>
      </c>
      <c r="F411" s="56">
        <v>3.0</v>
      </c>
      <c r="G411" s="56" t="str">
        <f t="shared" si="2"/>
        <v>Fire #3</v>
      </c>
      <c r="H411" s="56" t="s">
        <v>1442</v>
      </c>
      <c r="I411" s="56" t="s">
        <v>1444</v>
      </c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</row>
    <row r="412">
      <c r="A412" s="56" t="s">
        <v>1446</v>
      </c>
      <c r="B412" s="56" t="s">
        <v>803</v>
      </c>
      <c r="C412" s="56" t="str">
        <f t="shared" si="1"/>
        <v>blue canine tail (Shiny Vulpix)</v>
      </c>
      <c r="D412" s="56">
        <v>3.0</v>
      </c>
      <c r="E412" s="56" t="s">
        <v>710</v>
      </c>
      <c r="F412" s="56">
        <v>3.0</v>
      </c>
      <c r="G412" s="56" t="str">
        <f t="shared" si="2"/>
        <v>Fire #3</v>
      </c>
      <c r="H412" s="56" t="s">
        <v>1442</v>
      </c>
      <c r="I412" s="56" t="s">
        <v>1444</v>
      </c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</row>
    <row r="413">
      <c r="A413" s="52" t="s">
        <v>469</v>
      </c>
      <c r="B413" s="52" t="s">
        <v>469</v>
      </c>
      <c r="C413" s="52" t="str">
        <f t="shared" si="1"/>
        <v/>
      </c>
      <c r="D413" s="52"/>
      <c r="E413" s="52"/>
      <c r="F413" s="52"/>
      <c r="G413" s="52" t="str">
        <f t="shared" si="2"/>
        <v/>
      </c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</row>
    <row r="414">
      <c r="A414" s="56" t="s">
        <v>588</v>
      </c>
      <c r="B414" s="56" t="s">
        <v>589</v>
      </c>
      <c r="C414" s="56" t="str">
        <f t="shared" si="1"/>
        <v>fire hair (Ponyta)</v>
      </c>
      <c r="D414" s="56">
        <v>25.0</v>
      </c>
      <c r="E414" s="56" t="s">
        <v>710</v>
      </c>
      <c r="F414" s="56">
        <v>4.0</v>
      </c>
      <c r="G414" s="56" t="str">
        <f t="shared" si="2"/>
        <v>Fire #4</v>
      </c>
      <c r="H414" s="56" t="s">
        <v>1410</v>
      </c>
      <c r="I414" s="56" t="s">
        <v>1456</v>
      </c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</row>
    <row r="415">
      <c r="A415" s="56" t="s">
        <v>1459</v>
      </c>
      <c r="B415" s="56" t="s">
        <v>838</v>
      </c>
      <c r="C415" s="56" t="str">
        <f t="shared" si="1"/>
        <v>dog fur (Growlithe)</v>
      </c>
      <c r="D415" s="56">
        <v>25.0</v>
      </c>
      <c r="E415" s="56" t="s">
        <v>710</v>
      </c>
      <c r="F415" s="56">
        <v>4.0</v>
      </c>
      <c r="G415" s="56" t="str">
        <f t="shared" si="2"/>
        <v>Fire #4</v>
      </c>
      <c r="H415" s="56" t="s">
        <v>1410</v>
      </c>
      <c r="I415" s="56" t="s">
        <v>1456</v>
      </c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</row>
    <row r="416">
      <c r="A416" s="52" t="s">
        <v>469</v>
      </c>
      <c r="B416" s="52" t="s">
        <v>469</v>
      </c>
      <c r="C416" s="52" t="str">
        <f t="shared" si="1"/>
        <v/>
      </c>
      <c r="D416" s="52"/>
      <c r="E416" s="52"/>
      <c r="F416" s="52"/>
      <c r="G416" s="52" t="str">
        <f t="shared" si="2"/>
        <v/>
      </c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</row>
    <row r="417">
      <c r="A417" s="56" t="s">
        <v>1466</v>
      </c>
      <c r="B417" s="56" t="s">
        <v>481</v>
      </c>
      <c r="C417" s="56" t="str">
        <f t="shared" si="1"/>
        <v>arcane fire orb (Verificar aba de drops)</v>
      </c>
      <c r="D417" s="56">
        <v>3.0</v>
      </c>
      <c r="E417" s="56" t="s">
        <v>710</v>
      </c>
      <c r="F417" s="56">
        <v>5.0</v>
      </c>
      <c r="G417" s="56" t="str">
        <f t="shared" si="2"/>
        <v>Fire #5</v>
      </c>
      <c r="H417" s="56" t="s">
        <v>1442</v>
      </c>
      <c r="I417" s="56" t="s">
        <v>1469</v>
      </c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</row>
    <row r="418">
      <c r="A418" s="56" t="s">
        <v>1428</v>
      </c>
      <c r="B418" s="56" t="s">
        <v>1429</v>
      </c>
      <c r="C418" s="56" t="str">
        <f t="shared" si="1"/>
        <v>black lizard tail (Shiny Charmelion)</v>
      </c>
      <c r="D418" s="56">
        <v>3.0</v>
      </c>
      <c r="E418" s="56" t="s">
        <v>710</v>
      </c>
      <c r="F418" s="56">
        <v>5.0</v>
      </c>
      <c r="G418" s="56" t="str">
        <f t="shared" si="2"/>
        <v>Fire #5</v>
      </c>
      <c r="H418" s="56" t="s">
        <v>1442</v>
      </c>
      <c r="I418" s="56" t="s">
        <v>1469</v>
      </c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</row>
    <row r="419">
      <c r="A419" s="56" t="s">
        <v>1474</v>
      </c>
      <c r="B419" s="56" t="s">
        <v>1475</v>
      </c>
      <c r="C419" s="56" t="str">
        <f t="shared" si="1"/>
        <v>lizard tail (Charmelion)</v>
      </c>
      <c r="D419" s="56">
        <v>120.0</v>
      </c>
      <c r="E419" s="56" t="s">
        <v>710</v>
      </c>
      <c r="F419" s="56">
        <v>5.0</v>
      </c>
      <c r="G419" s="56" t="str">
        <f t="shared" si="2"/>
        <v>Fire #5</v>
      </c>
      <c r="H419" s="56" t="s">
        <v>1442</v>
      </c>
      <c r="I419" s="56" t="s">
        <v>1469</v>
      </c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</row>
    <row r="420">
      <c r="A420" s="52" t="s">
        <v>469</v>
      </c>
      <c r="B420" s="52" t="s">
        <v>469</v>
      </c>
      <c r="C420" s="52" t="str">
        <f t="shared" si="1"/>
        <v/>
      </c>
      <c r="D420" s="52"/>
      <c r="E420" s="52"/>
      <c r="F420" s="52"/>
      <c r="G420" s="52" t="str">
        <f t="shared" si="2"/>
        <v/>
      </c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</row>
    <row r="421">
      <c r="A421" s="56" t="s">
        <v>1440</v>
      </c>
      <c r="B421" s="56" t="s">
        <v>481</v>
      </c>
      <c r="C421" s="56" t="str">
        <f t="shared" si="1"/>
        <v>simple fire orb (Verificar aba de drops)</v>
      </c>
      <c r="D421" s="56">
        <v>5.0</v>
      </c>
      <c r="E421" s="56" t="s">
        <v>710</v>
      </c>
      <c r="F421" s="56">
        <v>6.0</v>
      </c>
      <c r="G421" s="56" t="str">
        <f t="shared" si="2"/>
        <v>Fire #6</v>
      </c>
      <c r="H421" s="56" t="s">
        <v>1484</v>
      </c>
      <c r="I421" s="56" t="s">
        <v>1485</v>
      </c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</row>
    <row r="422">
      <c r="A422" s="56" t="s">
        <v>1488</v>
      </c>
      <c r="B422" s="56" t="s">
        <v>724</v>
      </c>
      <c r="C422" s="56" t="str">
        <f t="shared" si="1"/>
        <v>black tail (Shiny Charmander)</v>
      </c>
      <c r="D422" s="56">
        <v>3.0</v>
      </c>
      <c r="E422" s="56" t="s">
        <v>710</v>
      </c>
      <c r="F422" s="56">
        <v>6.0</v>
      </c>
      <c r="G422" s="56" t="str">
        <f t="shared" si="2"/>
        <v>Fire #6</v>
      </c>
      <c r="H422" s="56" t="s">
        <v>1484</v>
      </c>
      <c r="I422" s="56" t="s">
        <v>1485</v>
      </c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</row>
    <row r="423">
      <c r="A423" s="52" t="s">
        <v>469</v>
      </c>
      <c r="B423" s="52" t="s">
        <v>469</v>
      </c>
      <c r="C423" s="52" t="str">
        <f t="shared" si="1"/>
        <v/>
      </c>
      <c r="D423" s="52"/>
      <c r="E423" s="52"/>
      <c r="F423" s="52"/>
      <c r="G423" s="52" t="str">
        <f t="shared" si="2"/>
        <v/>
      </c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</row>
    <row r="424">
      <c r="A424" s="56" t="s">
        <v>1494</v>
      </c>
      <c r="B424" s="56" t="s">
        <v>722</v>
      </c>
      <c r="C424" s="56" t="str">
        <f t="shared" si="1"/>
        <v>fire tail (Charmander)</v>
      </c>
      <c r="D424" s="56">
        <v>25.0</v>
      </c>
      <c r="E424" s="56" t="s">
        <v>710</v>
      </c>
      <c r="F424" s="56">
        <v>7.0</v>
      </c>
      <c r="G424" s="56" t="str">
        <f t="shared" si="2"/>
        <v>Fire #7</v>
      </c>
      <c r="H424" s="56" t="s">
        <v>1496</v>
      </c>
      <c r="I424" s="56" t="s">
        <v>1498</v>
      </c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</row>
    <row r="425">
      <c r="A425" s="56" t="s">
        <v>1500</v>
      </c>
      <c r="B425" s="56" t="s">
        <v>802</v>
      </c>
      <c r="C425" s="56" t="str">
        <f t="shared" si="1"/>
        <v>canine tail (Vulpix)</v>
      </c>
      <c r="D425" s="56">
        <v>25.0</v>
      </c>
      <c r="E425" s="56" t="s">
        <v>710</v>
      </c>
      <c r="F425" s="56">
        <v>7.0</v>
      </c>
      <c r="G425" s="56" t="str">
        <f t="shared" si="2"/>
        <v>Fire #7</v>
      </c>
      <c r="H425" s="56" t="s">
        <v>1496</v>
      </c>
      <c r="I425" s="56" t="s">
        <v>1498</v>
      </c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</row>
    <row r="426">
      <c r="A426" s="52" t="s">
        <v>469</v>
      </c>
      <c r="B426" s="52" t="s">
        <v>469</v>
      </c>
      <c r="C426" s="52" t="str">
        <f t="shared" si="1"/>
        <v/>
      </c>
      <c r="D426" s="52"/>
      <c r="E426" s="52"/>
      <c r="F426" s="52"/>
      <c r="G426" s="52" t="str">
        <f t="shared" si="2"/>
        <v/>
      </c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</row>
    <row r="427">
      <c r="A427" s="56" t="s">
        <v>1466</v>
      </c>
      <c r="B427" s="56" t="s">
        <v>481</v>
      </c>
      <c r="C427" s="56" t="str">
        <f t="shared" si="1"/>
        <v>arcane fire orb (Verificar aba de drops)</v>
      </c>
      <c r="D427" s="56">
        <v>3.0</v>
      </c>
      <c r="E427" s="56" t="s">
        <v>710</v>
      </c>
      <c r="F427" s="56">
        <v>8.0</v>
      </c>
      <c r="G427" s="56" t="str">
        <f t="shared" si="2"/>
        <v>Fire #8</v>
      </c>
      <c r="H427" s="56" t="s">
        <v>1484</v>
      </c>
      <c r="I427" s="56" t="s">
        <v>1513</v>
      </c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</row>
    <row r="428">
      <c r="A428" s="56" t="s">
        <v>1517</v>
      </c>
      <c r="B428" s="56" t="s">
        <v>1099</v>
      </c>
      <c r="C428" s="56" t="str">
        <f t="shared" si="1"/>
        <v>blaze fur (Shiny Quilava)</v>
      </c>
      <c r="D428" s="56">
        <v>3.0</v>
      </c>
      <c r="E428" s="56" t="s">
        <v>710</v>
      </c>
      <c r="F428" s="56">
        <v>8.0</v>
      </c>
      <c r="G428" s="56" t="str">
        <f t="shared" si="2"/>
        <v>Fire #8</v>
      </c>
      <c r="H428" s="56" t="s">
        <v>1484</v>
      </c>
      <c r="I428" s="56" t="s">
        <v>1513</v>
      </c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</row>
    <row r="429">
      <c r="A429" s="56" t="s">
        <v>1521</v>
      </c>
      <c r="B429" s="56" t="s">
        <v>1098</v>
      </c>
      <c r="C429" s="56" t="str">
        <f t="shared" si="1"/>
        <v>quilava fur (Quilava)</v>
      </c>
      <c r="D429" s="56">
        <v>120.0</v>
      </c>
      <c r="E429" s="56" t="s">
        <v>710</v>
      </c>
      <c r="F429" s="56">
        <v>8.0</v>
      </c>
      <c r="G429" s="56" t="str">
        <f t="shared" si="2"/>
        <v>Fire #8</v>
      </c>
      <c r="H429" s="56" t="s">
        <v>1484</v>
      </c>
      <c r="I429" s="56" t="s">
        <v>1513</v>
      </c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</row>
    <row r="430">
      <c r="A430" s="56" t="s">
        <v>1526</v>
      </c>
      <c r="B430" s="56" t="s">
        <v>481</v>
      </c>
      <c r="C430" s="56" t="str">
        <f t="shared" si="1"/>
        <v>mythic flying orb (Verificar aba de drops)</v>
      </c>
      <c r="D430" s="56">
        <v>2.0</v>
      </c>
      <c r="E430" s="56" t="s">
        <v>717</v>
      </c>
      <c r="F430" s="56">
        <v>1.0</v>
      </c>
      <c r="G430" s="56" t="str">
        <f t="shared" si="2"/>
        <v>Flying #1</v>
      </c>
      <c r="H430" s="56" t="s">
        <v>1529</v>
      </c>
      <c r="I430" s="56" t="s">
        <v>1530</v>
      </c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</row>
    <row r="431">
      <c r="A431" s="56" t="s">
        <v>1532</v>
      </c>
      <c r="B431" s="56" t="s">
        <v>481</v>
      </c>
      <c r="C431" s="56" t="str">
        <f t="shared" si="1"/>
        <v>flying essence (Verificar aba de drops)</v>
      </c>
      <c r="D431" s="56">
        <v>100.0</v>
      </c>
      <c r="E431" s="56" t="s">
        <v>717</v>
      </c>
      <c r="F431" s="56">
        <v>1.0</v>
      </c>
      <c r="G431" s="56" t="str">
        <f t="shared" si="2"/>
        <v>Flying #1</v>
      </c>
      <c r="H431" s="56" t="s">
        <v>1529</v>
      </c>
      <c r="I431" s="56" t="s">
        <v>1530</v>
      </c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</row>
    <row r="432">
      <c r="A432" s="56" t="s">
        <v>1536</v>
      </c>
      <c r="B432" s="56" t="s">
        <v>1379</v>
      </c>
      <c r="C432" s="56" t="str">
        <f t="shared" si="1"/>
        <v>feather tail (Taillow)</v>
      </c>
      <c r="D432" s="56">
        <v>500.0</v>
      </c>
      <c r="E432" s="56" t="s">
        <v>717</v>
      </c>
      <c r="F432" s="56">
        <v>1.0</v>
      </c>
      <c r="G432" s="56" t="str">
        <f t="shared" si="2"/>
        <v>Flying #1</v>
      </c>
      <c r="H432" s="56" t="s">
        <v>1529</v>
      </c>
      <c r="I432" s="56" t="s">
        <v>1530</v>
      </c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</row>
    <row r="433">
      <c r="A433" s="52" t="s">
        <v>469</v>
      </c>
      <c r="B433" s="52" t="s">
        <v>469</v>
      </c>
      <c r="C433" s="52" t="str">
        <f t="shared" si="1"/>
        <v/>
      </c>
      <c r="D433" s="52"/>
      <c r="E433" s="52"/>
      <c r="F433" s="52"/>
      <c r="G433" s="52" t="str">
        <f t="shared" si="2"/>
        <v/>
      </c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</row>
    <row r="434">
      <c r="A434" s="56" t="s">
        <v>1526</v>
      </c>
      <c r="B434" s="56" t="s">
        <v>481</v>
      </c>
      <c r="C434" s="56" t="str">
        <f t="shared" si="1"/>
        <v>mythic flying orb (Verificar aba de drops)</v>
      </c>
      <c r="D434" s="56">
        <v>3.0</v>
      </c>
      <c r="E434" s="56" t="s">
        <v>717</v>
      </c>
      <c r="F434" s="56">
        <v>2.0</v>
      </c>
      <c r="G434" s="56" t="str">
        <f t="shared" si="2"/>
        <v>Flying #2</v>
      </c>
      <c r="H434" s="56" t="s">
        <v>1529</v>
      </c>
      <c r="I434" s="56" t="s">
        <v>1544</v>
      </c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</row>
    <row r="435">
      <c r="A435" s="56" t="s">
        <v>1545</v>
      </c>
      <c r="B435" s="56" t="s">
        <v>1131</v>
      </c>
      <c r="C435" s="56" t="str">
        <f t="shared" si="1"/>
        <v>shiny bat wing (Shiny Crobat)</v>
      </c>
      <c r="D435" s="56">
        <v>1.0</v>
      </c>
      <c r="E435" s="56" t="s">
        <v>717</v>
      </c>
      <c r="F435" s="56">
        <v>2.0</v>
      </c>
      <c r="G435" s="56" t="str">
        <f t="shared" si="2"/>
        <v>Flying #2</v>
      </c>
      <c r="H435" s="56" t="s">
        <v>1529</v>
      </c>
      <c r="I435" s="56" t="s">
        <v>1544</v>
      </c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</row>
    <row r="436">
      <c r="A436" s="56" t="s">
        <v>1550</v>
      </c>
      <c r="B436" s="56" t="s">
        <v>315</v>
      </c>
      <c r="C436" s="56" t="str">
        <f t="shared" si="1"/>
        <v>dodrio feather (Dodrio)</v>
      </c>
      <c r="D436" s="56">
        <v>500.0</v>
      </c>
      <c r="E436" s="56" t="s">
        <v>717</v>
      </c>
      <c r="F436" s="56">
        <v>2.0</v>
      </c>
      <c r="G436" s="56" t="str">
        <f t="shared" si="2"/>
        <v>Flying #2</v>
      </c>
      <c r="H436" s="56" t="s">
        <v>1529</v>
      </c>
      <c r="I436" s="56" t="s">
        <v>1544</v>
      </c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</row>
    <row r="437">
      <c r="A437" s="52" t="s">
        <v>469</v>
      </c>
      <c r="B437" s="52" t="s">
        <v>469</v>
      </c>
      <c r="C437" s="52" t="str">
        <f t="shared" si="1"/>
        <v/>
      </c>
      <c r="D437" s="52"/>
      <c r="E437" s="52"/>
      <c r="F437" s="52"/>
      <c r="G437" s="52" t="str">
        <f t="shared" si="2"/>
        <v/>
      </c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</row>
    <row r="438">
      <c r="A438" s="56" t="s">
        <v>604</v>
      </c>
      <c r="B438" s="56" t="s">
        <v>605</v>
      </c>
      <c r="C438" s="56" t="str">
        <f t="shared" si="1"/>
        <v>bird wing (Spearow)</v>
      </c>
      <c r="D438" s="56">
        <v>50.0</v>
      </c>
      <c r="E438" s="56" t="s">
        <v>717</v>
      </c>
      <c r="F438" s="56">
        <v>3.0</v>
      </c>
      <c r="G438" s="56" t="str">
        <f t="shared" si="2"/>
        <v>Flying #3</v>
      </c>
      <c r="H438" s="56" t="s">
        <v>1529</v>
      </c>
      <c r="I438" s="56" t="s">
        <v>1555</v>
      </c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</row>
    <row r="439">
      <c r="A439" s="52" t="s">
        <v>469</v>
      </c>
      <c r="B439" s="52" t="s">
        <v>469</v>
      </c>
      <c r="C439" s="52" t="str">
        <f t="shared" si="1"/>
        <v/>
      </c>
      <c r="D439" s="52"/>
      <c r="E439" s="52"/>
      <c r="F439" s="52"/>
      <c r="G439" s="52" t="str">
        <f t="shared" si="2"/>
        <v/>
      </c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</row>
    <row r="440">
      <c r="A440" s="57" t="s">
        <v>1558</v>
      </c>
      <c r="B440" s="56" t="s">
        <v>481</v>
      </c>
      <c r="C440" s="56" t="str">
        <f t="shared" si="1"/>
        <v>simple flying orb (Verificar aba de drops)</v>
      </c>
      <c r="D440" s="56">
        <v>5.0</v>
      </c>
      <c r="E440" s="56" t="s">
        <v>717</v>
      </c>
      <c r="F440" s="56">
        <v>4.0</v>
      </c>
      <c r="G440" s="56" t="str">
        <f t="shared" si="2"/>
        <v>Flying #4</v>
      </c>
      <c r="H440" s="56" t="s">
        <v>1560</v>
      </c>
      <c r="I440" s="56" t="s">
        <v>1561</v>
      </c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</row>
    <row r="441">
      <c r="A441" s="56" t="s">
        <v>601</v>
      </c>
      <c r="B441" s="56" t="s">
        <v>602</v>
      </c>
      <c r="C441" s="56" t="str">
        <f t="shared" si="1"/>
        <v>carmine wing (Shiny Spearow)</v>
      </c>
      <c r="D441" s="56">
        <v>3.0</v>
      </c>
      <c r="E441" s="56" t="s">
        <v>717</v>
      </c>
      <c r="F441" s="56">
        <v>4.0</v>
      </c>
      <c r="G441" s="56" t="str">
        <f t="shared" si="2"/>
        <v>Flying #4</v>
      </c>
      <c r="H441" s="56" t="s">
        <v>1560</v>
      </c>
      <c r="I441" s="56" t="s">
        <v>1561</v>
      </c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</row>
    <row r="442">
      <c r="A442" s="52" t="s">
        <v>469</v>
      </c>
      <c r="B442" s="52" t="s">
        <v>469</v>
      </c>
      <c r="C442" s="52" t="str">
        <f t="shared" si="1"/>
        <v/>
      </c>
      <c r="D442" s="52"/>
      <c r="E442" s="52"/>
      <c r="F442" s="52"/>
      <c r="G442" s="52" t="str">
        <f t="shared" si="2"/>
        <v/>
      </c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</row>
    <row r="443">
      <c r="A443" s="56" t="s">
        <v>1568</v>
      </c>
      <c r="B443" s="56" t="s">
        <v>481</v>
      </c>
      <c r="C443" s="56" t="str">
        <f t="shared" si="1"/>
        <v>arcane flying orb (Verificar aba de drops)</v>
      </c>
      <c r="D443" s="56">
        <v>3.0</v>
      </c>
      <c r="E443" s="56" t="s">
        <v>717</v>
      </c>
      <c r="F443" s="56">
        <v>5.0</v>
      </c>
      <c r="G443" s="56" t="str">
        <f t="shared" si="2"/>
        <v>Flying #5</v>
      </c>
      <c r="H443" s="56" t="s">
        <v>1560</v>
      </c>
      <c r="I443" s="56" t="s">
        <v>1570</v>
      </c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</row>
    <row r="444">
      <c r="A444" s="56" t="s">
        <v>1571</v>
      </c>
      <c r="B444" s="56" t="s">
        <v>759</v>
      </c>
      <c r="C444" s="56" t="str">
        <f t="shared" si="1"/>
        <v>two-colored tail (Shiny Pidgeotto)</v>
      </c>
      <c r="D444" s="56">
        <v>3.0</v>
      </c>
      <c r="E444" s="56" t="s">
        <v>717</v>
      </c>
      <c r="F444" s="56">
        <v>5.0</v>
      </c>
      <c r="G444" s="56" t="str">
        <f t="shared" si="2"/>
        <v>Flying #5</v>
      </c>
      <c r="H444" s="56" t="s">
        <v>1560</v>
      </c>
      <c r="I444" s="56" t="s">
        <v>1570</v>
      </c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</row>
    <row r="445">
      <c r="A445" s="56" t="s">
        <v>1573</v>
      </c>
      <c r="B445" s="56" t="s">
        <v>758</v>
      </c>
      <c r="C445" s="56" t="str">
        <f t="shared" si="1"/>
        <v>bird tail (Pidgeotto)</v>
      </c>
      <c r="D445" s="56">
        <v>120.0</v>
      </c>
      <c r="E445" s="56" t="s">
        <v>717</v>
      </c>
      <c r="F445" s="56">
        <v>5.0</v>
      </c>
      <c r="G445" s="56" t="str">
        <f t="shared" si="2"/>
        <v>Flying #5</v>
      </c>
      <c r="H445" s="56" t="s">
        <v>1560</v>
      </c>
      <c r="I445" s="56" t="s">
        <v>1570</v>
      </c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</row>
    <row r="446">
      <c r="A446" s="52" t="s">
        <v>469</v>
      </c>
      <c r="B446" s="52" t="s">
        <v>469</v>
      </c>
      <c r="C446" s="52" t="str">
        <f t="shared" si="1"/>
        <v/>
      </c>
      <c r="D446" s="52"/>
      <c r="E446" s="52"/>
      <c r="F446" s="52"/>
      <c r="G446" s="52" t="str">
        <f t="shared" si="2"/>
        <v/>
      </c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</row>
    <row r="447">
      <c r="A447" s="56" t="s">
        <v>607</v>
      </c>
      <c r="B447" s="57" t="s">
        <v>608</v>
      </c>
      <c r="C447" s="56" t="str">
        <f t="shared" si="1"/>
        <v>bird crest (Pidgey)</v>
      </c>
      <c r="D447" s="56">
        <v>50.0</v>
      </c>
      <c r="E447" s="56" t="s">
        <v>717</v>
      </c>
      <c r="F447" s="56">
        <v>6.0</v>
      </c>
      <c r="G447" s="56" t="str">
        <f t="shared" si="2"/>
        <v>Flying #6</v>
      </c>
      <c r="H447" s="56" t="s">
        <v>1582</v>
      </c>
      <c r="I447" s="56" t="s">
        <v>1583</v>
      </c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</row>
    <row r="448">
      <c r="A448" s="52" t="s">
        <v>469</v>
      </c>
      <c r="B448" s="52" t="s">
        <v>469</v>
      </c>
      <c r="C448" s="52" t="str">
        <f t="shared" si="1"/>
        <v/>
      </c>
      <c r="D448" s="52"/>
      <c r="E448" s="52"/>
      <c r="F448" s="52"/>
      <c r="G448" s="52" t="str">
        <f t="shared" si="2"/>
        <v/>
      </c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</row>
    <row r="449">
      <c r="A449" s="56" t="s">
        <v>1558</v>
      </c>
      <c r="B449" s="56" t="s">
        <v>481</v>
      </c>
      <c r="C449" s="56" t="str">
        <f t="shared" si="1"/>
        <v>simple flying orb (Verificar aba de drops)</v>
      </c>
      <c r="D449" s="56">
        <v>5.0</v>
      </c>
      <c r="E449" s="56" t="s">
        <v>717</v>
      </c>
      <c r="F449" s="56">
        <v>7.0</v>
      </c>
      <c r="G449" s="56" t="str">
        <f t="shared" si="2"/>
        <v>Flying #7</v>
      </c>
      <c r="H449" s="56" t="s">
        <v>1595</v>
      </c>
      <c r="I449" s="56" t="s">
        <v>1596</v>
      </c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</row>
    <row r="450">
      <c r="A450" s="56" t="s">
        <v>598</v>
      </c>
      <c r="B450" s="56" t="s">
        <v>599</v>
      </c>
      <c r="C450" s="56" t="str">
        <f t="shared" si="1"/>
        <v>yellow bird crest (Shiny Pidgey)</v>
      </c>
      <c r="D450" s="56">
        <v>3.0</v>
      </c>
      <c r="E450" s="56" t="s">
        <v>717</v>
      </c>
      <c r="F450" s="56">
        <v>7.0</v>
      </c>
      <c r="G450" s="56" t="str">
        <f t="shared" si="2"/>
        <v>Flying #7</v>
      </c>
      <c r="H450" s="56" t="s">
        <v>1595</v>
      </c>
      <c r="I450" s="56" t="s">
        <v>1596</v>
      </c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</row>
    <row r="451">
      <c r="A451" s="52" t="s">
        <v>469</v>
      </c>
      <c r="B451" s="52" t="s">
        <v>469</v>
      </c>
      <c r="C451" s="52" t="str">
        <f t="shared" si="1"/>
        <v/>
      </c>
      <c r="D451" s="52"/>
      <c r="E451" s="52"/>
      <c r="F451" s="52"/>
      <c r="G451" s="52" t="str">
        <f t="shared" si="2"/>
        <v/>
      </c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</row>
    <row r="452">
      <c r="A452" s="56" t="s">
        <v>1568</v>
      </c>
      <c r="B452" s="56" t="s">
        <v>481</v>
      </c>
      <c r="C452" s="56" t="str">
        <f t="shared" si="1"/>
        <v>arcane flying orb (Verificar aba de drops)</v>
      </c>
      <c r="D452" s="56">
        <v>3.0</v>
      </c>
      <c r="E452" s="56" t="s">
        <v>717</v>
      </c>
      <c r="F452" s="56">
        <v>8.0</v>
      </c>
      <c r="G452" s="56" t="str">
        <f t="shared" si="2"/>
        <v>Flying #8</v>
      </c>
      <c r="H452" s="56" t="s">
        <v>1595</v>
      </c>
      <c r="I452" s="56" t="s">
        <v>1608</v>
      </c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</row>
    <row r="453">
      <c r="A453" s="56" t="s">
        <v>1571</v>
      </c>
      <c r="B453" s="56" t="s">
        <v>759</v>
      </c>
      <c r="C453" s="56" t="str">
        <f t="shared" si="1"/>
        <v>two-colored tail (Shiny Pidgeotto)</v>
      </c>
      <c r="D453" s="56">
        <v>3.0</v>
      </c>
      <c r="E453" s="56" t="s">
        <v>717</v>
      </c>
      <c r="F453" s="56">
        <v>8.0</v>
      </c>
      <c r="G453" s="56" t="str">
        <f t="shared" si="2"/>
        <v>Flying #8</v>
      </c>
      <c r="H453" s="56" t="s">
        <v>1595</v>
      </c>
      <c r="I453" s="56" t="s">
        <v>1608</v>
      </c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</row>
    <row r="454">
      <c r="A454" s="56" t="s">
        <v>1573</v>
      </c>
      <c r="B454" s="56" t="s">
        <v>758</v>
      </c>
      <c r="C454" s="56" t="str">
        <f t="shared" si="1"/>
        <v>bird tail (Pidgeotto)</v>
      </c>
      <c r="D454" s="56">
        <v>120.0</v>
      </c>
      <c r="E454" s="56" t="s">
        <v>717</v>
      </c>
      <c r="F454" s="56">
        <v>8.0</v>
      </c>
      <c r="G454" s="56" t="str">
        <f t="shared" si="2"/>
        <v>Flying #8</v>
      </c>
      <c r="H454" s="56" t="s">
        <v>1595</v>
      </c>
      <c r="I454" s="56" t="s">
        <v>1608</v>
      </c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</row>
    <row r="455">
      <c r="A455" s="56" t="s">
        <v>1617</v>
      </c>
      <c r="B455" s="56" t="s">
        <v>481</v>
      </c>
      <c r="C455" s="56" t="str">
        <f t="shared" si="1"/>
        <v>mythic ghost orb (Verificar aba de drops)</v>
      </c>
      <c r="D455" s="56">
        <v>2.0</v>
      </c>
      <c r="E455" s="56" t="s">
        <v>742</v>
      </c>
      <c r="F455" s="56">
        <v>1.0</v>
      </c>
      <c r="G455" s="56" t="str">
        <f t="shared" si="2"/>
        <v>Ghost #1</v>
      </c>
      <c r="H455" s="56" t="s">
        <v>1619</v>
      </c>
      <c r="I455" s="56" t="s">
        <v>1620</v>
      </c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</row>
    <row r="456">
      <c r="A456" s="56" t="s">
        <v>1622</v>
      </c>
      <c r="B456" s="56" t="s">
        <v>481</v>
      </c>
      <c r="C456" s="56" t="str">
        <f t="shared" si="1"/>
        <v>ghost essence (Verificar aba de drops)</v>
      </c>
      <c r="D456" s="56">
        <v>100.0</v>
      </c>
      <c r="E456" s="56" t="s">
        <v>742</v>
      </c>
      <c r="F456" s="56">
        <v>1.0</v>
      </c>
      <c r="G456" s="56" t="str">
        <f t="shared" si="2"/>
        <v>Ghost #1</v>
      </c>
      <c r="H456" s="56" t="s">
        <v>1619</v>
      </c>
      <c r="I456" s="56" t="s">
        <v>1620</v>
      </c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</row>
    <row r="457">
      <c r="A457" s="56" t="s">
        <v>1627</v>
      </c>
      <c r="B457" s="56" t="s">
        <v>1527</v>
      </c>
      <c r="C457" s="56" t="str">
        <f t="shared" si="1"/>
        <v>gray cloth (Shuppet)</v>
      </c>
      <c r="D457" s="56">
        <v>500.0</v>
      </c>
      <c r="E457" s="56" t="s">
        <v>742</v>
      </c>
      <c r="F457" s="56">
        <v>1.0</v>
      </c>
      <c r="G457" s="56" t="str">
        <f t="shared" si="2"/>
        <v>Ghost #1</v>
      </c>
      <c r="H457" s="56" t="s">
        <v>1619</v>
      </c>
      <c r="I457" s="56" t="s">
        <v>1620</v>
      </c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</row>
    <row r="458">
      <c r="A458" s="52" t="s">
        <v>469</v>
      </c>
      <c r="B458" s="52" t="s">
        <v>469</v>
      </c>
      <c r="C458" s="52" t="str">
        <f t="shared" si="1"/>
        <v/>
      </c>
      <c r="D458" s="52"/>
      <c r="E458" s="52"/>
      <c r="F458" s="52"/>
      <c r="G458" s="52" t="str">
        <f t="shared" si="2"/>
        <v/>
      </c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</row>
    <row r="459">
      <c r="A459" s="56" t="s">
        <v>1617</v>
      </c>
      <c r="B459" s="56" t="s">
        <v>481</v>
      </c>
      <c r="C459" s="56" t="str">
        <f t="shared" si="1"/>
        <v>mythic ghost orb (Verificar aba de drops)</v>
      </c>
      <c r="D459" s="56">
        <v>3.0</v>
      </c>
      <c r="E459" s="56" t="s">
        <v>742</v>
      </c>
      <c r="F459" s="56">
        <v>2.0</v>
      </c>
      <c r="G459" s="56" t="str">
        <f t="shared" si="2"/>
        <v>Ghost #2</v>
      </c>
      <c r="H459" s="56" t="s">
        <v>1619</v>
      </c>
      <c r="I459" s="56" t="s">
        <v>1634</v>
      </c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</row>
    <row r="460">
      <c r="A460" s="56" t="s">
        <v>1636</v>
      </c>
      <c r="B460" s="56" t="s">
        <v>910</v>
      </c>
      <c r="C460" s="56" t="str">
        <f t="shared" si="1"/>
        <v>dark claw (Shiny Haunter)</v>
      </c>
      <c r="D460" s="56">
        <v>3.0</v>
      </c>
      <c r="E460" s="56" t="s">
        <v>742</v>
      </c>
      <c r="F460" s="56">
        <v>2.0</v>
      </c>
      <c r="G460" s="56" t="str">
        <f t="shared" si="2"/>
        <v>Ghost #2</v>
      </c>
      <c r="H460" s="56" t="s">
        <v>1619</v>
      </c>
      <c r="I460" s="56" t="s">
        <v>1634</v>
      </c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</row>
    <row r="461">
      <c r="A461" s="56" t="s">
        <v>1639</v>
      </c>
      <c r="B461" s="56" t="s">
        <v>909</v>
      </c>
      <c r="C461" s="56" t="str">
        <f t="shared" si="1"/>
        <v>ghost claw (Haunter)</v>
      </c>
      <c r="D461" s="56">
        <v>500.0</v>
      </c>
      <c r="E461" s="56" t="s">
        <v>742</v>
      </c>
      <c r="F461" s="56">
        <v>2.0</v>
      </c>
      <c r="G461" s="56" t="str">
        <f t="shared" si="2"/>
        <v>Ghost #2</v>
      </c>
      <c r="H461" s="56" t="s">
        <v>1619</v>
      </c>
      <c r="I461" s="56" t="s">
        <v>1634</v>
      </c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</row>
    <row r="462">
      <c r="A462" s="52" t="s">
        <v>469</v>
      </c>
      <c r="B462" s="52" t="s">
        <v>469</v>
      </c>
      <c r="C462" s="52" t="str">
        <f t="shared" si="1"/>
        <v/>
      </c>
      <c r="D462" s="52"/>
      <c r="E462" s="52"/>
      <c r="F462" s="52"/>
      <c r="G462" s="52" t="str">
        <f t="shared" si="2"/>
        <v/>
      </c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</row>
    <row r="463">
      <c r="A463" s="56" t="s">
        <v>1644</v>
      </c>
      <c r="B463" s="56" t="s">
        <v>907</v>
      </c>
      <c r="C463" s="56" t="str">
        <f t="shared" si="1"/>
        <v>simple ghost orb (Shiny Gastly)</v>
      </c>
      <c r="D463" s="56">
        <v>5.0</v>
      </c>
      <c r="E463" s="56" t="s">
        <v>742</v>
      </c>
      <c r="F463" s="56">
        <v>3.0</v>
      </c>
      <c r="G463" s="56" t="str">
        <f t="shared" si="2"/>
        <v>Ghost #3</v>
      </c>
      <c r="H463" s="56" t="s">
        <v>1646</v>
      </c>
      <c r="I463" s="56" t="s">
        <v>1647</v>
      </c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</row>
    <row r="464">
      <c r="A464" s="56" t="s">
        <v>1636</v>
      </c>
      <c r="B464" s="56" t="s">
        <v>910</v>
      </c>
      <c r="C464" s="56" t="str">
        <f t="shared" si="1"/>
        <v>dark claw (Shiny Haunter)</v>
      </c>
      <c r="D464" s="56">
        <v>3.0</v>
      </c>
      <c r="E464" s="56" t="s">
        <v>742</v>
      </c>
      <c r="F464" s="56">
        <v>3.0</v>
      </c>
      <c r="G464" s="56" t="str">
        <f t="shared" si="2"/>
        <v>Ghost #3</v>
      </c>
      <c r="H464" s="56" t="s">
        <v>1646</v>
      </c>
      <c r="I464" s="56" t="s">
        <v>1647</v>
      </c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</row>
    <row r="465">
      <c r="A465" s="56" t="s">
        <v>1639</v>
      </c>
      <c r="B465" s="56" t="s">
        <v>909</v>
      </c>
      <c r="C465" s="56" t="str">
        <f t="shared" si="1"/>
        <v>ghost claw (Haunter)</v>
      </c>
      <c r="D465" s="56">
        <v>500.0</v>
      </c>
      <c r="E465" s="56" t="s">
        <v>742</v>
      </c>
      <c r="F465" s="56">
        <v>3.0</v>
      </c>
      <c r="G465" s="56" t="str">
        <f t="shared" si="2"/>
        <v>Ghost #3</v>
      </c>
      <c r="H465" s="56" t="s">
        <v>1646</v>
      </c>
      <c r="I465" s="56" t="s">
        <v>1647</v>
      </c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</row>
    <row r="466">
      <c r="A466" s="56" t="s">
        <v>1655</v>
      </c>
      <c r="B466" s="56" t="s">
        <v>396</v>
      </c>
      <c r="C466" s="56" t="str">
        <f t="shared" si="1"/>
        <v>miss traces (Misdreavus)</v>
      </c>
      <c r="D466" s="56">
        <v>750.0</v>
      </c>
      <c r="E466" s="56" t="s">
        <v>742</v>
      </c>
      <c r="F466" s="56">
        <v>3.0</v>
      </c>
      <c r="G466" s="56" t="str">
        <f t="shared" si="2"/>
        <v>Ghost #3</v>
      </c>
      <c r="H466" s="56" t="s">
        <v>1646</v>
      </c>
      <c r="I466" s="56" t="s">
        <v>1647</v>
      </c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</row>
    <row r="467">
      <c r="A467" s="56" t="s">
        <v>1659</v>
      </c>
      <c r="B467" s="56" t="s">
        <v>623</v>
      </c>
      <c r="C467" s="56" t="str">
        <f t="shared" si="1"/>
        <v>ectoplasm (Gengar)</v>
      </c>
      <c r="D467" s="56">
        <v>1000.0</v>
      </c>
      <c r="E467" s="56" t="s">
        <v>742</v>
      </c>
      <c r="F467" s="56">
        <v>3.0</v>
      </c>
      <c r="G467" s="56" t="str">
        <f t="shared" si="2"/>
        <v>Ghost #3</v>
      </c>
      <c r="H467" s="56" t="s">
        <v>1646</v>
      </c>
      <c r="I467" s="56" t="s">
        <v>1647</v>
      </c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</row>
    <row r="468">
      <c r="A468" s="52" t="s">
        <v>469</v>
      </c>
      <c r="B468" s="52" t="s">
        <v>469</v>
      </c>
      <c r="C468" s="52" t="str">
        <f t="shared" si="1"/>
        <v/>
      </c>
      <c r="D468" s="52"/>
      <c r="E468" s="52"/>
      <c r="F468" s="52"/>
      <c r="G468" s="52" t="str">
        <f t="shared" si="2"/>
        <v/>
      </c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</row>
    <row r="469">
      <c r="A469" s="56" t="s">
        <v>1664</v>
      </c>
      <c r="B469" s="56" t="s">
        <v>906</v>
      </c>
      <c r="C469" s="56" t="str">
        <f t="shared" si="1"/>
        <v>ghost bottle (Gastly)</v>
      </c>
      <c r="D469" s="56">
        <v>50.0</v>
      </c>
      <c r="E469" s="56" t="s">
        <v>742</v>
      </c>
      <c r="F469" s="56">
        <v>4.0</v>
      </c>
      <c r="G469" s="56" t="str">
        <f t="shared" si="2"/>
        <v>Ghost #4</v>
      </c>
      <c r="H469" s="56" t="s">
        <v>1619</v>
      </c>
      <c r="I469" s="56" t="s">
        <v>1666</v>
      </c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</row>
    <row r="470">
      <c r="A470" s="52" t="s">
        <v>469</v>
      </c>
      <c r="B470" s="52" t="s">
        <v>469</v>
      </c>
      <c r="C470" s="52" t="str">
        <f t="shared" si="1"/>
        <v/>
      </c>
      <c r="D470" s="52"/>
      <c r="E470" s="52"/>
      <c r="F470" s="52"/>
      <c r="G470" s="52" t="str">
        <f t="shared" si="2"/>
        <v/>
      </c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</row>
    <row r="471">
      <c r="A471" s="56" t="s">
        <v>1644</v>
      </c>
      <c r="B471" s="56" t="s">
        <v>907</v>
      </c>
      <c r="C471" s="56" t="str">
        <f t="shared" si="1"/>
        <v>simple ghost orb (Shiny Gastly)</v>
      </c>
      <c r="D471" s="56">
        <v>5.0</v>
      </c>
      <c r="E471" s="56" t="s">
        <v>742</v>
      </c>
      <c r="F471" s="56">
        <v>5.0</v>
      </c>
      <c r="G471" s="56" t="str">
        <f t="shared" si="2"/>
        <v>Ghost #5</v>
      </c>
      <c r="H471" s="56" t="s">
        <v>1646</v>
      </c>
      <c r="I471" s="56" t="s">
        <v>1675</v>
      </c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</row>
    <row r="472">
      <c r="A472" s="56" t="s">
        <v>1677</v>
      </c>
      <c r="B472" s="56" t="s">
        <v>907</v>
      </c>
      <c r="C472" s="56" t="str">
        <f t="shared" si="1"/>
        <v>green ghost bottle (Shiny Gastly)</v>
      </c>
      <c r="D472" s="56">
        <v>3.0</v>
      </c>
      <c r="E472" s="56" t="s">
        <v>742</v>
      </c>
      <c r="F472" s="56">
        <v>5.0</v>
      </c>
      <c r="G472" s="56" t="str">
        <f t="shared" si="2"/>
        <v>Ghost #5</v>
      </c>
      <c r="H472" s="56" t="s">
        <v>1646</v>
      </c>
      <c r="I472" s="56" t="s">
        <v>1675</v>
      </c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</row>
    <row r="473">
      <c r="A473" s="52" t="s">
        <v>469</v>
      </c>
      <c r="B473" s="52" t="s">
        <v>469</v>
      </c>
      <c r="C473" s="52" t="str">
        <f t="shared" si="1"/>
        <v/>
      </c>
      <c r="D473" s="52"/>
      <c r="E473" s="52"/>
      <c r="F473" s="52"/>
      <c r="G473" s="52" t="str">
        <f t="shared" si="2"/>
        <v/>
      </c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</row>
    <row r="474">
      <c r="A474" s="56" t="s">
        <v>1664</v>
      </c>
      <c r="B474" s="56" t="s">
        <v>906</v>
      </c>
      <c r="C474" s="56" t="str">
        <f t="shared" si="1"/>
        <v>ghost bottle (Gastly)</v>
      </c>
      <c r="D474" s="56">
        <v>50.0</v>
      </c>
      <c r="E474" s="56" t="s">
        <v>742</v>
      </c>
      <c r="F474" s="56">
        <v>6.0</v>
      </c>
      <c r="G474" s="56" t="str">
        <f t="shared" si="2"/>
        <v>Ghost #6</v>
      </c>
      <c r="H474" s="56" t="s">
        <v>1678</v>
      </c>
      <c r="I474" s="56" t="s">
        <v>1679</v>
      </c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</row>
    <row r="475">
      <c r="A475" s="52" t="s">
        <v>469</v>
      </c>
      <c r="B475" s="52" t="s">
        <v>469</v>
      </c>
      <c r="C475" s="52" t="str">
        <f t="shared" si="1"/>
        <v/>
      </c>
      <c r="D475" s="52"/>
      <c r="E475" s="52"/>
      <c r="F475" s="52"/>
      <c r="G475" s="52" t="str">
        <f t="shared" si="2"/>
        <v/>
      </c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</row>
    <row r="476">
      <c r="A476" s="56" t="s">
        <v>1644</v>
      </c>
      <c r="B476" s="56" t="s">
        <v>907</v>
      </c>
      <c r="C476" s="56" t="str">
        <f t="shared" si="1"/>
        <v>simple ghost orb (Shiny Gastly)</v>
      </c>
      <c r="D476" s="56">
        <v>5.0</v>
      </c>
      <c r="E476" s="56" t="s">
        <v>742</v>
      </c>
      <c r="F476" s="56">
        <v>7.0</v>
      </c>
      <c r="G476" s="56" t="str">
        <f t="shared" si="2"/>
        <v>Ghost #7</v>
      </c>
      <c r="H476" s="56" t="s">
        <v>1680</v>
      </c>
      <c r="I476" s="56" t="s">
        <v>1681</v>
      </c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</row>
    <row r="477">
      <c r="A477" s="56" t="s">
        <v>1677</v>
      </c>
      <c r="B477" s="56" t="s">
        <v>907</v>
      </c>
      <c r="C477" s="56" t="str">
        <f t="shared" si="1"/>
        <v>green ghost bottle (Shiny Gastly)</v>
      </c>
      <c r="D477" s="56">
        <v>3.0</v>
      </c>
      <c r="E477" s="56" t="s">
        <v>742</v>
      </c>
      <c r="F477" s="56">
        <v>7.0</v>
      </c>
      <c r="G477" s="56" t="str">
        <f t="shared" si="2"/>
        <v>Ghost #7</v>
      </c>
      <c r="H477" s="56" t="s">
        <v>1680</v>
      </c>
      <c r="I477" s="56" t="s">
        <v>1681</v>
      </c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</row>
    <row r="478">
      <c r="A478" s="52" t="s">
        <v>469</v>
      </c>
      <c r="B478" s="52" t="s">
        <v>469</v>
      </c>
      <c r="C478" s="52" t="str">
        <f t="shared" si="1"/>
        <v/>
      </c>
      <c r="D478" s="52"/>
      <c r="E478" s="52"/>
      <c r="F478" s="52"/>
      <c r="G478" s="52" t="str">
        <f t="shared" si="2"/>
        <v/>
      </c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</row>
    <row r="479">
      <c r="A479" s="56" t="s">
        <v>1682</v>
      </c>
      <c r="B479" s="56" t="s">
        <v>481</v>
      </c>
      <c r="C479" s="56" t="str">
        <f t="shared" si="1"/>
        <v>arcane ghost orb (Verificar aba de drops)</v>
      </c>
      <c r="D479" s="56">
        <v>3.0</v>
      </c>
      <c r="E479" s="56" t="s">
        <v>742</v>
      </c>
      <c r="F479" s="56">
        <v>8.0</v>
      </c>
      <c r="G479" s="56" t="str">
        <f t="shared" si="2"/>
        <v>Ghost #8</v>
      </c>
      <c r="H479" s="56" t="s">
        <v>1680</v>
      </c>
      <c r="I479" s="56" t="s">
        <v>1683</v>
      </c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</row>
    <row r="480">
      <c r="A480" s="56" t="s">
        <v>1636</v>
      </c>
      <c r="B480" s="56" t="s">
        <v>910</v>
      </c>
      <c r="C480" s="56" t="str">
        <f t="shared" si="1"/>
        <v>dark claw (Shiny Haunter)</v>
      </c>
      <c r="D480" s="56">
        <v>3.0</v>
      </c>
      <c r="E480" s="56" t="s">
        <v>742</v>
      </c>
      <c r="F480" s="56">
        <v>8.0</v>
      </c>
      <c r="G480" s="56" t="str">
        <f t="shared" si="2"/>
        <v>Ghost #8</v>
      </c>
      <c r="H480" s="56" t="s">
        <v>1680</v>
      </c>
      <c r="I480" s="56" t="s">
        <v>1683</v>
      </c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</row>
    <row r="481">
      <c r="A481" s="56" t="s">
        <v>1639</v>
      </c>
      <c r="B481" s="56" t="s">
        <v>909</v>
      </c>
      <c r="C481" s="56" t="str">
        <f t="shared" si="1"/>
        <v>ghost claw (Haunter)</v>
      </c>
      <c r="D481" s="56">
        <v>120.0</v>
      </c>
      <c r="E481" s="56" t="s">
        <v>742</v>
      </c>
      <c r="F481" s="56">
        <v>8.0</v>
      </c>
      <c r="G481" s="56" t="str">
        <f t="shared" si="2"/>
        <v>Ghost #8</v>
      </c>
      <c r="H481" s="56" t="s">
        <v>1680</v>
      </c>
      <c r="I481" s="56" t="s">
        <v>1683</v>
      </c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</row>
    <row r="482">
      <c r="A482" s="56" t="s">
        <v>1684</v>
      </c>
      <c r="B482" s="56" t="s">
        <v>481</v>
      </c>
      <c r="C482" s="56" t="str">
        <f t="shared" si="1"/>
        <v>mythic grass orb (Verificar aba de drops)</v>
      </c>
      <c r="D482" s="56">
        <v>2.0</v>
      </c>
      <c r="E482" s="56" t="s">
        <v>708</v>
      </c>
      <c r="F482" s="56">
        <v>1.0</v>
      </c>
      <c r="G482" s="56" t="str">
        <f t="shared" si="2"/>
        <v>Grass #1</v>
      </c>
      <c r="H482" s="56" t="s">
        <v>1685</v>
      </c>
      <c r="I482" s="56" t="s">
        <v>1686</v>
      </c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</row>
    <row r="483">
      <c r="A483" s="56" t="s">
        <v>1687</v>
      </c>
      <c r="B483" s="56" t="s">
        <v>481</v>
      </c>
      <c r="C483" s="56" t="str">
        <f t="shared" si="1"/>
        <v>grass essence (Verificar aba de drops)</v>
      </c>
      <c r="D483" s="56">
        <v>100.0</v>
      </c>
      <c r="E483" s="56" t="s">
        <v>708</v>
      </c>
      <c r="F483" s="56">
        <v>1.0</v>
      </c>
      <c r="G483" s="56" t="str">
        <f t="shared" si="2"/>
        <v>Grass #1</v>
      </c>
      <c r="H483" s="56" t="s">
        <v>1685</v>
      </c>
      <c r="I483" s="56" t="s">
        <v>1686</v>
      </c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</row>
    <row r="484">
      <c r="A484" s="56" t="s">
        <v>1688</v>
      </c>
      <c r="B484" s="56" t="s">
        <v>1326</v>
      </c>
      <c r="C484" s="56" t="str">
        <f t="shared" si="1"/>
        <v>reptilian tail (Treecko)</v>
      </c>
      <c r="D484" s="56">
        <v>500.0</v>
      </c>
      <c r="E484" s="56" t="s">
        <v>708</v>
      </c>
      <c r="F484" s="56">
        <v>1.0</v>
      </c>
      <c r="G484" s="56" t="str">
        <f t="shared" si="2"/>
        <v>Grass #1</v>
      </c>
      <c r="H484" s="56" t="s">
        <v>1685</v>
      </c>
      <c r="I484" s="56" t="s">
        <v>1686</v>
      </c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</row>
    <row r="485">
      <c r="A485" s="52" t="s">
        <v>469</v>
      </c>
      <c r="B485" s="52" t="s">
        <v>469</v>
      </c>
      <c r="C485" s="52" t="str">
        <f t="shared" si="1"/>
        <v/>
      </c>
      <c r="D485" s="52"/>
      <c r="E485" s="52"/>
      <c r="F485" s="52"/>
      <c r="G485" s="52" t="str">
        <f t="shared" si="2"/>
        <v/>
      </c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</row>
    <row r="486">
      <c r="A486" s="56" t="s">
        <v>1684</v>
      </c>
      <c r="B486" s="56" t="s">
        <v>481</v>
      </c>
      <c r="C486" s="56" t="str">
        <f t="shared" si="1"/>
        <v>mythic grass orb (Verificar aba de drops)</v>
      </c>
      <c r="D486" s="56">
        <v>3.0</v>
      </c>
      <c r="E486" s="56" t="s">
        <v>708</v>
      </c>
      <c r="F486" s="56">
        <v>2.0</v>
      </c>
      <c r="G486" s="56" t="str">
        <f t="shared" si="2"/>
        <v>Grass #2</v>
      </c>
      <c r="H486" s="56" t="s">
        <v>1685</v>
      </c>
      <c r="I486" s="56" t="s">
        <v>1689</v>
      </c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</row>
    <row r="487">
      <c r="A487" s="56" t="s">
        <v>1690</v>
      </c>
      <c r="B487" s="56" t="s">
        <v>945</v>
      </c>
      <c r="C487" s="56" t="str">
        <f t="shared" si="1"/>
        <v>blue coconut leaves (Shiny Exeggutor)</v>
      </c>
      <c r="D487" s="56">
        <v>1.0</v>
      </c>
      <c r="E487" s="56" t="s">
        <v>708</v>
      </c>
      <c r="F487" s="56">
        <v>2.0</v>
      </c>
      <c r="G487" s="56" t="str">
        <f t="shared" si="2"/>
        <v>Grass #2</v>
      </c>
      <c r="H487" s="56" t="s">
        <v>1685</v>
      </c>
      <c r="I487" s="56" t="s">
        <v>1689</v>
      </c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</row>
    <row r="488">
      <c r="A488" s="56" t="s">
        <v>531</v>
      </c>
      <c r="B488" s="56" t="s">
        <v>374</v>
      </c>
      <c r="C488" s="56" t="str">
        <f t="shared" si="1"/>
        <v>big petal (Meganium)</v>
      </c>
      <c r="D488" s="56">
        <v>500.0</v>
      </c>
      <c r="E488" s="56" t="s">
        <v>708</v>
      </c>
      <c r="F488" s="56">
        <v>2.0</v>
      </c>
      <c r="G488" s="56" t="str">
        <f t="shared" si="2"/>
        <v>Grass #2</v>
      </c>
      <c r="H488" s="56" t="s">
        <v>1685</v>
      </c>
      <c r="I488" s="56" t="s">
        <v>1689</v>
      </c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</row>
    <row r="489">
      <c r="A489" s="52" t="s">
        <v>469</v>
      </c>
      <c r="B489" s="52" t="s">
        <v>469</v>
      </c>
      <c r="C489" s="52" t="str">
        <f t="shared" si="1"/>
        <v/>
      </c>
      <c r="D489" s="52"/>
      <c r="E489" s="52"/>
      <c r="F489" s="52"/>
      <c r="G489" s="52" t="str">
        <f t="shared" si="2"/>
        <v/>
      </c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</row>
    <row r="490">
      <c r="A490" s="56" t="s">
        <v>1691</v>
      </c>
      <c r="B490" s="56" t="s">
        <v>862</v>
      </c>
      <c r="C490" s="56" t="str">
        <f t="shared" si="1"/>
        <v>flower stem (Bellsprout)</v>
      </c>
      <c r="D490" s="56">
        <v>50.0</v>
      </c>
      <c r="E490" s="56" t="s">
        <v>708</v>
      </c>
      <c r="F490" s="56">
        <v>3.0</v>
      </c>
      <c r="G490" s="56" t="str">
        <f t="shared" si="2"/>
        <v>Grass #3</v>
      </c>
      <c r="H490" s="56" t="s">
        <v>1685</v>
      </c>
      <c r="I490" s="56" t="s">
        <v>1692</v>
      </c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</row>
    <row r="491">
      <c r="A491" s="52" t="s">
        <v>469</v>
      </c>
      <c r="B491" s="52" t="s">
        <v>469</v>
      </c>
      <c r="C491" s="52" t="str">
        <f t="shared" si="1"/>
        <v/>
      </c>
      <c r="D491" s="52"/>
      <c r="E491" s="52"/>
      <c r="F491" s="52"/>
      <c r="G491" s="52" t="str">
        <f t="shared" si="2"/>
        <v/>
      </c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</row>
    <row r="492">
      <c r="A492" s="56" t="s">
        <v>1693</v>
      </c>
      <c r="B492" s="56" t="s">
        <v>481</v>
      </c>
      <c r="C492" s="56" t="str">
        <f t="shared" si="1"/>
        <v>simple grass orb (Verificar aba de drops)</v>
      </c>
      <c r="D492" s="56">
        <v>5.0</v>
      </c>
      <c r="E492" s="56" t="s">
        <v>708</v>
      </c>
      <c r="F492" s="56">
        <v>4.0</v>
      </c>
      <c r="G492" s="56" t="str">
        <f t="shared" si="2"/>
        <v>Grass #4</v>
      </c>
      <c r="H492" s="56" t="s">
        <v>1694</v>
      </c>
      <c r="I492" s="56" t="s">
        <v>1695</v>
      </c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</row>
    <row r="493">
      <c r="A493" s="56" t="s">
        <v>1696</v>
      </c>
      <c r="B493" s="56" t="s">
        <v>711</v>
      </c>
      <c r="C493" s="56" t="str">
        <f t="shared" si="1"/>
        <v>brown bulb (Shiny Bulbasaur)</v>
      </c>
      <c r="D493" s="56">
        <v>3.0</v>
      </c>
      <c r="E493" s="56" t="s">
        <v>708</v>
      </c>
      <c r="F493" s="56">
        <v>4.0</v>
      </c>
      <c r="G493" s="56" t="str">
        <f t="shared" si="2"/>
        <v>Grass #4</v>
      </c>
      <c r="H493" s="56" t="s">
        <v>1694</v>
      </c>
      <c r="I493" s="56" t="s">
        <v>1695</v>
      </c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</row>
    <row r="494">
      <c r="A494" s="52" t="s">
        <v>469</v>
      </c>
      <c r="B494" s="52" t="s">
        <v>469</v>
      </c>
      <c r="C494" s="52" t="str">
        <f t="shared" si="1"/>
        <v/>
      </c>
      <c r="D494" s="52"/>
      <c r="E494" s="52"/>
      <c r="F494" s="52"/>
      <c r="G494" s="52" t="str">
        <f t="shared" si="2"/>
        <v/>
      </c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</row>
    <row r="495">
      <c r="A495" s="56" t="s">
        <v>1697</v>
      </c>
      <c r="B495" s="56" t="s">
        <v>481</v>
      </c>
      <c r="C495" s="56" t="str">
        <f t="shared" si="1"/>
        <v>arcane grass orb (Verificar aba de drops)</v>
      </c>
      <c r="D495" s="56">
        <v>3.0</v>
      </c>
      <c r="E495" s="56" t="s">
        <v>708</v>
      </c>
      <c r="F495" s="56">
        <v>5.0</v>
      </c>
      <c r="G495" s="56" t="str">
        <f t="shared" si="2"/>
        <v>Grass #5</v>
      </c>
      <c r="H495" s="56" t="s">
        <v>1694</v>
      </c>
      <c r="I495" s="56" t="s">
        <v>1698</v>
      </c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</row>
    <row r="496">
      <c r="A496" s="56" t="s">
        <v>1699</v>
      </c>
      <c r="B496" s="56" t="s">
        <v>716</v>
      </c>
      <c r="C496" s="56" t="str">
        <f t="shared" si="1"/>
        <v>purple leaf (Shiny Ivysaur)</v>
      </c>
      <c r="D496" s="56">
        <v>3.0</v>
      </c>
      <c r="E496" s="56" t="s">
        <v>708</v>
      </c>
      <c r="F496" s="56">
        <v>5.0</v>
      </c>
      <c r="G496" s="56" t="str">
        <f t="shared" si="2"/>
        <v>Grass #5</v>
      </c>
      <c r="H496" s="56" t="s">
        <v>1694</v>
      </c>
      <c r="I496" s="56" t="s">
        <v>1698</v>
      </c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</row>
    <row r="497">
      <c r="A497" s="56" t="s">
        <v>1700</v>
      </c>
      <c r="B497" s="56" t="s">
        <v>713</v>
      </c>
      <c r="C497" s="56" t="str">
        <f t="shared" si="1"/>
        <v>leaf (Ivysaur)</v>
      </c>
      <c r="D497" s="56">
        <v>120.0</v>
      </c>
      <c r="E497" s="56" t="s">
        <v>708</v>
      </c>
      <c r="F497" s="56">
        <v>5.0</v>
      </c>
      <c r="G497" s="56" t="str">
        <f t="shared" si="2"/>
        <v>Grass #5</v>
      </c>
      <c r="H497" s="56" t="s">
        <v>1694</v>
      </c>
      <c r="I497" s="56" t="s">
        <v>1698</v>
      </c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</row>
    <row r="498">
      <c r="A498" s="52" t="s">
        <v>469</v>
      </c>
      <c r="B498" s="52" t="s">
        <v>469</v>
      </c>
      <c r="C498" s="52" t="str">
        <f t="shared" si="1"/>
        <v/>
      </c>
      <c r="D498" s="52"/>
      <c r="E498" s="52"/>
      <c r="F498" s="52"/>
      <c r="G498" s="52" t="str">
        <f t="shared" si="2"/>
        <v/>
      </c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</row>
    <row r="499">
      <c r="A499" s="56" t="s">
        <v>1701</v>
      </c>
      <c r="B499" s="56" t="s">
        <v>9</v>
      </c>
      <c r="C499" s="56" t="str">
        <f t="shared" si="1"/>
        <v>leaves (Oddish)</v>
      </c>
      <c r="D499" s="56">
        <v>50.0</v>
      </c>
      <c r="E499" s="56" t="s">
        <v>708</v>
      </c>
      <c r="F499" s="56">
        <v>6.0</v>
      </c>
      <c r="G499" s="56" t="str">
        <f t="shared" si="2"/>
        <v>Grass #6</v>
      </c>
      <c r="H499" s="56" t="s">
        <v>1702</v>
      </c>
      <c r="I499" s="56" t="s">
        <v>1703</v>
      </c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</row>
    <row r="500">
      <c r="A500" s="52" t="s">
        <v>469</v>
      </c>
      <c r="B500" s="52" t="s">
        <v>469</v>
      </c>
      <c r="C500" s="52" t="str">
        <f t="shared" si="1"/>
        <v/>
      </c>
      <c r="D500" s="52"/>
      <c r="E500" s="52"/>
      <c r="F500" s="52"/>
      <c r="G500" s="52" t="str">
        <f t="shared" si="2"/>
        <v/>
      </c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</row>
    <row r="501">
      <c r="A501" s="56" t="s">
        <v>1693</v>
      </c>
      <c r="B501" s="56" t="s">
        <v>481</v>
      </c>
      <c r="C501" s="56" t="str">
        <f t="shared" si="1"/>
        <v>simple grass orb (Verificar aba de drops)</v>
      </c>
      <c r="D501" s="56">
        <v>5.0</v>
      </c>
      <c r="E501" s="56" t="s">
        <v>708</v>
      </c>
      <c r="F501" s="56">
        <v>7.0</v>
      </c>
      <c r="G501" s="56" t="str">
        <f t="shared" si="2"/>
        <v>Grass #7</v>
      </c>
      <c r="H501" s="56" t="s">
        <v>1704</v>
      </c>
      <c r="I501" s="56" t="s">
        <v>1705</v>
      </c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</row>
    <row r="502">
      <c r="A502" s="56" t="s">
        <v>1706</v>
      </c>
      <c r="B502" s="56" t="s">
        <v>1086</v>
      </c>
      <c r="C502" s="56" t="str">
        <f t="shared" si="1"/>
        <v>purple chicory (Shiny Chikorita)</v>
      </c>
      <c r="D502" s="56">
        <v>3.0</v>
      </c>
      <c r="E502" s="56" t="s">
        <v>708</v>
      </c>
      <c r="F502" s="56">
        <v>7.0</v>
      </c>
      <c r="G502" s="56" t="str">
        <f t="shared" si="2"/>
        <v>Grass #7</v>
      </c>
      <c r="H502" s="56" t="s">
        <v>1704</v>
      </c>
      <c r="I502" s="56" t="s">
        <v>1705</v>
      </c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</row>
    <row r="503">
      <c r="A503" s="52" t="s">
        <v>469</v>
      </c>
      <c r="B503" s="52" t="s">
        <v>469</v>
      </c>
      <c r="C503" s="52" t="str">
        <f t="shared" si="1"/>
        <v/>
      </c>
      <c r="D503" s="52"/>
      <c r="E503" s="52"/>
      <c r="F503" s="52"/>
      <c r="G503" s="52" t="str">
        <f t="shared" si="2"/>
        <v/>
      </c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</row>
    <row r="504">
      <c r="A504" s="56" t="s">
        <v>1697</v>
      </c>
      <c r="B504" s="56" t="s">
        <v>481</v>
      </c>
      <c r="C504" s="56" t="str">
        <f t="shared" si="1"/>
        <v>arcane grass orb (Verificar aba de drops)</v>
      </c>
      <c r="D504" s="56">
        <v>3.0</v>
      </c>
      <c r="E504" s="56" t="s">
        <v>708</v>
      </c>
      <c r="F504" s="56">
        <v>8.0</v>
      </c>
      <c r="G504" s="56" t="str">
        <f t="shared" si="2"/>
        <v>Grass #8</v>
      </c>
      <c r="H504" s="56" t="s">
        <v>1704</v>
      </c>
      <c r="I504" s="56" t="s">
        <v>1707</v>
      </c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</row>
    <row r="505">
      <c r="A505" s="56" t="s">
        <v>1708</v>
      </c>
      <c r="B505" s="56" t="s">
        <v>1089</v>
      </c>
      <c r="C505" s="56" t="str">
        <f t="shared" si="1"/>
        <v>purple big leaf (Shiny Bayleef)</v>
      </c>
      <c r="D505" s="56">
        <v>3.0</v>
      </c>
      <c r="E505" s="56" t="s">
        <v>708</v>
      </c>
      <c r="F505" s="56">
        <v>8.0</v>
      </c>
      <c r="G505" s="56" t="str">
        <f t="shared" si="2"/>
        <v>Grass #8</v>
      </c>
      <c r="H505" s="56" t="s">
        <v>1704</v>
      </c>
      <c r="I505" s="56" t="s">
        <v>1707</v>
      </c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</row>
    <row r="506">
      <c r="A506" s="56" t="s">
        <v>1709</v>
      </c>
      <c r="B506" s="56" t="s">
        <v>1088</v>
      </c>
      <c r="C506" s="56" t="str">
        <f t="shared" si="1"/>
        <v>big leaf (Bayleef)</v>
      </c>
      <c r="D506" s="56">
        <v>120.0</v>
      </c>
      <c r="E506" s="56" t="s">
        <v>708</v>
      </c>
      <c r="F506" s="56">
        <v>8.0</v>
      </c>
      <c r="G506" s="56" t="str">
        <f t="shared" si="2"/>
        <v>Grass #8</v>
      </c>
      <c r="H506" s="56" t="s">
        <v>1704</v>
      </c>
      <c r="I506" s="56" t="s">
        <v>1707</v>
      </c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</row>
    <row r="507">
      <c r="A507" s="56" t="s">
        <v>1710</v>
      </c>
      <c r="B507" s="56" t="s">
        <v>823</v>
      </c>
      <c r="C507" s="56" t="str">
        <f t="shared" si="1"/>
        <v>small handfull of stones (Diglett)</v>
      </c>
      <c r="D507" s="56">
        <v>50.0</v>
      </c>
      <c r="E507" s="56" t="s">
        <v>725</v>
      </c>
      <c r="F507" s="56">
        <v>1.0</v>
      </c>
      <c r="G507" s="56" t="str">
        <f t="shared" si="2"/>
        <v>Ground #1</v>
      </c>
      <c r="H507" s="56" t="s">
        <v>1711</v>
      </c>
      <c r="I507" s="56" t="s">
        <v>1712</v>
      </c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</row>
    <row r="508">
      <c r="A508" s="52" t="s">
        <v>469</v>
      </c>
      <c r="B508" s="52" t="s">
        <v>469</v>
      </c>
      <c r="C508" s="52" t="str">
        <f t="shared" si="1"/>
        <v/>
      </c>
      <c r="D508" s="52"/>
      <c r="E508" s="52"/>
      <c r="F508" s="52"/>
      <c r="G508" s="52" t="str">
        <f t="shared" si="2"/>
        <v/>
      </c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</row>
    <row r="509">
      <c r="A509" s="56" t="s">
        <v>1713</v>
      </c>
      <c r="B509" s="56" t="s">
        <v>481</v>
      </c>
      <c r="C509" s="56" t="str">
        <f t="shared" si="1"/>
        <v>simple ground orb (Verificar aba de drops)</v>
      </c>
      <c r="D509" s="56">
        <v>5.0</v>
      </c>
      <c r="E509" s="56" t="s">
        <v>725</v>
      </c>
      <c r="F509" s="56">
        <v>2.0</v>
      </c>
      <c r="G509" s="56" t="str">
        <f t="shared" si="2"/>
        <v>Ground #2</v>
      </c>
      <c r="H509" s="56" t="s">
        <v>1714</v>
      </c>
      <c r="I509" s="56" t="s">
        <v>1715</v>
      </c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</row>
    <row r="510">
      <c r="A510" s="56" t="s">
        <v>1716</v>
      </c>
      <c r="B510" s="56" t="s">
        <v>786</v>
      </c>
      <c r="C510" s="56" t="str">
        <f t="shared" si="1"/>
        <v>armadillo red tail (Shiny Sandshrew)</v>
      </c>
      <c r="D510" s="56">
        <v>3.0</v>
      </c>
      <c r="E510" s="56" t="s">
        <v>725</v>
      </c>
      <c r="F510" s="56">
        <v>2.0</v>
      </c>
      <c r="G510" s="56" t="str">
        <f t="shared" si="2"/>
        <v>Ground #2</v>
      </c>
      <c r="H510" s="56" t="s">
        <v>1714</v>
      </c>
      <c r="I510" s="56" t="s">
        <v>1715</v>
      </c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</row>
    <row r="511">
      <c r="A511" s="52" t="s">
        <v>469</v>
      </c>
      <c r="B511" s="52" t="s">
        <v>469</v>
      </c>
      <c r="C511" s="52" t="str">
        <f t="shared" si="1"/>
        <v/>
      </c>
      <c r="D511" s="52"/>
      <c r="E511" s="52"/>
      <c r="F511" s="52"/>
      <c r="G511" s="52" t="str">
        <f t="shared" si="2"/>
        <v/>
      </c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</row>
    <row r="512">
      <c r="A512" s="56" t="s">
        <v>1717</v>
      </c>
      <c r="B512" s="57" t="s">
        <v>1718</v>
      </c>
      <c r="C512" s="56" t="str">
        <f t="shared" si="1"/>
        <v>arcane ground orb (Vereificar aba de drops)</v>
      </c>
      <c r="D512" s="56">
        <v>3.0</v>
      </c>
      <c r="E512" s="56" t="s">
        <v>725</v>
      </c>
      <c r="F512" s="56">
        <v>3.0</v>
      </c>
      <c r="G512" s="56" t="str">
        <f t="shared" si="2"/>
        <v>Ground #3</v>
      </c>
      <c r="H512" s="56" t="s">
        <v>1714</v>
      </c>
      <c r="I512" s="56" t="s">
        <v>1719</v>
      </c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</row>
    <row r="513">
      <c r="A513" s="56" t="s">
        <v>1720</v>
      </c>
      <c r="B513" s="56" t="s">
        <v>996</v>
      </c>
      <c r="C513" s="56" t="str">
        <f t="shared" si="1"/>
        <v>golden shell (Shiny Rhyhorn)</v>
      </c>
      <c r="D513" s="56">
        <v>3.0</v>
      </c>
      <c r="E513" s="56" t="s">
        <v>725</v>
      </c>
      <c r="F513" s="56">
        <v>3.0</v>
      </c>
      <c r="G513" s="56" t="str">
        <f t="shared" si="2"/>
        <v>Ground #3</v>
      </c>
      <c r="H513" s="56" t="s">
        <v>1714</v>
      </c>
      <c r="I513" s="56" t="s">
        <v>1719</v>
      </c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</row>
    <row r="514">
      <c r="A514" s="56" t="s">
        <v>490</v>
      </c>
      <c r="B514" s="56" t="s">
        <v>62</v>
      </c>
      <c r="C514" s="56" t="str">
        <f t="shared" si="1"/>
        <v>bone (Marowak)</v>
      </c>
      <c r="D514" s="56">
        <v>120.0</v>
      </c>
      <c r="E514" s="56" t="s">
        <v>725</v>
      </c>
      <c r="F514" s="56">
        <v>3.0</v>
      </c>
      <c r="G514" s="56" t="str">
        <f t="shared" si="2"/>
        <v>Ground #3</v>
      </c>
      <c r="H514" s="56" t="s">
        <v>1714</v>
      </c>
      <c r="I514" s="56" t="s">
        <v>1719</v>
      </c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</row>
    <row r="515">
      <c r="A515" s="52" t="s">
        <v>469</v>
      </c>
      <c r="B515" s="52" t="s">
        <v>469</v>
      </c>
      <c r="C515" s="52" t="str">
        <f t="shared" si="1"/>
        <v/>
      </c>
      <c r="D515" s="52"/>
      <c r="E515" s="52"/>
      <c r="F515" s="52"/>
      <c r="G515" s="52" t="str">
        <f t="shared" si="2"/>
        <v/>
      </c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</row>
    <row r="516">
      <c r="A516" s="56" t="s">
        <v>1721</v>
      </c>
      <c r="B516" s="56" t="s">
        <v>481</v>
      </c>
      <c r="C516" s="56" t="str">
        <f t="shared" si="1"/>
        <v>mythic ground orb (Verificar aba de drops)</v>
      </c>
      <c r="D516" s="56">
        <v>2.0</v>
      </c>
      <c r="E516" s="56" t="s">
        <v>725</v>
      </c>
      <c r="F516" s="56">
        <v>4.0</v>
      </c>
      <c r="G516" s="56" t="str">
        <f t="shared" si="2"/>
        <v>Ground #4</v>
      </c>
      <c r="H516" s="56" t="s">
        <v>1722</v>
      </c>
      <c r="I516" s="56" t="s">
        <v>1723</v>
      </c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</row>
    <row r="517">
      <c r="A517" s="56" t="s">
        <v>1724</v>
      </c>
      <c r="B517" s="56" t="s">
        <v>481</v>
      </c>
      <c r="C517" s="56" t="str">
        <f t="shared" si="1"/>
        <v>ground essence (Verificar aba de drops)</v>
      </c>
      <c r="D517" s="56">
        <v>100.0</v>
      </c>
      <c r="E517" s="56" t="s">
        <v>725</v>
      </c>
      <c r="F517" s="56">
        <v>4.0</v>
      </c>
      <c r="G517" s="56" t="str">
        <f t="shared" si="2"/>
        <v>Ground #4</v>
      </c>
      <c r="H517" s="56" t="s">
        <v>1722</v>
      </c>
      <c r="I517" s="56" t="s">
        <v>1723</v>
      </c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</row>
    <row r="518">
      <c r="A518" s="56" t="s">
        <v>1725</v>
      </c>
      <c r="B518" s="56" t="s">
        <v>1480</v>
      </c>
      <c r="C518" s="56" t="str">
        <f t="shared" si="1"/>
        <v>strange ball (Trapinch)</v>
      </c>
      <c r="D518" s="56">
        <v>500.0</v>
      </c>
      <c r="E518" s="56" t="s">
        <v>725</v>
      </c>
      <c r="F518" s="56">
        <v>4.0</v>
      </c>
      <c r="G518" s="56" t="str">
        <f t="shared" si="2"/>
        <v>Ground #4</v>
      </c>
      <c r="H518" s="56" t="s">
        <v>1722</v>
      </c>
      <c r="I518" s="56" t="s">
        <v>1723</v>
      </c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</row>
    <row r="519">
      <c r="A519" s="52" t="s">
        <v>469</v>
      </c>
      <c r="B519" s="52" t="s">
        <v>469</v>
      </c>
      <c r="C519" s="52" t="str">
        <f t="shared" si="1"/>
        <v/>
      </c>
      <c r="D519" s="52"/>
      <c r="E519" s="52"/>
      <c r="F519" s="52"/>
      <c r="G519" s="52" t="str">
        <f t="shared" si="2"/>
        <v/>
      </c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</row>
    <row r="520">
      <c r="A520" s="56" t="s">
        <v>1721</v>
      </c>
      <c r="B520" s="56" t="s">
        <v>481</v>
      </c>
      <c r="C520" s="56" t="str">
        <f t="shared" si="1"/>
        <v>mythic ground orb (Verificar aba de drops)</v>
      </c>
      <c r="D520" s="56">
        <v>3.0</v>
      </c>
      <c r="E520" s="56" t="s">
        <v>725</v>
      </c>
      <c r="F520" s="56">
        <v>5.0</v>
      </c>
      <c r="G520" s="56" t="str">
        <f t="shared" si="2"/>
        <v>Ground #5</v>
      </c>
      <c r="H520" s="56" t="s">
        <v>1722</v>
      </c>
      <c r="I520" s="56" t="s">
        <v>1726</v>
      </c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</row>
    <row r="521">
      <c r="A521" s="56" t="s">
        <v>1727</v>
      </c>
      <c r="B521" s="56" t="s">
        <v>997</v>
      </c>
      <c r="C521" s="56" t="str">
        <f t="shared" si="1"/>
        <v>golden drill (Shiny Rhydon)</v>
      </c>
      <c r="D521" s="56">
        <v>1.0</v>
      </c>
      <c r="E521" s="56" t="s">
        <v>725</v>
      </c>
      <c r="F521" s="56">
        <v>5.0</v>
      </c>
      <c r="G521" s="56" t="str">
        <f t="shared" si="2"/>
        <v>Ground #5</v>
      </c>
      <c r="H521" s="56" t="s">
        <v>1722</v>
      </c>
      <c r="I521" s="56" t="s">
        <v>1726</v>
      </c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</row>
    <row r="522">
      <c r="A522" s="56" t="s">
        <v>1728</v>
      </c>
      <c r="B522" s="56" t="s">
        <v>1280</v>
      </c>
      <c r="C522" s="56" t="str">
        <f t="shared" si="1"/>
        <v>elephant foot (Donphan)</v>
      </c>
      <c r="D522" s="56">
        <v>500.0</v>
      </c>
      <c r="E522" s="56" t="s">
        <v>725</v>
      </c>
      <c r="F522" s="56">
        <v>5.0</v>
      </c>
      <c r="G522" s="56" t="str">
        <f t="shared" si="2"/>
        <v>Ground #5</v>
      </c>
      <c r="H522" s="56" t="s">
        <v>1722</v>
      </c>
      <c r="I522" s="56" t="s">
        <v>1726</v>
      </c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</row>
    <row r="523">
      <c r="A523" s="52" t="s">
        <v>469</v>
      </c>
      <c r="B523" s="52" t="s">
        <v>469</v>
      </c>
      <c r="C523" s="52" t="str">
        <f t="shared" si="1"/>
        <v/>
      </c>
      <c r="D523" s="52"/>
      <c r="E523" s="52"/>
      <c r="F523" s="52"/>
      <c r="G523" s="52" t="str">
        <f t="shared" si="2"/>
        <v/>
      </c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</row>
    <row r="524">
      <c r="A524" s="56" t="s">
        <v>1729</v>
      </c>
      <c r="B524" s="57" t="s">
        <v>785</v>
      </c>
      <c r="C524" s="56" t="str">
        <f t="shared" si="1"/>
        <v>armadillo tail (Sandshrew)</v>
      </c>
      <c r="D524" s="56">
        <v>50.0</v>
      </c>
      <c r="E524" s="56" t="s">
        <v>725</v>
      </c>
      <c r="F524" s="56">
        <v>6.0</v>
      </c>
      <c r="G524" s="56" t="str">
        <f t="shared" si="2"/>
        <v>Ground #6</v>
      </c>
      <c r="H524" s="56" t="s">
        <v>1722</v>
      </c>
      <c r="I524" s="56" t="s">
        <v>1730</v>
      </c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</row>
    <row r="525">
      <c r="A525" s="52" t="s">
        <v>469</v>
      </c>
      <c r="B525" s="52" t="s">
        <v>469</v>
      </c>
      <c r="C525" s="52" t="str">
        <f t="shared" si="1"/>
        <v/>
      </c>
      <c r="D525" s="52"/>
      <c r="E525" s="52"/>
      <c r="F525" s="52"/>
      <c r="G525" s="52" t="str">
        <f t="shared" si="2"/>
        <v/>
      </c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</row>
    <row r="526">
      <c r="A526" s="56" t="s">
        <v>1713</v>
      </c>
      <c r="B526" s="56" t="s">
        <v>481</v>
      </c>
      <c r="C526" s="56" t="str">
        <f t="shared" si="1"/>
        <v>simple ground orb (Verificar aba de drops)</v>
      </c>
      <c r="D526" s="56">
        <v>5.0</v>
      </c>
      <c r="E526" s="56" t="s">
        <v>725</v>
      </c>
      <c r="F526" s="56">
        <v>7.0</v>
      </c>
      <c r="G526" s="56" t="str">
        <f t="shared" si="2"/>
        <v>Ground #7</v>
      </c>
      <c r="H526" s="56" t="s">
        <v>1731</v>
      </c>
      <c r="I526" s="56" t="s">
        <v>1732</v>
      </c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</row>
    <row r="527">
      <c r="A527" s="56" t="s">
        <v>1733</v>
      </c>
      <c r="B527" s="56" t="s">
        <v>824</v>
      </c>
      <c r="C527" s="56" t="str">
        <f t="shared" si="1"/>
        <v>small yellow stones (Shiny Diglett)</v>
      </c>
      <c r="D527" s="56">
        <v>3.0</v>
      </c>
      <c r="E527" s="56" t="s">
        <v>725</v>
      </c>
      <c r="F527" s="56">
        <v>7.0</v>
      </c>
      <c r="G527" s="56" t="str">
        <f t="shared" si="2"/>
        <v>Ground #7</v>
      </c>
      <c r="H527" s="56" t="s">
        <v>1731</v>
      </c>
      <c r="I527" s="56" t="s">
        <v>1732</v>
      </c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</row>
    <row r="528">
      <c r="A528" s="52" t="s">
        <v>469</v>
      </c>
      <c r="B528" s="52" t="s">
        <v>469</v>
      </c>
      <c r="C528" s="52" t="str">
        <f t="shared" si="1"/>
        <v/>
      </c>
      <c r="D528" s="52"/>
      <c r="E528" s="52"/>
      <c r="F528" s="52"/>
      <c r="G528" s="52" t="str">
        <f t="shared" si="2"/>
        <v/>
      </c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</row>
    <row r="529">
      <c r="A529" s="56" t="s">
        <v>1717</v>
      </c>
      <c r="B529" s="56" t="s">
        <v>481</v>
      </c>
      <c r="C529" s="56" t="str">
        <f t="shared" si="1"/>
        <v>arcane ground orb (Verificar aba de drops)</v>
      </c>
      <c r="D529" s="56">
        <v>3.0</v>
      </c>
      <c r="E529" s="56" t="s">
        <v>725</v>
      </c>
      <c r="F529" s="56">
        <v>8.0</v>
      </c>
      <c r="G529" s="56" t="str">
        <f t="shared" si="2"/>
        <v>Ground #8</v>
      </c>
      <c r="H529" s="56" t="s">
        <v>1731</v>
      </c>
      <c r="I529" s="56" t="s">
        <v>1739</v>
      </c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</row>
    <row r="530">
      <c r="A530" s="56" t="s">
        <v>1720</v>
      </c>
      <c r="B530" s="56" t="s">
        <v>996</v>
      </c>
      <c r="C530" s="56" t="str">
        <f t="shared" si="1"/>
        <v>golden shell (Shiny Rhyhorn)</v>
      </c>
      <c r="D530" s="56">
        <v>3.0</v>
      </c>
      <c r="E530" s="56" t="s">
        <v>725</v>
      </c>
      <c r="F530" s="56">
        <v>8.0</v>
      </c>
      <c r="G530" s="56" t="str">
        <f t="shared" si="2"/>
        <v>Ground #8</v>
      </c>
      <c r="H530" s="56" t="s">
        <v>1731</v>
      </c>
      <c r="I530" s="56" t="s">
        <v>1739</v>
      </c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</row>
    <row r="531">
      <c r="A531" s="56" t="s">
        <v>490</v>
      </c>
      <c r="B531" s="56" t="s">
        <v>62</v>
      </c>
      <c r="C531" s="56" t="str">
        <f t="shared" si="1"/>
        <v>bone (Marowak)</v>
      </c>
      <c r="D531" s="56">
        <v>120.0</v>
      </c>
      <c r="E531" s="56" t="s">
        <v>725</v>
      </c>
      <c r="F531" s="56">
        <v>8.0</v>
      </c>
      <c r="G531" s="56" t="str">
        <f t="shared" si="2"/>
        <v>Ground #8</v>
      </c>
      <c r="H531" s="56" t="s">
        <v>1731</v>
      </c>
      <c r="I531" s="56" t="s">
        <v>1739</v>
      </c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</row>
    <row r="532">
      <c r="A532" s="56" t="s">
        <v>1744</v>
      </c>
      <c r="B532" s="56" t="s">
        <v>902</v>
      </c>
      <c r="C532" s="56" t="str">
        <f t="shared" si="1"/>
        <v>locksmith of shell (Shellder)</v>
      </c>
      <c r="D532" s="56">
        <v>50.0</v>
      </c>
      <c r="E532" s="56" t="s">
        <v>739</v>
      </c>
      <c r="F532" s="56">
        <v>1.0</v>
      </c>
      <c r="G532" s="56" t="str">
        <f t="shared" si="2"/>
        <v>Ice #1</v>
      </c>
      <c r="H532" s="56" t="s">
        <v>1746</v>
      </c>
      <c r="I532" s="56" t="s">
        <v>1747</v>
      </c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</row>
    <row r="533">
      <c r="A533" s="52" t="s">
        <v>469</v>
      </c>
      <c r="B533" s="52" t="s">
        <v>469</v>
      </c>
      <c r="C533" s="52" t="str">
        <f t="shared" si="1"/>
        <v/>
      </c>
      <c r="D533" s="52"/>
      <c r="E533" s="52"/>
      <c r="F533" s="52"/>
      <c r="G533" s="52" t="str">
        <f t="shared" si="2"/>
        <v/>
      </c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</row>
    <row r="534">
      <c r="A534" s="56" t="s">
        <v>1748</v>
      </c>
      <c r="B534" s="56" t="s">
        <v>481</v>
      </c>
      <c r="C534" s="56" t="str">
        <f t="shared" si="1"/>
        <v>simple ice orb (Verificar aba de drops)</v>
      </c>
      <c r="D534" s="56">
        <v>5.0</v>
      </c>
      <c r="E534" s="56" t="s">
        <v>739</v>
      </c>
      <c r="F534" s="56">
        <v>2.0</v>
      </c>
      <c r="G534" s="56" t="str">
        <f t="shared" si="2"/>
        <v>Ice #2</v>
      </c>
      <c r="H534" s="56" t="s">
        <v>1749</v>
      </c>
      <c r="I534" s="56" t="s">
        <v>1750</v>
      </c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</row>
    <row r="535">
      <c r="A535" s="56" t="s">
        <v>1751</v>
      </c>
      <c r="B535" s="56" t="s">
        <v>903</v>
      </c>
      <c r="C535" s="56" t="str">
        <f t="shared" si="1"/>
        <v>blue shell (Shiny Shellder)</v>
      </c>
      <c r="D535" s="56">
        <v>3.0</v>
      </c>
      <c r="E535" s="56" t="s">
        <v>739</v>
      </c>
      <c r="F535" s="56">
        <v>2.0</v>
      </c>
      <c r="G535" s="56" t="str">
        <f t="shared" si="2"/>
        <v>Ice #2</v>
      </c>
      <c r="H535" s="56" t="s">
        <v>1749</v>
      </c>
      <c r="I535" s="56" t="s">
        <v>1750</v>
      </c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</row>
    <row r="536">
      <c r="A536" s="52" t="s">
        <v>469</v>
      </c>
      <c r="B536" s="52" t="s">
        <v>469</v>
      </c>
      <c r="C536" s="52" t="str">
        <f t="shared" si="1"/>
        <v/>
      </c>
      <c r="D536" s="52"/>
      <c r="E536" s="52"/>
      <c r="F536" s="52"/>
      <c r="G536" s="52" t="str">
        <f t="shared" si="2"/>
        <v/>
      </c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</row>
    <row r="537">
      <c r="A537" s="56" t="s">
        <v>1752</v>
      </c>
      <c r="B537" s="56" t="s">
        <v>481</v>
      </c>
      <c r="C537" s="56" t="str">
        <f t="shared" si="1"/>
        <v>arcane ice orb (Verificar aba de drops)</v>
      </c>
      <c r="D537" s="56">
        <v>3.0</v>
      </c>
      <c r="E537" s="56" t="s">
        <v>739</v>
      </c>
      <c r="F537" s="56">
        <v>3.0</v>
      </c>
      <c r="G537" s="56" t="str">
        <f t="shared" si="2"/>
        <v>Ice #3</v>
      </c>
      <c r="H537" s="56" t="s">
        <v>1749</v>
      </c>
      <c r="I537" s="56" t="s">
        <v>1753</v>
      </c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</row>
    <row r="538">
      <c r="A538" s="56" t="s">
        <v>1751</v>
      </c>
      <c r="B538" s="56" t="s">
        <v>903</v>
      </c>
      <c r="C538" s="56" t="str">
        <f t="shared" si="1"/>
        <v>blue shell (Shiny Shellder)</v>
      </c>
      <c r="D538" s="56">
        <v>3.0</v>
      </c>
      <c r="E538" s="56" t="s">
        <v>739</v>
      </c>
      <c r="F538" s="56">
        <v>3.0</v>
      </c>
      <c r="G538" s="56" t="str">
        <f t="shared" si="2"/>
        <v>Ice #3</v>
      </c>
      <c r="H538" s="56" t="s">
        <v>1749</v>
      </c>
      <c r="I538" s="56" t="s">
        <v>1753</v>
      </c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</row>
    <row r="539">
      <c r="A539" s="56" t="s">
        <v>696</v>
      </c>
      <c r="B539" s="56" t="s">
        <v>697</v>
      </c>
      <c r="C539" s="56" t="str">
        <f t="shared" si="1"/>
        <v>pieces of shell (Cloyster)</v>
      </c>
      <c r="D539" s="56">
        <v>120.0</v>
      </c>
      <c r="E539" s="56" t="s">
        <v>739</v>
      </c>
      <c r="F539" s="56">
        <v>3.0</v>
      </c>
      <c r="G539" s="56" t="str">
        <f t="shared" si="2"/>
        <v>Ice #3</v>
      </c>
      <c r="H539" s="56" t="s">
        <v>1749</v>
      </c>
      <c r="I539" s="56" t="s">
        <v>1753</v>
      </c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</row>
    <row r="540">
      <c r="A540" s="52" t="s">
        <v>469</v>
      </c>
      <c r="B540" s="52" t="s">
        <v>469</v>
      </c>
      <c r="C540" s="52" t="str">
        <f t="shared" si="1"/>
        <v/>
      </c>
      <c r="D540" s="52"/>
      <c r="E540" s="52"/>
      <c r="F540" s="52"/>
      <c r="G540" s="52" t="str">
        <f t="shared" si="2"/>
        <v/>
      </c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</row>
    <row r="541">
      <c r="A541" s="56" t="s">
        <v>693</v>
      </c>
      <c r="B541" s="56" t="s">
        <v>481</v>
      </c>
      <c r="C541" s="56" t="str">
        <f t="shared" si="1"/>
        <v>mythic ice orb (Verificar aba de drops)</v>
      </c>
      <c r="D541" s="56">
        <v>2.0</v>
      </c>
      <c r="E541" s="56" t="s">
        <v>739</v>
      </c>
      <c r="F541" s="56">
        <v>4.0</v>
      </c>
      <c r="G541" s="56" t="str">
        <f t="shared" si="2"/>
        <v>Ice #4</v>
      </c>
      <c r="H541" s="56" t="s">
        <v>1754</v>
      </c>
      <c r="I541" s="56" t="s">
        <v>1755</v>
      </c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</row>
    <row r="542">
      <c r="A542" s="56" t="s">
        <v>1756</v>
      </c>
      <c r="B542" s="56" t="s">
        <v>481</v>
      </c>
      <c r="C542" s="56" t="str">
        <f t="shared" si="1"/>
        <v>ice essence (Verificar aba de drops)</v>
      </c>
      <c r="D542" s="56">
        <v>100.0</v>
      </c>
      <c r="E542" s="56" t="s">
        <v>739</v>
      </c>
      <c r="F542" s="56">
        <v>4.0</v>
      </c>
      <c r="G542" s="56" t="str">
        <f t="shared" si="2"/>
        <v>Ice #4</v>
      </c>
      <c r="H542" s="56" t="s">
        <v>1754</v>
      </c>
      <c r="I542" s="56" t="s">
        <v>1755</v>
      </c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</row>
    <row r="543">
      <c r="A543" s="56" t="s">
        <v>1757</v>
      </c>
      <c r="B543" s="56" t="s">
        <v>1547</v>
      </c>
      <c r="C543" s="56" t="str">
        <f t="shared" si="1"/>
        <v>short tail (Spheal)</v>
      </c>
      <c r="D543" s="56">
        <v>500.0</v>
      </c>
      <c r="E543" s="56" t="s">
        <v>739</v>
      </c>
      <c r="F543" s="56">
        <v>4.0</v>
      </c>
      <c r="G543" s="56" t="str">
        <f t="shared" si="2"/>
        <v>Ice #4</v>
      </c>
      <c r="H543" s="56" t="s">
        <v>1754</v>
      </c>
      <c r="I543" s="56" t="s">
        <v>1755</v>
      </c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</row>
    <row r="544">
      <c r="A544" s="52" t="s">
        <v>469</v>
      </c>
      <c r="B544" s="52" t="s">
        <v>469</v>
      </c>
      <c r="C544" s="52" t="str">
        <f t="shared" si="1"/>
        <v/>
      </c>
      <c r="D544" s="52"/>
      <c r="E544" s="52"/>
      <c r="F544" s="52"/>
      <c r="G544" s="52" t="str">
        <f t="shared" si="2"/>
        <v/>
      </c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</row>
    <row r="545">
      <c r="A545" s="56" t="s">
        <v>693</v>
      </c>
      <c r="B545" s="56" t="s">
        <v>481</v>
      </c>
      <c r="C545" s="56" t="str">
        <f t="shared" si="1"/>
        <v>mythic ice orb (Verificar aba de drops)</v>
      </c>
      <c r="D545" s="56">
        <v>3.0</v>
      </c>
      <c r="E545" s="56" t="s">
        <v>739</v>
      </c>
      <c r="F545" s="56">
        <v>5.0</v>
      </c>
      <c r="G545" s="56" t="str">
        <f t="shared" si="2"/>
        <v>Ice #5</v>
      </c>
      <c r="H545" s="56" t="s">
        <v>1754</v>
      </c>
      <c r="I545" s="56" t="s">
        <v>1758</v>
      </c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</row>
    <row r="546">
      <c r="A546" s="56" t="s">
        <v>1759</v>
      </c>
      <c r="B546" s="56" t="s">
        <v>1266</v>
      </c>
      <c r="C546" s="56" t="str">
        <f t="shared" si="1"/>
        <v>rainbow gift tail (Shiny Delibird)</v>
      </c>
      <c r="D546" s="56">
        <v>1.0</v>
      </c>
      <c r="E546" s="56" t="s">
        <v>739</v>
      </c>
      <c r="F546" s="56">
        <v>5.0</v>
      </c>
      <c r="G546" s="56" t="str">
        <f t="shared" si="2"/>
        <v>Ice #5</v>
      </c>
      <c r="H546" s="56" t="s">
        <v>1754</v>
      </c>
      <c r="I546" s="56" t="s">
        <v>1758</v>
      </c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</row>
    <row r="547">
      <c r="A547" s="56" t="s">
        <v>701</v>
      </c>
      <c r="B547" s="56" t="s">
        <v>369</v>
      </c>
      <c r="C547" s="56" t="str">
        <f t="shared" si="1"/>
        <v>psychic wig (Jynx)</v>
      </c>
      <c r="D547" s="56">
        <v>500.0</v>
      </c>
      <c r="E547" s="56" t="s">
        <v>739</v>
      </c>
      <c r="F547" s="56">
        <v>5.0</v>
      </c>
      <c r="G547" s="56" t="str">
        <f t="shared" si="2"/>
        <v>Ice #5</v>
      </c>
      <c r="H547" s="56" t="s">
        <v>1754</v>
      </c>
      <c r="I547" s="56" t="s">
        <v>1758</v>
      </c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</row>
    <row r="548">
      <c r="A548" s="52" t="s">
        <v>469</v>
      </c>
      <c r="B548" s="52" t="s">
        <v>469</v>
      </c>
      <c r="C548" s="52" t="str">
        <f t="shared" si="1"/>
        <v/>
      </c>
      <c r="D548" s="52"/>
      <c r="E548" s="52"/>
      <c r="F548" s="52"/>
      <c r="G548" s="52" t="str">
        <f t="shared" si="2"/>
        <v/>
      </c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</row>
    <row r="549">
      <c r="A549" s="56" t="s">
        <v>1760</v>
      </c>
      <c r="B549" s="56" t="s">
        <v>895</v>
      </c>
      <c r="C549" s="56" t="str">
        <f t="shared" si="1"/>
        <v>seel tail (Seel)</v>
      </c>
      <c r="D549" s="56">
        <v>50.0</v>
      </c>
      <c r="E549" s="56" t="s">
        <v>739</v>
      </c>
      <c r="F549" s="56">
        <v>6.0</v>
      </c>
      <c r="G549" s="56" t="str">
        <f t="shared" si="2"/>
        <v>Ice #6</v>
      </c>
      <c r="H549" s="56" t="s">
        <v>1754</v>
      </c>
      <c r="I549" s="56" t="s">
        <v>1761</v>
      </c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</row>
    <row r="550">
      <c r="A550" s="52" t="s">
        <v>469</v>
      </c>
      <c r="B550" s="52" t="s">
        <v>469</v>
      </c>
      <c r="C550" s="52" t="str">
        <f t="shared" si="1"/>
        <v/>
      </c>
      <c r="D550" s="52"/>
      <c r="E550" s="52"/>
      <c r="F550" s="52"/>
      <c r="G550" s="52" t="str">
        <f t="shared" si="2"/>
        <v/>
      </c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</row>
    <row r="551">
      <c r="A551" s="56" t="s">
        <v>1748</v>
      </c>
      <c r="B551" s="56" t="s">
        <v>481</v>
      </c>
      <c r="C551" s="56" t="str">
        <f t="shared" si="1"/>
        <v>simple ice orb (Verificar aba de drops)</v>
      </c>
      <c r="D551" s="56">
        <v>5.0</v>
      </c>
      <c r="E551" s="56" t="s">
        <v>739</v>
      </c>
      <c r="F551" s="56">
        <v>7.0</v>
      </c>
      <c r="G551" s="56" t="str">
        <f t="shared" si="2"/>
        <v>Ice #7</v>
      </c>
      <c r="H551" s="56" t="s">
        <v>1763</v>
      </c>
      <c r="I551" s="56" t="s">
        <v>1764</v>
      </c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</row>
    <row r="552">
      <c r="A552" s="56" t="s">
        <v>1766</v>
      </c>
      <c r="B552" s="56" t="s">
        <v>896</v>
      </c>
      <c r="C552" s="56" t="str">
        <f t="shared" si="1"/>
        <v>blue seel tail (Shiny Seel)</v>
      </c>
      <c r="D552" s="56">
        <v>3.0</v>
      </c>
      <c r="E552" s="56" t="s">
        <v>739</v>
      </c>
      <c r="F552" s="56">
        <v>7.0</v>
      </c>
      <c r="G552" s="56" t="str">
        <f t="shared" si="2"/>
        <v>Ice #7</v>
      </c>
      <c r="H552" s="56" t="s">
        <v>1763</v>
      </c>
      <c r="I552" s="56" t="s">
        <v>1764</v>
      </c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</row>
    <row r="553">
      <c r="A553" s="52" t="s">
        <v>469</v>
      </c>
      <c r="B553" s="52" t="s">
        <v>469</v>
      </c>
      <c r="C553" s="52" t="str">
        <f t="shared" si="1"/>
        <v/>
      </c>
      <c r="D553" s="52"/>
      <c r="E553" s="52"/>
      <c r="F553" s="52"/>
      <c r="G553" s="52" t="str">
        <f t="shared" si="2"/>
        <v/>
      </c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</row>
    <row r="554">
      <c r="A554" s="56" t="s">
        <v>1752</v>
      </c>
      <c r="B554" s="56" t="s">
        <v>481</v>
      </c>
      <c r="C554" s="56" t="str">
        <f t="shared" si="1"/>
        <v>arcane ice orb (Verificar aba de drops)</v>
      </c>
      <c r="D554" s="56">
        <v>3.0</v>
      </c>
      <c r="E554" s="56" t="s">
        <v>739</v>
      </c>
      <c r="F554" s="56">
        <v>8.0</v>
      </c>
      <c r="G554" s="56" t="str">
        <f t="shared" si="2"/>
        <v>Ice #8</v>
      </c>
      <c r="H554" s="56" t="s">
        <v>1763</v>
      </c>
      <c r="I554" s="56" t="s">
        <v>1768</v>
      </c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</row>
    <row r="555">
      <c r="A555" s="56" t="s">
        <v>1766</v>
      </c>
      <c r="B555" s="56" t="s">
        <v>896</v>
      </c>
      <c r="C555" s="56" t="str">
        <f t="shared" si="1"/>
        <v>blue seel tail (Shiny Seel)</v>
      </c>
      <c r="D555" s="56">
        <v>3.0</v>
      </c>
      <c r="E555" s="56" t="s">
        <v>739</v>
      </c>
      <c r="F555" s="56">
        <v>8.0</v>
      </c>
      <c r="G555" s="56" t="str">
        <f t="shared" si="2"/>
        <v>Ice #8</v>
      </c>
      <c r="H555" s="56" t="s">
        <v>1763</v>
      </c>
      <c r="I555" s="56" t="s">
        <v>1768</v>
      </c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</row>
    <row r="556">
      <c r="A556" s="56" t="s">
        <v>702</v>
      </c>
      <c r="B556" s="56" t="s">
        <v>703</v>
      </c>
      <c r="C556" s="56" t="str">
        <f t="shared" si="1"/>
        <v>dewgong tail (Dewgong)</v>
      </c>
      <c r="D556" s="56">
        <v>120.0</v>
      </c>
      <c r="E556" s="56" t="s">
        <v>739</v>
      </c>
      <c r="F556" s="56">
        <v>8.0</v>
      </c>
      <c r="G556" s="56" t="str">
        <f t="shared" si="2"/>
        <v>Ice #8</v>
      </c>
      <c r="H556" s="56" t="s">
        <v>1763</v>
      </c>
      <c r="I556" s="56" t="s">
        <v>1768</v>
      </c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</row>
    <row r="557">
      <c r="A557" s="56" t="s">
        <v>1769</v>
      </c>
      <c r="B557" s="56" t="s">
        <v>481</v>
      </c>
      <c r="C557" s="56" t="str">
        <f t="shared" si="1"/>
        <v>mythic normal orb (Verificar aba de drops)</v>
      </c>
      <c r="D557" s="56">
        <v>2.0</v>
      </c>
      <c r="E557" s="56" t="s">
        <v>7</v>
      </c>
      <c r="F557" s="56">
        <v>1.0</v>
      </c>
      <c r="G557" s="56" t="str">
        <f t="shared" si="2"/>
        <v>Normal #1</v>
      </c>
      <c r="H557" s="56" t="s">
        <v>1770</v>
      </c>
      <c r="I557" s="56" t="s">
        <v>1771</v>
      </c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</row>
    <row r="558">
      <c r="A558" s="56" t="s">
        <v>1772</v>
      </c>
      <c r="B558" s="56" t="s">
        <v>481</v>
      </c>
      <c r="C558" s="56" t="str">
        <f t="shared" si="1"/>
        <v>normal essence (Verificar aba de drops)</v>
      </c>
      <c r="D558" s="56">
        <v>100.0</v>
      </c>
      <c r="E558" s="56" t="s">
        <v>7</v>
      </c>
      <c r="F558" s="56">
        <v>1.0</v>
      </c>
      <c r="G558" s="56" t="str">
        <f t="shared" si="2"/>
        <v>Normal #1</v>
      </c>
      <c r="H558" s="56" t="s">
        <v>1770</v>
      </c>
      <c r="I558" s="56" t="s">
        <v>1771</v>
      </c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</row>
    <row r="559">
      <c r="A559" s="56" t="s">
        <v>1773</v>
      </c>
      <c r="B559" s="56" t="s">
        <v>1414</v>
      </c>
      <c r="C559" s="56" t="str">
        <f t="shared" si="1"/>
        <v>cute ball (Whismur)</v>
      </c>
      <c r="D559" s="56">
        <v>500.0</v>
      </c>
      <c r="E559" s="56" t="s">
        <v>7</v>
      </c>
      <c r="F559" s="56">
        <v>1.0</v>
      </c>
      <c r="G559" s="56" t="str">
        <f t="shared" si="2"/>
        <v>Normal #1</v>
      </c>
      <c r="H559" s="56" t="s">
        <v>1770</v>
      </c>
      <c r="I559" s="56" t="s">
        <v>1771</v>
      </c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</row>
    <row r="560">
      <c r="A560" s="52" t="s">
        <v>469</v>
      </c>
      <c r="B560" s="52" t="s">
        <v>469</v>
      </c>
      <c r="C560" s="52" t="str">
        <f t="shared" si="1"/>
        <v/>
      </c>
      <c r="D560" s="52"/>
      <c r="E560" s="52"/>
      <c r="F560" s="52"/>
      <c r="G560" s="52" t="str">
        <f t="shared" si="2"/>
        <v/>
      </c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</row>
    <row r="561">
      <c r="A561" s="56" t="s">
        <v>1769</v>
      </c>
      <c r="B561" s="56" t="s">
        <v>481</v>
      </c>
      <c r="C561" s="56" t="str">
        <f t="shared" si="1"/>
        <v>mythic normal orb (Verificar aba de drops)</v>
      </c>
      <c r="D561" s="56">
        <v>3.0</v>
      </c>
      <c r="E561" s="56" t="s">
        <v>7</v>
      </c>
      <c r="F561" s="56">
        <v>2.0</v>
      </c>
      <c r="G561" s="56" t="str">
        <f t="shared" si="2"/>
        <v>Normal #2</v>
      </c>
      <c r="H561" s="56" t="s">
        <v>1770</v>
      </c>
      <c r="I561" s="56" t="s">
        <v>1774</v>
      </c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</row>
    <row r="562">
      <c r="A562" s="56" t="s">
        <v>1775</v>
      </c>
      <c r="B562" s="56" t="s">
        <v>999</v>
      </c>
      <c r="C562" s="56" t="str">
        <f t="shared" si="1"/>
        <v>purple egg (Shiny Chansey)</v>
      </c>
      <c r="D562" s="56">
        <v>2.0</v>
      </c>
      <c r="E562" s="56" t="s">
        <v>7</v>
      </c>
      <c r="F562" s="56">
        <v>2.0</v>
      </c>
      <c r="G562" s="56" t="str">
        <f t="shared" si="2"/>
        <v>Normal #2</v>
      </c>
      <c r="H562" s="56" t="s">
        <v>1770</v>
      </c>
      <c r="I562" s="56" t="s">
        <v>1774</v>
      </c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</row>
    <row r="563">
      <c r="A563" s="56" t="s">
        <v>458</v>
      </c>
      <c r="B563" s="56" t="s">
        <v>375</v>
      </c>
      <c r="C563" s="56" t="str">
        <f t="shared" si="1"/>
        <v>cow tail (Miltank)</v>
      </c>
      <c r="D563" s="56">
        <v>500.0</v>
      </c>
      <c r="E563" s="56" t="s">
        <v>7</v>
      </c>
      <c r="F563" s="56">
        <v>2.0</v>
      </c>
      <c r="G563" s="56" t="str">
        <f t="shared" si="2"/>
        <v>Normal #2</v>
      </c>
      <c r="H563" s="56" t="s">
        <v>1770</v>
      </c>
      <c r="I563" s="56" t="s">
        <v>1774</v>
      </c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</row>
    <row r="564">
      <c r="A564" s="52" t="s">
        <v>469</v>
      </c>
      <c r="B564" s="52" t="s">
        <v>469</v>
      </c>
      <c r="C564" s="52" t="str">
        <f t="shared" si="1"/>
        <v/>
      </c>
      <c r="D564" s="52"/>
      <c r="E564" s="52"/>
      <c r="F564" s="52"/>
      <c r="G564" s="52" t="str">
        <f t="shared" si="2"/>
        <v/>
      </c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</row>
    <row r="565">
      <c r="A565" s="56" t="s">
        <v>585</v>
      </c>
      <c r="B565" s="56" t="s">
        <v>586</v>
      </c>
      <c r="C565" s="56" t="str">
        <f t="shared" si="1"/>
        <v>mouse tail (Ratata)</v>
      </c>
      <c r="D565" s="56">
        <v>50.0</v>
      </c>
      <c r="E565" s="56" t="s">
        <v>7</v>
      </c>
      <c r="F565" s="56">
        <v>3.0</v>
      </c>
      <c r="G565" s="56" t="str">
        <f t="shared" si="2"/>
        <v>Normal #3</v>
      </c>
      <c r="H565" s="56" t="s">
        <v>1770</v>
      </c>
      <c r="I565" s="56" t="s">
        <v>1776</v>
      </c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</row>
    <row r="566">
      <c r="A566" s="52" t="s">
        <v>469</v>
      </c>
      <c r="B566" s="52" t="s">
        <v>469</v>
      </c>
      <c r="C566" s="52" t="str">
        <f t="shared" si="1"/>
        <v/>
      </c>
      <c r="D566" s="52"/>
      <c r="E566" s="52"/>
      <c r="F566" s="52"/>
      <c r="G566" s="52" t="str">
        <f t="shared" si="2"/>
        <v/>
      </c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</row>
    <row r="567">
      <c r="A567" s="56" t="s">
        <v>1777</v>
      </c>
      <c r="B567" s="56" t="s">
        <v>481</v>
      </c>
      <c r="C567" s="56" t="str">
        <f t="shared" si="1"/>
        <v>simple normal orb (Verificar aba de drops)</v>
      </c>
      <c r="D567" s="56">
        <v>5.0</v>
      </c>
      <c r="E567" s="56" t="s">
        <v>7</v>
      </c>
      <c r="F567" s="56">
        <v>4.0</v>
      </c>
      <c r="G567" s="56" t="str">
        <f t="shared" si="2"/>
        <v>Normal #4</v>
      </c>
      <c r="H567" s="56" t="s">
        <v>1778</v>
      </c>
      <c r="I567" s="56" t="s">
        <v>1779</v>
      </c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</row>
    <row r="568">
      <c r="A568" s="56" t="s">
        <v>1780</v>
      </c>
      <c r="B568" s="56" t="s">
        <v>1781</v>
      </c>
      <c r="C568" s="56" t="str">
        <f t="shared" si="1"/>
        <v>blue mouse tail (Shiny Ratata)</v>
      </c>
      <c r="D568" s="56">
        <v>3.0</v>
      </c>
      <c r="E568" s="56" t="s">
        <v>7</v>
      </c>
      <c r="F568" s="56">
        <v>4.0</v>
      </c>
      <c r="G568" s="56" t="str">
        <f t="shared" si="2"/>
        <v>Normal #4</v>
      </c>
      <c r="H568" s="56" t="s">
        <v>1778</v>
      </c>
      <c r="I568" s="56" t="s">
        <v>1779</v>
      </c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</row>
    <row r="569">
      <c r="A569" s="52" t="s">
        <v>469</v>
      </c>
      <c r="B569" s="52" t="s">
        <v>469</v>
      </c>
      <c r="C569" s="52" t="str">
        <f t="shared" si="1"/>
        <v/>
      </c>
      <c r="D569" s="52"/>
      <c r="E569" s="52"/>
      <c r="F569" s="52"/>
      <c r="G569" s="52" t="str">
        <f t="shared" si="2"/>
        <v/>
      </c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</row>
    <row r="570">
      <c r="A570" s="56" t="s">
        <v>1782</v>
      </c>
      <c r="B570" s="56" t="s">
        <v>481</v>
      </c>
      <c r="C570" s="56" t="str">
        <f t="shared" si="1"/>
        <v>arcane normal orb (Verificar aba de drops)</v>
      </c>
      <c r="D570" s="56">
        <v>3.0</v>
      </c>
      <c r="E570" s="56" t="s">
        <v>7</v>
      </c>
      <c r="F570" s="56">
        <v>5.0</v>
      </c>
      <c r="G570" s="56" t="str">
        <f t="shared" si="2"/>
        <v>Normal #5</v>
      </c>
      <c r="H570" s="56" t="s">
        <v>1778</v>
      </c>
      <c r="I570" s="56" t="s">
        <v>1783</v>
      </c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</row>
    <row r="571">
      <c r="A571" s="56" t="s">
        <v>1784</v>
      </c>
      <c r="B571" s="57" t="s">
        <v>807</v>
      </c>
      <c r="C571" s="56" t="str">
        <f t="shared" si="1"/>
        <v>loud microphone (Shiny Jigglypuff)</v>
      </c>
      <c r="D571" s="56">
        <v>3.0</v>
      </c>
      <c r="E571" s="56" t="s">
        <v>7</v>
      </c>
      <c r="F571" s="56">
        <v>5.0</v>
      </c>
      <c r="G571" s="56" t="str">
        <f t="shared" si="2"/>
        <v>Normal #5</v>
      </c>
      <c r="H571" s="56" t="s">
        <v>1778</v>
      </c>
      <c r="I571" s="56" t="s">
        <v>1783</v>
      </c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</row>
    <row r="572">
      <c r="A572" s="56" t="s">
        <v>1785</v>
      </c>
      <c r="B572" s="56" t="s">
        <v>402</v>
      </c>
      <c r="C572" s="56" t="str">
        <f t="shared" si="1"/>
        <v>bull tail (Tauros)</v>
      </c>
      <c r="D572" s="56">
        <v>120.0</v>
      </c>
      <c r="E572" s="56" t="s">
        <v>7</v>
      </c>
      <c r="F572" s="56">
        <v>5.0</v>
      </c>
      <c r="G572" s="56" t="str">
        <f t="shared" si="2"/>
        <v>Normal #5</v>
      </c>
      <c r="H572" s="56" t="s">
        <v>1778</v>
      </c>
      <c r="I572" s="56" t="s">
        <v>1783</v>
      </c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</row>
    <row r="573">
      <c r="A573" s="52" t="s">
        <v>469</v>
      </c>
      <c r="B573" s="52" t="s">
        <v>469</v>
      </c>
      <c r="C573" s="52" t="str">
        <f t="shared" si="1"/>
        <v/>
      </c>
      <c r="D573" s="52"/>
      <c r="E573" s="52"/>
      <c r="F573" s="52"/>
      <c r="G573" s="52" t="str">
        <f t="shared" si="2"/>
        <v/>
      </c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</row>
    <row r="574">
      <c r="A574" s="56" t="s">
        <v>585</v>
      </c>
      <c r="B574" s="56" t="s">
        <v>586</v>
      </c>
      <c r="C574" s="56" t="str">
        <f t="shared" si="1"/>
        <v>mouse tail (Ratata)</v>
      </c>
      <c r="D574" s="56">
        <v>50.0</v>
      </c>
      <c r="E574" s="56" t="s">
        <v>7</v>
      </c>
      <c r="F574" s="56">
        <v>6.0</v>
      </c>
      <c r="G574" s="56" t="str">
        <f t="shared" si="2"/>
        <v>Normal #6</v>
      </c>
      <c r="H574" s="56" t="s">
        <v>1786</v>
      </c>
      <c r="I574" s="56" t="s">
        <v>1787</v>
      </c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</row>
    <row r="575">
      <c r="A575" s="52" t="s">
        <v>469</v>
      </c>
      <c r="B575" s="52" t="s">
        <v>469</v>
      </c>
      <c r="C575" s="52" t="str">
        <f t="shared" si="1"/>
        <v/>
      </c>
      <c r="D575" s="52"/>
      <c r="E575" s="52"/>
      <c r="F575" s="52"/>
      <c r="G575" s="52" t="str">
        <f t="shared" si="2"/>
        <v/>
      </c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</row>
    <row r="576">
      <c r="A576" s="56" t="s">
        <v>1777</v>
      </c>
      <c r="B576" s="56" t="s">
        <v>481</v>
      </c>
      <c r="C576" s="56" t="str">
        <f t="shared" si="1"/>
        <v>simple normal orb (Verificar aba de drops)</v>
      </c>
      <c r="D576" s="56">
        <v>5.0</v>
      </c>
      <c r="E576" s="56" t="s">
        <v>7</v>
      </c>
      <c r="F576" s="56">
        <v>7.0</v>
      </c>
      <c r="G576" s="56" t="str">
        <f t="shared" si="2"/>
        <v>Normal #7</v>
      </c>
      <c r="H576" s="56" t="s">
        <v>1788</v>
      </c>
      <c r="I576" s="56" t="s">
        <v>1789</v>
      </c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</row>
    <row r="577">
      <c r="A577" s="56" t="s">
        <v>1780</v>
      </c>
      <c r="B577" s="56" t="s">
        <v>1781</v>
      </c>
      <c r="C577" s="56" t="str">
        <f t="shared" si="1"/>
        <v>blue mouse tail (Shiny Ratata)</v>
      </c>
      <c r="D577" s="56">
        <v>3.0</v>
      </c>
      <c r="E577" s="56" t="s">
        <v>7</v>
      </c>
      <c r="F577" s="56">
        <v>7.0</v>
      </c>
      <c r="G577" s="56" t="str">
        <f t="shared" si="2"/>
        <v>Normal #7</v>
      </c>
      <c r="H577" s="56" t="s">
        <v>1788</v>
      </c>
      <c r="I577" s="56" t="s">
        <v>1789</v>
      </c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</row>
    <row r="578">
      <c r="A578" s="52" t="s">
        <v>469</v>
      </c>
      <c r="B578" s="52" t="s">
        <v>469</v>
      </c>
      <c r="C578" s="52" t="str">
        <f t="shared" si="1"/>
        <v/>
      </c>
      <c r="D578" s="52"/>
      <c r="E578" s="52"/>
      <c r="F578" s="52"/>
      <c r="G578" s="52" t="str">
        <f t="shared" si="2"/>
        <v/>
      </c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</row>
    <row r="579">
      <c r="A579" s="56" t="s">
        <v>1782</v>
      </c>
      <c r="B579" s="56" t="s">
        <v>481</v>
      </c>
      <c r="C579" s="56" t="str">
        <f t="shared" si="1"/>
        <v>arcane normal orb (Verificar aba de drops)</v>
      </c>
      <c r="D579" s="56">
        <v>3.0</v>
      </c>
      <c r="E579" s="56" t="s">
        <v>7</v>
      </c>
      <c r="F579" s="56">
        <v>8.0</v>
      </c>
      <c r="G579" s="56" t="str">
        <f t="shared" si="2"/>
        <v>Normal #8</v>
      </c>
      <c r="H579" s="56" t="s">
        <v>1788</v>
      </c>
      <c r="I579" s="56" t="s">
        <v>1790</v>
      </c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</row>
    <row r="580">
      <c r="A580" s="56" t="s">
        <v>1784</v>
      </c>
      <c r="B580" s="56" t="s">
        <v>807</v>
      </c>
      <c r="C580" s="56" t="str">
        <f t="shared" si="1"/>
        <v>loud microphone (Shiny Jigglypuff)</v>
      </c>
      <c r="D580" s="56">
        <v>3.0</v>
      </c>
      <c r="E580" s="56" t="s">
        <v>7</v>
      </c>
      <c r="F580" s="56">
        <v>8.0</v>
      </c>
      <c r="G580" s="56" t="str">
        <f t="shared" si="2"/>
        <v>Normal #8</v>
      </c>
      <c r="H580" s="56" t="s">
        <v>1788</v>
      </c>
      <c r="I580" s="56" t="s">
        <v>1790</v>
      </c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</row>
    <row r="581">
      <c r="A581" s="56" t="s">
        <v>1785</v>
      </c>
      <c r="B581" s="56" t="s">
        <v>402</v>
      </c>
      <c r="C581" s="56" t="str">
        <f t="shared" si="1"/>
        <v>bull tail (Tauros)</v>
      </c>
      <c r="D581" s="56">
        <v>120.0</v>
      </c>
      <c r="E581" s="56" t="s">
        <v>7</v>
      </c>
      <c r="F581" s="56">
        <v>8.0</v>
      </c>
      <c r="G581" s="56" t="str">
        <f t="shared" si="2"/>
        <v>Normal #8</v>
      </c>
      <c r="H581" s="56" t="s">
        <v>1788</v>
      </c>
      <c r="I581" s="56" t="s">
        <v>1790</v>
      </c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</row>
    <row r="582">
      <c r="A582" s="56" t="s">
        <v>1791</v>
      </c>
      <c r="B582" s="56" t="s">
        <v>481</v>
      </c>
      <c r="C582" s="56" t="str">
        <f t="shared" si="1"/>
        <v>mythic poison orb (Verificar aba de drops)</v>
      </c>
      <c r="D582" s="56">
        <v>2.0</v>
      </c>
      <c r="E582" s="56" t="s">
        <v>721</v>
      </c>
      <c r="F582" s="56">
        <v>1.0</v>
      </c>
      <c r="G582" s="56" t="str">
        <f t="shared" si="2"/>
        <v>Poison #1</v>
      </c>
      <c r="H582" s="56" t="s">
        <v>1792</v>
      </c>
      <c r="I582" s="56" t="s">
        <v>1793</v>
      </c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</row>
    <row r="583">
      <c r="A583" s="56" t="s">
        <v>1794</v>
      </c>
      <c r="B583" s="56" t="s">
        <v>481</v>
      </c>
      <c r="C583" s="56" t="str">
        <f t="shared" si="1"/>
        <v>poison essence (Verificar aba de drops)</v>
      </c>
      <c r="D583" s="56">
        <v>100.0</v>
      </c>
      <c r="E583" s="56" t="s">
        <v>721</v>
      </c>
      <c r="F583" s="56">
        <v>1.0</v>
      </c>
      <c r="G583" s="56" t="str">
        <f t="shared" si="2"/>
        <v>Poison #1</v>
      </c>
      <c r="H583" s="56" t="s">
        <v>1792</v>
      </c>
      <c r="I583" s="56" t="s">
        <v>1793</v>
      </c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</row>
    <row r="584">
      <c r="A584" s="56" t="s">
        <v>1795</v>
      </c>
      <c r="B584" s="56" t="s">
        <v>1457</v>
      </c>
      <c r="C584" s="56" t="str">
        <f t="shared" si="1"/>
        <v>toxic thing (Gulpin)</v>
      </c>
      <c r="D584" s="56">
        <v>500.0</v>
      </c>
      <c r="E584" s="56" t="s">
        <v>721</v>
      </c>
      <c r="F584" s="56">
        <v>1.0</v>
      </c>
      <c r="G584" s="56" t="str">
        <f t="shared" si="2"/>
        <v>Poison #1</v>
      </c>
      <c r="H584" s="56" t="s">
        <v>1792</v>
      </c>
      <c r="I584" s="56" t="s">
        <v>1793</v>
      </c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</row>
    <row r="585">
      <c r="A585" s="52" t="s">
        <v>469</v>
      </c>
      <c r="B585" s="52" t="s">
        <v>469</v>
      </c>
      <c r="C585" s="52" t="str">
        <f t="shared" si="1"/>
        <v/>
      </c>
      <c r="D585" s="52"/>
      <c r="E585" s="52"/>
      <c r="F585" s="52"/>
      <c r="G585" s="52" t="str">
        <f t="shared" si="2"/>
        <v/>
      </c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</row>
    <row r="586">
      <c r="A586" s="56" t="s">
        <v>1791</v>
      </c>
      <c r="B586" s="56" t="s">
        <v>481</v>
      </c>
      <c r="C586" s="56" t="str">
        <f t="shared" si="1"/>
        <v>mythic poison orb (Verificar aba de drops)</v>
      </c>
      <c r="D586" s="56">
        <v>3.0</v>
      </c>
      <c r="E586" s="56" t="s">
        <v>721</v>
      </c>
      <c r="F586" s="56">
        <v>2.0</v>
      </c>
      <c r="G586" s="56" t="str">
        <f t="shared" si="2"/>
        <v>Poison #2</v>
      </c>
      <c r="H586" s="56" t="s">
        <v>1792</v>
      </c>
      <c r="I586" s="56" t="s">
        <v>1796</v>
      </c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</row>
    <row r="587">
      <c r="A587" s="56" t="s">
        <v>1797</v>
      </c>
      <c r="B587" s="56" t="s">
        <v>1232</v>
      </c>
      <c r="C587" s="56" t="str">
        <f t="shared" si="1"/>
        <v>poisoned fish tail (Shiny Qwilfish)</v>
      </c>
      <c r="D587" s="56">
        <v>2.0</v>
      </c>
      <c r="E587" s="56" t="s">
        <v>721</v>
      </c>
      <c r="F587" s="56">
        <v>2.0</v>
      </c>
      <c r="G587" s="56" t="str">
        <f t="shared" si="2"/>
        <v>Poison #2</v>
      </c>
      <c r="H587" s="56" t="s">
        <v>1792</v>
      </c>
      <c r="I587" s="56" t="s">
        <v>1796</v>
      </c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</row>
    <row r="588">
      <c r="A588" s="56" t="s">
        <v>544</v>
      </c>
      <c r="B588" s="56" t="s">
        <v>377</v>
      </c>
      <c r="C588" s="56" t="str">
        <f t="shared" si="1"/>
        <v>king ear (Nidoking)</v>
      </c>
      <c r="D588" s="56">
        <v>500.0</v>
      </c>
      <c r="E588" s="56" t="s">
        <v>721</v>
      </c>
      <c r="F588" s="56">
        <v>2.0</v>
      </c>
      <c r="G588" s="56" t="str">
        <f t="shared" si="2"/>
        <v>Poison #2</v>
      </c>
      <c r="H588" s="56" t="s">
        <v>1792</v>
      </c>
      <c r="I588" s="56" t="s">
        <v>1796</v>
      </c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</row>
    <row r="589">
      <c r="A589" s="52" t="s">
        <v>469</v>
      </c>
      <c r="B589" s="52" t="s">
        <v>469</v>
      </c>
      <c r="C589" s="52" t="str">
        <f t="shared" si="1"/>
        <v/>
      </c>
      <c r="D589" s="52"/>
      <c r="E589" s="52"/>
      <c r="F589" s="52"/>
      <c r="G589" s="52" t="str">
        <f t="shared" si="2"/>
        <v/>
      </c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</row>
    <row r="590">
      <c r="A590" s="56" t="s">
        <v>1798</v>
      </c>
      <c r="B590" s="56" t="s">
        <v>773</v>
      </c>
      <c r="C590" s="56" t="str">
        <f t="shared" si="1"/>
        <v>snake tail (Ekans)</v>
      </c>
      <c r="D590" s="56">
        <v>50.0</v>
      </c>
      <c r="E590" s="56" t="s">
        <v>721</v>
      </c>
      <c r="F590" s="56">
        <v>3.0</v>
      </c>
      <c r="G590" s="56" t="str">
        <f t="shared" si="2"/>
        <v>Poison #3</v>
      </c>
      <c r="H590" s="56" t="s">
        <v>1792</v>
      </c>
      <c r="I590" s="56" t="s">
        <v>1799</v>
      </c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</row>
    <row r="591">
      <c r="A591" s="52" t="s">
        <v>469</v>
      </c>
      <c r="B591" s="52" t="s">
        <v>469</v>
      </c>
      <c r="C591" s="52" t="str">
        <f t="shared" si="1"/>
        <v/>
      </c>
      <c r="D591" s="52"/>
      <c r="E591" s="52"/>
      <c r="F591" s="52"/>
      <c r="G591" s="52" t="str">
        <f t="shared" si="2"/>
        <v/>
      </c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</row>
    <row r="592">
      <c r="A592" s="56" t="s">
        <v>1800</v>
      </c>
      <c r="B592" s="56" t="s">
        <v>481</v>
      </c>
      <c r="C592" s="56" t="str">
        <f t="shared" si="1"/>
        <v>simple poison orb (Verificar aba de drops)</v>
      </c>
      <c r="D592" s="56">
        <v>5.0</v>
      </c>
      <c r="E592" s="56" t="s">
        <v>721</v>
      </c>
      <c r="F592" s="56">
        <v>4.0</v>
      </c>
      <c r="G592" s="56" t="str">
        <f t="shared" si="2"/>
        <v>Poison #4</v>
      </c>
      <c r="H592" s="56" t="s">
        <v>1801</v>
      </c>
      <c r="I592" s="56" t="s">
        <v>1802</v>
      </c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</row>
    <row r="593">
      <c r="A593" s="56" t="s">
        <v>1803</v>
      </c>
      <c r="B593" s="56" t="s">
        <v>899</v>
      </c>
      <c r="C593" s="56" t="str">
        <f t="shared" si="1"/>
        <v>disgusting gosme (Shiny Grimer)</v>
      </c>
      <c r="D593" s="56">
        <v>3.0</v>
      </c>
      <c r="E593" s="56" t="s">
        <v>721</v>
      </c>
      <c r="F593" s="56">
        <v>4.0</v>
      </c>
      <c r="G593" s="56" t="str">
        <f t="shared" si="2"/>
        <v>Poison #4</v>
      </c>
      <c r="H593" s="56" t="s">
        <v>1801</v>
      </c>
      <c r="I593" s="56" t="s">
        <v>1802</v>
      </c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</row>
    <row r="594">
      <c r="A594" s="52" t="s">
        <v>469</v>
      </c>
      <c r="B594" s="52" t="s">
        <v>469</v>
      </c>
      <c r="C594" s="52" t="str">
        <f t="shared" si="1"/>
        <v/>
      </c>
      <c r="D594" s="52"/>
      <c r="E594" s="52"/>
      <c r="F594" s="52"/>
      <c r="G594" s="52" t="str">
        <f t="shared" si="2"/>
        <v/>
      </c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</row>
    <row r="595">
      <c r="A595" s="56" t="s">
        <v>1804</v>
      </c>
      <c r="B595" s="56" t="s">
        <v>481</v>
      </c>
      <c r="C595" s="56" t="str">
        <f t="shared" si="1"/>
        <v>arcane poison orb (Verificar aba de drops)</v>
      </c>
      <c r="D595" s="56">
        <v>3.0</v>
      </c>
      <c r="E595" s="56" t="s">
        <v>721</v>
      </c>
      <c r="F595" s="56">
        <v>5.0</v>
      </c>
      <c r="G595" s="56" t="str">
        <f t="shared" si="2"/>
        <v>Poison #5</v>
      </c>
      <c r="H595" s="56" t="s">
        <v>1801</v>
      </c>
      <c r="I595" s="56" t="s">
        <v>1805</v>
      </c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</row>
    <row r="596">
      <c r="A596" s="56" t="s">
        <v>1806</v>
      </c>
      <c r="B596" s="56" t="s">
        <v>993</v>
      </c>
      <c r="C596" s="56" t="str">
        <f t="shared" si="1"/>
        <v>contagious pore (Shiny Koffing)</v>
      </c>
      <c r="D596" s="56">
        <v>3.0</v>
      </c>
      <c r="E596" s="56" t="s">
        <v>721</v>
      </c>
      <c r="F596" s="56">
        <v>5.0</v>
      </c>
      <c r="G596" s="56" t="str">
        <f t="shared" si="2"/>
        <v>Poison #5</v>
      </c>
      <c r="H596" s="56" t="s">
        <v>1801</v>
      </c>
      <c r="I596" s="56" t="s">
        <v>1805</v>
      </c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</row>
    <row r="597">
      <c r="A597" s="56" t="s">
        <v>1807</v>
      </c>
      <c r="B597" s="56" t="s">
        <v>779</v>
      </c>
      <c r="C597" s="56" t="str">
        <f t="shared" si="1"/>
        <v>cobra tail (Arbok)</v>
      </c>
      <c r="D597" s="56">
        <v>120.0</v>
      </c>
      <c r="E597" s="56" t="s">
        <v>721</v>
      </c>
      <c r="F597" s="56">
        <v>5.0</v>
      </c>
      <c r="G597" s="56" t="str">
        <f t="shared" si="2"/>
        <v>Poison #5</v>
      </c>
      <c r="H597" s="56" t="s">
        <v>1801</v>
      </c>
      <c r="I597" s="56" t="s">
        <v>1805</v>
      </c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</row>
    <row r="598">
      <c r="A598" s="52" t="s">
        <v>469</v>
      </c>
      <c r="B598" s="52" t="s">
        <v>469</v>
      </c>
      <c r="C598" s="52" t="str">
        <f t="shared" si="1"/>
        <v/>
      </c>
      <c r="D598" s="52"/>
      <c r="E598" s="52"/>
      <c r="F598" s="52"/>
      <c r="G598" s="52" t="str">
        <f t="shared" si="2"/>
        <v/>
      </c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</row>
    <row r="599">
      <c r="A599" s="56" t="s">
        <v>1808</v>
      </c>
      <c r="B599" s="56" t="s">
        <v>989</v>
      </c>
      <c r="C599" s="56" t="str">
        <f t="shared" si="1"/>
        <v>poison pore (Koffing)</v>
      </c>
      <c r="D599" s="56">
        <v>50.0</v>
      </c>
      <c r="E599" s="56" t="s">
        <v>721</v>
      </c>
      <c r="F599" s="56">
        <v>6.0</v>
      </c>
      <c r="G599" s="56" t="str">
        <f t="shared" si="2"/>
        <v>Poison #6</v>
      </c>
      <c r="H599" s="56" t="s">
        <v>1809</v>
      </c>
      <c r="I599" s="56" t="s">
        <v>1810</v>
      </c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</row>
    <row r="600">
      <c r="A600" s="52" t="s">
        <v>469</v>
      </c>
      <c r="B600" s="52" t="s">
        <v>469</v>
      </c>
      <c r="C600" s="52" t="str">
        <f t="shared" si="1"/>
        <v/>
      </c>
      <c r="D600" s="52"/>
      <c r="E600" s="52"/>
      <c r="F600" s="52"/>
      <c r="G600" s="52" t="str">
        <f t="shared" si="2"/>
        <v/>
      </c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</row>
    <row r="601">
      <c r="A601" s="56" t="s">
        <v>1800</v>
      </c>
      <c r="B601" s="56" t="s">
        <v>481</v>
      </c>
      <c r="C601" s="56" t="str">
        <f t="shared" si="1"/>
        <v>simple poison orb (Verificar aba de drops)</v>
      </c>
      <c r="D601" s="56">
        <v>5.0</v>
      </c>
      <c r="E601" s="56" t="s">
        <v>721</v>
      </c>
      <c r="F601" s="56">
        <v>7.0</v>
      </c>
      <c r="G601" s="56" t="str">
        <f t="shared" si="2"/>
        <v>Poison #7</v>
      </c>
      <c r="H601" s="56" t="s">
        <v>1811</v>
      </c>
      <c r="I601" s="56" t="s">
        <v>1812</v>
      </c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</row>
    <row r="602">
      <c r="A602" s="56" t="s">
        <v>1806</v>
      </c>
      <c r="B602" s="56" t="s">
        <v>993</v>
      </c>
      <c r="C602" s="56" t="str">
        <f t="shared" si="1"/>
        <v>contagious pore (Shiny Koffing)</v>
      </c>
      <c r="D602" s="56">
        <v>3.0</v>
      </c>
      <c r="E602" s="56" t="s">
        <v>721</v>
      </c>
      <c r="F602" s="56">
        <v>7.0</v>
      </c>
      <c r="G602" s="56" t="str">
        <f t="shared" si="2"/>
        <v>Poison #7</v>
      </c>
      <c r="H602" s="56" t="s">
        <v>1811</v>
      </c>
      <c r="I602" s="56" t="s">
        <v>1812</v>
      </c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</row>
    <row r="603">
      <c r="A603" s="52" t="s">
        <v>469</v>
      </c>
      <c r="B603" s="52" t="s">
        <v>469</v>
      </c>
      <c r="C603" s="52" t="str">
        <f t="shared" si="1"/>
        <v/>
      </c>
      <c r="D603" s="52"/>
      <c r="E603" s="52"/>
      <c r="F603" s="52"/>
      <c r="G603" s="52" t="str">
        <f t="shared" si="2"/>
        <v/>
      </c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</row>
    <row r="604">
      <c r="A604" s="56" t="s">
        <v>1804</v>
      </c>
      <c r="B604" s="56" t="s">
        <v>481</v>
      </c>
      <c r="C604" s="56" t="str">
        <f t="shared" si="1"/>
        <v>arcane poison orb (Verificar aba de drops)</v>
      </c>
      <c r="D604" s="56">
        <v>3.0</v>
      </c>
      <c r="E604" s="56" t="s">
        <v>721</v>
      </c>
      <c r="F604" s="56">
        <v>8.0</v>
      </c>
      <c r="G604" s="56" t="str">
        <f t="shared" si="2"/>
        <v>Poison #8</v>
      </c>
      <c r="H604" s="56" t="s">
        <v>1811</v>
      </c>
      <c r="I604" s="56" t="s">
        <v>1813</v>
      </c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</row>
    <row r="605">
      <c r="A605" s="56" t="s">
        <v>1814</v>
      </c>
      <c r="B605" s="56" t="s">
        <v>775</v>
      </c>
      <c r="C605" s="56" t="str">
        <f t="shared" si="1"/>
        <v>gray snake tail (Shiny Ekans)</v>
      </c>
      <c r="D605" s="56">
        <v>3.0</v>
      </c>
      <c r="E605" s="56" t="s">
        <v>721</v>
      </c>
      <c r="F605" s="56">
        <v>8.0</v>
      </c>
      <c r="G605" s="56" t="str">
        <f t="shared" si="2"/>
        <v>Poison #8</v>
      </c>
      <c r="H605" s="56" t="s">
        <v>1811</v>
      </c>
      <c r="I605" s="56" t="s">
        <v>1813</v>
      </c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</row>
    <row r="606">
      <c r="A606" s="56" t="s">
        <v>1815</v>
      </c>
      <c r="B606" s="56" t="s">
        <v>994</v>
      </c>
      <c r="C606" s="56" t="str">
        <f t="shared" si="1"/>
        <v>toxic scale (Weezing)</v>
      </c>
      <c r="D606" s="56">
        <v>120.0</v>
      </c>
      <c r="E606" s="56" t="s">
        <v>721</v>
      </c>
      <c r="F606" s="56">
        <v>8.0</v>
      </c>
      <c r="G606" s="56" t="str">
        <f t="shared" si="2"/>
        <v>Poison #8</v>
      </c>
      <c r="H606" s="56" t="s">
        <v>1811</v>
      </c>
      <c r="I606" s="56" t="s">
        <v>1813</v>
      </c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</row>
    <row r="607">
      <c r="A607" s="56" t="s">
        <v>637</v>
      </c>
      <c r="B607" s="56" t="s">
        <v>481</v>
      </c>
      <c r="C607" s="56" t="str">
        <f t="shared" si="1"/>
        <v>mythic psychic orb (Verificar aba de drops)</v>
      </c>
      <c r="D607" s="56">
        <v>2.0</v>
      </c>
      <c r="E607" s="56" t="s">
        <v>732</v>
      </c>
      <c r="F607" s="56">
        <v>1.0</v>
      </c>
      <c r="G607" s="56" t="str">
        <f t="shared" si="2"/>
        <v>Psychic #1</v>
      </c>
      <c r="H607" s="56" t="s">
        <v>1816</v>
      </c>
      <c r="I607" s="56" t="s">
        <v>1817</v>
      </c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</row>
    <row r="608">
      <c r="A608" s="56" t="s">
        <v>1818</v>
      </c>
      <c r="B608" s="56" t="s">
        <v>481</v>
      </c>
      <c r="C608" s="56" t="str">
        <f t="shared" si="1"/>
        <v>psychic essence (Verificar aba de drops)</v>
      </c>
      <c r="D608" s="56">
        <v>100.0</v>
      </c>
      <c r="E608" s="56" t="s">
        <v>732</v>
      </c>
      <c r="F608" s="56">
        <v>1.0</v>
      </c>
      <c r="G608" s="56" t="str">
        <f t="shared" si="2"/>
        <v>Psychic #1</v>
      </c>
      <c r="H608" s="56" t="s">
        <v>1816</v>
      </c>
      <c r="I608" s="56" t="s">
        <v>1817</v>
      </c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</row>
    <row r="609">
      <c r="A609" s="56" t="s">
        <v>1819</v>
      </c>
      <c r="B609" s="56" t="s">
        <v>1388</v>
      </c>
      <c r="C609" s="56" t="str">
        <f t="shared" si="1"/>
        <v>bowl hair (Ralts)</v>
      </c>
      <c r="D609" s="56">
        <v>500.0</v>
      </c>
      <c r="E609" s="56" t="s">
        <v>732</v>
      </c>
      <c r="F609" s="56">
        <v>1.0</v>
      </c>
      <c r="G609" s="56" t="str">
        <f t="shared" si="2"/>
        <v>Psychic #1</v>
      </c>
      <c r="H609" s="56" t="s">
        <v>1816</v>
      </c>
      <c r="I609" s="56" t="s">
        <v>1817</v>
      </c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</row>
    <row r="610">
      <c r="A610" s="52" t="s">
        <v>469</v>
      </c>
      <c r="B610" s="52" t="s">
        <v>469</v>
      </c>
      <c r="C610" s="52" t="str">
        <f t="shared" si="1"/>
        <v/>
      </c>
      <c r="D610" s="52"/>
      <c r="E610" s="52"/>
      <c r="F610" s="52"/>
      <c r="G610" s="52" t="str">
        <f t="shared" si="2"/>
        <v/>
      </c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</row>
    <row r="611">
      <c r="A611" s="56" t="s">
        <v>637</v>
      </c>
      <c r="B611" s="56" t="s">
        <v>481</v>
      </c>
      <c r="C611" s="56" t="str">
        <f t="shared" si="1"/>
        <v>mythic psychic orb (Verificar aba de drops)</v>
      </c>
      <c r="D611" s="56">
        <v>3.0</v>
      </c>
      <c r="E611" s="56" t="s">
        <v>732</v>
      </c>
      <c r="F611" s="56">
        <v>2.0</v>
      </c>
      <c r="G611" s="56" t="str">
        <f t="shared" si="2"/>
        <v>Psychic #2</v>
      </c>
      <c r="H611" s="56" t="s">
        <v>1816</v>
      </c>
      <c r="I611" s="56" t="s">
        <v>1820</v>
      </c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</row>
    <row r="612">
      <c r="A612" s="56" t="s">
        <v>1821</v>
      </c>
      <c r="B612" s="56" t="s">
        <v>1153</v>
      </c>
      <c r="C612" s="56" t="str">
        <f t="shared" si="1"/>
        <v>psychic wings (Shiny Xatu)</v>
      </c>
      <c r="D612" s="56">
        <v>2.0</v>
      </c>
      <c r="E612" s="56" t="s">
        <v>732</v>
      </c>
      <c r="F612" s="56">
        <v>2.0</v>
      </c>
      <c r="G612" s="56" t="str">
        <f t="shared" si="2"/>
        <v>Psychic #2</v>
      </c>
      <c r="H612" s="56" t="s">
        <v>1816</v>
      </c>
      <c r="I612" s="56" t="s">
        <v>1820</v>
      </c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</row>
    <row r="613">
      <c r="A613" s="56" t="s">
        <v>559</v>
      </c>
      <c r="B613" s="56" t="s">
        <v>560</v>
      </c>
      <c r="C613" s="56" t="str">
        <f t="shared" si="1"/>
        <v>giraffe antenna (Girafarig)</v>
      </c>
      <c r="D613" s="56">
        <v>500.0</v>
      </c>
      <c r="E613" s="56" t="s">
        <v>732</v>
      </c>
      <c r="F613" s="56">
        <v>2.0</v>
      </c>
      <c r="G613" s="56" t="str">
        <f t="shared" si="2"/>
        <v>Psychic #2</v>
      </c>
      <c r="H613" s="56" t="s">
        <v>1816</v>
      </c>
      <c r="I613" s="56" t="s">
        <v>1820</v>
      </c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</row>
    <row r="614">
      <c r="A614" s="52" t="s">
        <v>469</v>
      </c>
      <c r="B614" s="52" t="s">
        <v>469</v>
      </c>
      <c r="C614" s="52" t="str">
        <f t="shared" si="1"/>
        <v/>
      </c>
      <c r="D614" s="52"/>
      <c r="E614" s="52"/>
      <c r="F614" s="52"/>
      <c r="G614" s="52" t="str">
        <f t="shared" si="2"/>
        <v/>
      </c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</row>
    <row r="615">
      <c r="A615" s="56" t="s">
        <v>1822</v>
      </c>
      <c r="B615" s="56" t="s">
        <v>851</v>
      </c>
      <c r="C615" s="56" t="str">
        <f t="shared" si="1"/>
        <v>psychic vest (Abra)</v>
      </c>
      <c r="D615" s="56">
        <v>50.0</v>
      </c>
      <c r="E615" s="56" t="s">
        <v>732</v>
      </c>
      <c r="F615" s="56">
        <v>3.0</v>
      </c>
      <c r="G615" s="56" t="str">
        <f t="shared" si="2"/>
        <v>Psychic #3</v>
      </c>
      <c r="H615" s="56" t="s">
        <v>1816</v>
      </c>
      <c r="I615" s="56" t="s">
        <v>1823</v>
      </c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</row>
    <row r="616">
      <c r="A616" s="52" t="s">
        <v>469</v>
      </c>
      <c r="B616" s="52" t="s">
        <v>469</v>
      </c>
      <c r="C616" s="52" t="str">
        <f t="shared" si="1"/>
        <v/>
      </c>
      <c r="D616" s="52"/>
      <c r="E616" s="52"/>
      <c r="F616" s="52"/>
      <c r="G616" s="52" t="str">
        <f t="shared" si="2"/>
        <v/>
      </c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</row>
    <row r="617">
      <c r="A617" s="56" t="s">
        <v>670</v>
      </c>
      <c r="B617" s="56" t="s">
        <v>481</v>
      </c>
      <c r="C617" s="56" t="str">
        <f t="shared" si="1"/>
        <v>simple psychic orb (Verificar aba de drops)</v>
      </c>
      <c r="D617" s="56">
        <v>5.0</v>
      </c>
      <c r="E617" s="56" t="s">
        <v>732</v>
      </c>
      <c r="F617" s="56">
        <v>4.0</v>
      </c>
      <c r="G617" s="56" t="str">
        <f t="shared" si="2"/>
        <v>Psychic #4</v>
      </c>
      <c r="H617" s="56" t="s">
        <v>1824</v>
      </c>
      <c r="I617" s="56" t="s">
        <v>1825</v>
      </c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</row>
    <row r="618">
      <c r="A618" s="56" t="s">
        <v>1826</v>
      </c>
      <c r="B618" s="56" t="s">
        <v>852</v>
      </c>
      <c r="C618" s="56" t="str">
        <f t="shared" si="1"/>
        <v>blue psychic vest (Shiny Abra)</v>
      </c>
      <c r="D618" s="56">
        <v>3.0</v>
      </c>
      <c r="E618" s="56" t="s">
        <v>732</v>
      </c>
      <c r="F618" s="56">
        <v>4.0</v>
      </c>
      <c r="G618" s="56" t="str">
        <f t="shared" si="2"/>
        <v>Psychic #4</v>
      </c>
      <c r="H618" s="56" t="s">
        <v>1824</v>
      </c>
      <c r="I618" s="56" t="s">
        <v>1825</v>
      </c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</row>
    <row r="619">
      <c r="A619" s="52" t="s">
        <v>469</v>
      </c>
      <c r="B619" s="52" t="s">
        <v>469</v>
      </c>
      <c r="C619" s="52" t="str">
        <f t="shared" si="1"/>
        <v/>
      </c>
      <c r="D619" s="52"/>
      <c r="E619" s="52"/>
      <c r="F619" s="52"/>
      <c r="G619" s="52" t="str">
        <f t="shared" si="2"/>
        <v/>
      </c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</row>
    <row r="620">
      <c r="A620" s="56" t="s">
        <v>644</v>
      </c>
      <c r="B620" s="56" t="s">
        <v>481</v>
      </c>
      <c r="C620" s="56" t="str">
        <f t="shared" si="1"/>
        <v>arcane psychic orb (Verificar aba de drops)</v>
      </c>
      <c r="D620" s="56">
        <v>3.0</v>
      </c>
      <c r="E620" s="56" t="s">
        <v>732</v>
      </c>
      <c r="F620" s="56">
        <v>5.0</v>
      </c>
      <c r="G620" s="56" t="str">
        <f t="shared" si="2"/>
        <v>Psychic #5</v>
      </c>
      <c r="H620" s="56" t="s">
        <v>1824</v>
      </c>
      <c r="I620" s="56" t="s">
        <v>1827</v>
      </c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</row>
    <row r="621">
      <c r="A621" s="56" t="s">
        <v>1828</v>
      </c>
      <c r="B621" s="56" t="s">
        <v>854</v>
      </c>
      <c r="C621" s="56" t="str">
        <f t="shared" si="1"/>
        <v>enchanted spoon (Shiny Kadabra)</v>
      </c>
      <c r="D621" s="56">
        <v>3.0</v>
      </c>
      <c r="E621" s="56" t="s">
        <v>732</v>
      </c>
      <c r="F621" s="56">
        <v>5.0</v>
      </c>
      <c r="G621" s="56" t="str">
        <f t="shared" si="2"/>
        <v>Psychic #5</v>
      </c>
      <c r="H621" s="56" t="s">
        <v>1824</v>
      </c>
      <c r="I621" s="56" t="s">
        <v>1827</v>
      </c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</row>
    <row r="622">
      <c r="A622" s="56" t="s">
        <v>1829</v>
      </c>
      <c r="B622" s="56" t="s">
        <v>853</v>
      </c>
      <c r="C622" s="56" t="str">
        <f t="shared" si="1"/>
        <v>psychic spoon (Kadabra)</v>
      </c>
      <c r="D622" s="56">
        <v>120.0</v>
      </c>
      <c r="E622" s="56" t="s">
        <v>732</v>
      </c>
      <c r="F622" s="56">
        <v>5.0</v>
      </c>
      <c r="G622" s="56" t="str">
        <f t="shared" si="2"/>
        <v>Psychic #5</v>
      </c>
      <c r="H622" s="56" t="s">
        <v>1824</v>
      </c>
      <c r="I622" s="56" t="s">
        <v>1827</v>
      </c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</row>
    <row r="623">
      <c r="A623" s="52" t="s">
        <v>469</v>
      </c>
      <c r="B623" s="52" t="s">
        <v>469</v>
      </c>
      <c r="C623" s="52" t="str">
        <f t="shared" si="1"/>
        <v/>
      </c>
      <c r="D623" s="52"/>
      <c r="E623" s="52"/>
      <c r="F623" s="52"/>
      <c r="G623" s="52" t="str">
        <f t="shared" si="2"/>
        <v/>
      </c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</row>
    <row r="624">
      <c r="A624" s="56" t="s">
        <v>1830</v>
      </c>
      <c r="B624" s="56" t="s">
        <v>915</v>
      </c>
      <c r="C624" s="56" t="str">
        <f t="shared" si="1"/>
        <v>drowzee trunk (Drowzee)</v>
      </c>
      <c r="D624" s="56">
        <v>50.0</v>
      </c>
      <c r="E624" s="56" t="s">
        <v>732</v>
      </c>
      <c r="F624" s="56">
        <v>6.0</v>
      </c>
      <c r="G624" s="56" t="str">
        <f t="shared" si="2"/>
        <v>Psychic #6</v>
      </c>
      <c r="H624" s="56" t="s">
        <v>1831</v>
      </c>
      <c r="I624" s="56" t="s">
        <v>1832</v>
      </c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</row>
    <row r="625">
      <c r="A625" s="52" t="s">
        <v>469</v>
      </c>
      <c r="B625" s="52" t="s">
        <v>469</v>
      </c>
      <c r="C625" s="52" t="str">
        <f t="shared" si="1"/>
        <v/>
      </c>
      <c r="D625" s="52"/>
      <c r="E625" s="52"/>
      <c r="F625" s="52"/>
      <c r="G625" s="52" t="str">
        <f t="shared" si="2"/>
        <v/>
      </c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</row>
    <row r="626">
      <c r="A626" s="56" t="s">
        <v>670</v>
      </c>
      <c r="B626" s="56" t="s">
        <v>481</v>
      </c>
      <c r="C626" s="56" t="str">
        <f t="shared" si="1"/>
        <v>simple psychic orb (Verificar aba de drops)</v>
      </c>
      <c r="D626" s="56">
        <v>5.0</v>
      </c>
      <c r="E626" s="56" t="s">
        <v>732</v>
      </c>
      <c r="F626" s="56">
        <v>7.0</v>
      </c>
      <c r="G626" s="56" t="str">
        <f t="shared" si="2"/>
        <v>Psychic #7</v>
      </c>
      <c r="H626" s="56" t="s">
        <v>1833</v>
      </c>
      <c r="I626" s="56" t="s">
        <v>1834</v>
      </c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</row>
    <row r="627">
      <c r="A627" s="56" t="s">
        <v>1835</v>
      </c>
      <c r="B627" s="56" t="s">
        <v>916</v>
      </c>
      <c r="C627" s="56" t="str">
        <f t="shared" si="1"/>
        <v>orange trunk (Shiny Drowzee)</v>
      </c>
      <c r="D627" s="56">
        <v>3.0</v>
      </c>
      <c r="E627" s="56" t="s">
        <v>732</v>
      </c>
      <c r="F627" s="56">
        <v>7.0</v>
      </c>
      <c r="G627" s="56" t="str">
        <f t="shared" si="2"/>
        <v>Psychic #7</v>
      </c>
      <c r="H627" s="56" t="s">
        <v>1833</v>
      </c>
      <c r="I627" s="56" t="s">
        <v>1834</v>
      </c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</row>
    <row r="628">
      <c r="A628" s="52" t="s">
        <v>469</v>
      </c>
      <c r="B628" s="52" t="s">
        <v>469</v>
      </c>
      <c r="C628" s="52" t="str">
        <f t="shared" si="1"/>
        <v/>
      </c>
      <c r="D628" s="52"/>
      <c r="E628" s="52"/>
      <c r="F628" s="52"/>
      <c r="G628" s="52" t="str">
        <f t="shared" si="2"/>
        <v/>
      </c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</row>
    <row r="629">
      <c r="A629" s="56" t="s">
        <v>644</v>
      </c>
      <c r="B629" s="56" t="s">
        <v>481</v>
      </c>
      <c r="C629" s="56" t="str">
        <f t="shared" si="1"/>
        <v>arcane psychic orb (Verificar aba de drops)</v>
      </c>
      <c r="D629" s="56">
        <v>3.0</v>
      </c>
      <c r="E629" s="56" t="s">
        <v>732</v>
      </c>
      <c r="F629" s="56">
        <v>8.0</v>
      </c>
      <c r="G629" s="56" t="str">
        <f t="shared" si="2"/>
        <v>Psychic #8</v>
      </c>
      <c r="H629" s="56" t="s">
        <v>1833</v>
      </c>
      <c r="I629" s="56" t="s">
        <v>1836</v>
      </c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</row>
    <row r="630">
      <c r="A630" s="56" t="s">
        <v>1828</v>
      </c>
      <c r="B630" s="56" t="s">
        <v>854</v>
      </c>
      <c r="C630" s="56" t="str">
        <f t="shared" si="1"/>
        <v>enchanted spoon (Shiny Kadabra)</v>
      </c>
      <c r="D630" s="56">
        <v>3.0</v>
      </c>
      <c r="E630" s="56" t="s">
        <v>732</v>
      </c>
      <c r="F630" s="56">
        <v>8.0</v>
      </c>
      <c r="G630" s="56" t="str">
        <f t="shared" si="2"/>
        <v>Psychic #8</v>
      </c>
      <c r="H630" s="56" t="s">
        <v>1833</v>
      </c>
      <c r="I630" s="56" t="s">
        <v>1836</v>
      </c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</row>
    <row r="631">
      <c r="A631" s="56" t="s">
        <v>1837</v>
      </c>
      <c r="B631" s="56" t="s">
        <v>917</v>
      </c>
      <c r="C631" s="56" t="str">
        <f t="shared" si="1"/>
        <v>hypnosis pendant (Hypno)</v>
      </c>
      <c r="D631" s="56">
        <v>120.0</v>
      </c>
      <c r="E631" s="56" t="s">
        <v>732</v>
      </c>
      <c r="F631" s="56">
        <v>8.0</v>
      </c>
      <c r="G631" s="56" t="str">
        <f t="shared" si="2"/>
        <v>Psychic #8</v>
      </c>
      <c r="H631" s="56" t="s">
        <v>1833</v>
      </c>
      <c r="I631" s="56" t="s">
        <v>1836</v>
      </c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</row>
    <row r="632">
      <c r="A632" s="56" t="s">
        <v>453</v>
      </c>
      <c r="B632" s="56" t="s">
        <v>10</v>
      </c>
      <c r="C632" s="56" t="str">
        <f t="shared" si="1"/>
        <v>rock fist (Geodude)</v>
      </c>
      <c r="D632" s="56">
        <v>50.0</v>
      </c>
      <c r="E632" s="56" t="s">
        <v>736</v>
      </c>
      <c r="F632" s="56">
        <v>1.0</v>
      </c>
      <c r="G632" s="56" t="str">
        <f t="shared" si="2"/>
        <v>Rock #1</v>
      </c>
      <c r="H632" s="56" t="s">
        <v>1838</v>
      </c>
      <c r="I632" s="56" t="s">
        <v>1839</v>
      </c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</row>
    <row r="633">
      <c r="A633" s="52" t="s">
        <v>469</v>
      </c>
      <c r="B633" s="52" t="s">
        <v>469</v>
      </c>
      <c r="C633" s="52" t="str">
        <f t="shared" si="1"/>
        <v/>
      </c>
      <c r="D633" s="52"/>
      <c r="E633" s="52"/>
      <c r="F633" s="52"/>
      <c r="G633" s="52" t="str">
        <f t="shared" si="2"/>
        <v/>
      </c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</row>
    <row r="634">
      <c r="A634" s="56" t="s">
        <v>1840</v>
      </c>
      <c r="B634" s="56" t="s">
        <v>481</v>
      </c>
      <c r="C634" s="56" t="str">
        <f t="shared" si="1"/>
        <v>simple rock orb (Verificar aba de drops)</v>
      </c>
      <c r="D634" s="56">
        <v>5.0</v>
      </c>
      <c r="E634" s="56" t="s">
        <v>736</v>
      </c>
      <c r="F634" s="56">
        <v>2.0</v>
      </c>
      <c r="G634" s="56" t="str">
        <f t="shared" si="2"/>
        <v>Rock #2</v>
      </c>
      <c r="H634" s="56" t="s">
        <v>1841</v>
      </c>
      <c r="I634" s="56" t="s">
        <v>1842</v>
      </c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</row>
    <row r="635">
      <c r="A635" s="56" t="s">
        <v>1843</v>
      </c>
      <c r="B635" s="56" t="s">
        <v>875</v>
      </c>
      <c r="C635" s="56" t="str">
        <f t="shared" si="1"/>
        <v>purple fist (Shiny Geodude)</v>
      </c>
      <c r="D635" s="56">
        <v>3.0</v>
      </c>
      <c r="E635" s="56" t="s">
        <v>736</v>
      </c>
      <c r="F635" s="56">
        <v>2.0</v>
      </c>
      <c r="G635" s="56" t="str">
        <f t="shared" si="2"/>
        <v>Rock #2</v>
      </c>
      <c r="H635" s="56" t="s">
        <v>1841</v>
      </c>
      <c r="I635" s="56" t="s">
        <v>1842</v>
      </c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</row>
    <row r="636">
      <c r="A636" s="52" t="s">
        <v>469</v>
      </c>
      <c r="B636" s="52" t="s">
        <v>469</v>
      </c>
      <c r="C636" s="52" t="str">
        <f t="shared" si="1"/>
        <v/>
      </c>
      <c r="D636" s="52"/>
      <c r="E636" s="52"/>
      <c r="F636" s="52"/>
      <c r="G636" s="52" t="str">
        <f t="shared" si="2"/>
        <v/>
      </c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</row>
    <row r="637">
      <c r="A637" s="56" t="s">
        <v>1844</v>
      </c>
      <c r="B637" s="56" t="s">
        <v>481</v>
      </c>
      <c r="C637" s="56" t="str">
        <f t="shared" si="1"/>
        <v>arcane rock orb (Verificar aba de drops)</v>
      </c>
      <c r="D637" s="56">
        <v>3.0</v>
      </c>
      <c r="E637" s="56" t="s">
        <v>736</v>
      </c>
      <c r="F637" s="56">
        <v>3.0</v>
      </c>
      <c r="G637" s="56" t="str">
        <f t="shared" si="2"/>
        <v>Rock #3</v>
      </c>
      <c r="H637" s="56" t="s">
        <v>1841</v>
      </c>
      <c r="I637" s="56" t="s">
        <v>1845</v>
      </c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</row>
    <row r="638">
      <c r="A638" s="56" t="s">
        <v>1846</v>
      </c>
      <c r="B638" s="56" t="s">
        <v>876</v>
      </c>
      <c r="C638" s="56" t="str">
        <f t="shared" si="1"/>
        <v>purple stone forehead (Shiny Graveler)</v>
      </c>
      <c r="D638" s="56">
        <v>3.0</v>
      </c>
      <c r="E638" s="56" t="s">
        <v>736</v>
      </c>
      <c r="F638" s="56">
        <v>3.0</v>
      </c>
      <c r="G638" s="56" t="str">
        <f t="shared" si="2"/>
        <v>Rock #3</v>
      </c>
      <c r="H638" s="56" t="s">
        <v>1841</v>
      </c>
      <c r="I638" s="56" t="s">
        <v>1845</v>
      </c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</row>
    <row r="639">
      <c r="A639" s="56" t="s">
        <v>1847</v>
      </c>
      <c r="B639" s="56" t="s">
        <v>18</v>
      </c>
      <c r="C639" s="56" t="str">
        <f t="shared" si="1"/>
        <v>rock forehead (Graveler)</v>
      </c>
      <c r="D639" s="56">
        <v>120.0</v>
      </c>
      <c r="E639" s="56" t="s">
        <v>736</v>
      </c>
      <c r="F639" s="56">
        <v>3.0</v>
      </c>
      <c r="G639" s="56" t="str">
        <f t="shared" si="2"/>
        <v>Rock #3</v>
      </c>
      <c r="H639" s="56" t="s">
        <v>1841</v>
      </c>
      <c r="I639" s="56" t="s">
        <v>1845</v>
      </c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</row>
    <row r="640">
      <c r="A640" s="52" t="s">
        <v>469</v>
      </c>
      <c r="B640" s="52" t="s">
        <v>469</v>
      </c>
      <c r="C640" s="52" t="str">
        <f t="shared" si="1"/>
        <v/>
      </c>
      <c r="D640" s="52"/>
      <c r="E640" s="52"/>
      <c r="F640" s="52"/>
      <c r="G640" s="52" t="str">
        <f t="shared" si="2"/>
        <v/>
      </c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</row>
    <row r="641">
      <c r="A641" s="56" t="s">
        <v>1848</v>
      </c>
      <c r="B641" s="56" t="s">
        <v>481</v>
      </c>
      <c r="C641" s="56" t="str">
        <f t="shared" si="1"/>
        <v>mythic rock orb (Verificar aba de drops)</v>
      </c>
      <c r="D641" s="56">
        <v>2.0</v>
      </c>
      <c r="E641" s="56" t="s">
        <v>736</v>
      </c>
      <c r="F641" s="56">
        <v>4.0</v>
      </c>
      <c r="G641" s="56" t="str">
        <f t="shared" si="2"/>
        <v>Rock #4</v>
      </c>
      <c r="H641" s="56" t="s">
        <v>1849</v>
      </c>
      <c r="I641" s="56" t="s">
        <v>1850</v>
      </c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</row>
    <row r="642">
      <c r="A642" s="56" t="s">
        <v>1851</v>
      </c>
      <c r="B642" s="56" t="s">
        <v>481</v>
      </c>
      <c r="C642" s="56" t="str">
        <f t="shared" si="1"/>
        <v>rock essence (Verificar aba de drops)</v>
      </c>
      <c r="D642" s="56">
        <v>100.0</v>
      </c>
      <c r="E642" s="56" t="s">
        <v>736</v>
      </c>
      <c r="F642" s="56">
        <v>4.0</v>
      </c>
      <c r="G642" s="56" t="str">
        <f t="shared" si="2"/>
        <v>Rock #4</v>
      </c>
      <c r="H642" s="56" t="s">
        <v>1849</v>
      </c>
      <c r="I642" s="56" t="s">
        <v>1850</v>
      </c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</row>
    <row r="643">
      <c r="A643" s="56" t="s">
        <v>1852</v>
      </c>
      <c r="B643" s="56" t="s">
        <v>1423</v>
      </c>
      <c r="C643" s="56" t="str">
        <f t="shared" si="1"/>
        <v>rock nose (Nosepass)</v>
      </c>
      <c r="D643" s="56">
        <v>500.0</v>
      </c>
      <c r="E643" s="56" t="s">
        <v>736</v>
      </c>
      <c r="F643" s="56">
        <v>4.0</v>
      </c>
      <c r="G643" s="56" t="str">
        <f t="shared" si="2"/>
        <v>Rock #4</v>
      </c>
      <c r="H643" s="56" t="s">
        <v>1849</v>
      </c>
      <c r="I643" s="56" t="s">
        <v>1850</v>
      </c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</row>
    <row r="644">
      <c r="A644" s="52" t="s">
        <v>469</v>
      </c>
      <c r="B644" s="52" t="s">
        <v>469</v>
      </c>
      <c r="C644" s="52" t="str">
        <f t="shared" si="1"/>
        <v/>
      </c>
      <c r="D644" s="52"/>
      <c r="E644" s="52"/>
      <c r="F644" s="52"/>
      <c r="G644" s="52" t="str">
        <f t="shared" si="2"/>
        <v/>
      </c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</row>
    <row r="645">
      <c r="A645" s="56" t="s">
        <v>1848</v>
      </c>
      <c r="B645" s="56" t="s">
        <v>481</v>
      </c>
      <c r="C645" s="56" t="str">
        <f t="shared" si="1"/>
        <v>mythic rock orb (Verificar aba de drops)</v>
      </c>
      <c r="D645" s="56">
        <v>3.0</v>
      </c>
      <c r="E645" s="56" t="s">
        <v>736</v>
      </c>
      <c r="F645" s="56">
        <v>5.0</v>
      </c>
      <c r="G645" s="56" t="str">
        <f t="shared" si="2"/>
        <v>Rock #5</v>
      </c>
      <c r="H645" s="56" t="s">
        <v>1849</v>
      </c>
      <c r="I645" s="56" t="s">
        <v>1853</v>
      </c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</row>
    <row r="646">
      <c r="A646" s="56" t="s">
        <v>1854</v>
      </c>
      <c r="B646" s="56" t="s">
        <v>914</v>
      </c>
      <c r="C646" s="56" t="str">
        <f t="shared" si="1"/>
        <v>gold tail (Shiny Onix)</v>
      </c>
      <c r="D646" s="56">
        <v>1.0</v>
      </c>
      <c r="E646" s="56" t="s">
        <v>736</v>
      </c>
      <c r="F646" s="56">
        <v>5.0</v>
      </c>
      <c r="G646" s="56" t="str">
        <f t="shared" si="2"/>
        <v>Rock #5</v>
      </c>
      <c r="H646" s="56" t="s">
        <v>1849</v>
      </c>
      <c r="I646" s="56" t="s">
        <v>1853</v>
      </c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</row>
    <row r="647">
      <c r="A647" s="56" t="s">
        <v>1855</v>
      </c>
      <c r="B647" s="56" t="s">
        <v>399</v>
      </c>
      <c r="C647" s="56" t="str">
        <f t="shared" si="1"/>
        <v>rock plate (Pupitar)</v>
      </c>
      <c r="D647" s="56">
        <v>500.0</v>
      </c>
      <c r="E647" s="56" t="s">
        <v>736</v>
      </c>
      <c r="F647" s="56">
        <v>5.0</v>
      </c>
      <c r="G647" s="56" t="str">
        <f t="shared" si="2"/>
        <v>Rock #5</v>
      </c>
      <c r="H647" s="56" t="s">
        <v>1849</v>
      </c>
      <c r="I647" s="56" t="s">
        <v>1853</v>
      </c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</row>
    <row r="648">
      <c r="A648" s="52" t="s">
        <v>469</v>
      </c>
      <c r="B648" s="52" t="s">
        <v>469</v>
      </c>
      <c r="C648" s="52" t="str">
        <f t="shared" si="1"/>
        <v/>
      </c>
      <c r="D648" s="52"/>
      <c r="E648" s="52"/>
      <c r="F648" s="52"/>
      <c r="G648" s="52" t="str">
        <f t="shared" si="2"/>
        <v/>
      </c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</row>
    <row r="649">
      <c r="A649" s="56" t="s">
        <v>453</v>
      </c>
      <c r="B649" s="56" t="s">
        <v>10</v>
      </c>
      <c r="C649" s="56" t="str">
        <f t="shared" si="1"/>
        <v>rock fist (Geodude)</v>
      </c>
      <c r="D649" s="56">
        <v>50.0</v>
      </c>
      <c r="E649" s="56" t="s">
        <v>736</v>
      </c>
      <c r="F649" s="56">
        <v>6.0</v>
      </c>
      <c r="G649" s="56" t="str">
        <f t="shared" si="2"/>
        <v>Rock #6</v>
      </c>
      <c r="H649" s="56" t="s">
        <v>1849</v>
      </c>
      <c r="I649" s="56" t="s">
        <v>1856</v>
      </c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</row>
    <row r="650">
      <c r="A650" s="52" t="s">
        <v>469</v>
      </c>
      <c r="B650" s="52" t="s">
        <v>469</v>
      </c>
      <c r="C650" s="52" t="str">
        <f t="shared" si="1"/>
        <v/>
      </c>
      <c r="D650" s="52"/>
      <c r="E650" s="52"/>
      <c r="F650" s="52"/>
      <c r="G650" s="52" t="str">
        <f t="shared" si="2"/>
        <v/>
      </c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</row>
    <row r="651">
      <c r="A651" s="56" t="s">
        <v>1840</v>
      </c>
      <c r="B651" s="56" t="s">
        <v>481</v>
      </c>
      <c r="C651" s="56" t="str">
        <f t="shared" si="1"/>
        <v>simple rock orb (Verificar aba de drops)</v>
      </c>
      <c r="D651" s="56">
        <v>5.0</v>
      </c>
      <c r="E651" s="56" t="s">
        <v>736</v>
      </c>
      <c r="F651" s="56">
        <v>7.0</v>
      </c>
      <c r="G651" s="56" t="str">
        <f t="shared" si="2"/>
        <v>Rock #7</v>
      </c>
      <c r="H651" s="56" t="s">
        <v>1857</v>
      </c>
      <c r="I651" s="56" t="s">
        <v>1858</v>
      </c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</row>
    <row r="652">
      <c r="A652" s="56" t="s">
        <v>1843</v>
      </c>
      <c r="B652" s="56" t="s">
        <v>875</v>
      </c>
      <c r="C652" s="56" t="str">
        <f t="shared" si="1"/>
        <v>purple fist (Shiny Geodude)</v>
      </c>
      <c r="D652" s="56">
        <v>3.0</v>
      </c>
      <c r="E652" s="56" t="s">
        <v>736</v>
      </c>
      <c r="F652" s="56">
        <v>7.0</v>
      </c>
      <c r="G652" s="56" t="str">
        <f t="shared" si="2"/>
        <v>Rock #7</v>
      </c>
      <c r="H652" s="56" t="s">
        <v>1857</v>
      </c>
      <c r="I652" s="56" t="s">
        <v>1858</v>
      </c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</row>
    <row r="653">
      <c r="A653" s="52" t="s">
        <v>469</v>
      </c>
      <c r="B653" s="52" t="s">
        <v>469</v>
      </c>
      <c r="C653" s="52" t="str">
        <f t="shared" si="1"/>
        <v/>
      </c>
      <c r="D653" s="52"/>
      <c r="E653" s="52"/>
      <c r="F653" s="52"/>
      <c r="G653" s="52" t="str">
        <f t="shared" si="2"/>
        <v/>
      </c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</row>
    <row r="654">
      <c r="A654" s="56" t="s">
        <v>1844</v>
      </c>
      <c r="B654" s="56" t="s">
        <v>481</v>
      </c>
      <c r="C654" s="56" t="str">
        <f t="shared" si="1"/>
        <v>arcane rock orb (Verificar aba de drops)</v>
      </c>
      <c r="D654" s="56">
        <v>3.0</v>
      </c>
      <c r="E654" s="56" t="s">
        <v>736</v>
      </c>
      <c r="F654" s="56">
        <v>8.0</v>
      </c>
      <c r="G654" s="56" t="str">
        <f t="shared" si="2"/>
        <v>Rock #8</v>
      </c>
      <c r="H654" s="56" t="s">
        <v>1857</v>
      </c>
      <c r="I654" s="56" t="s">
        <v>1859</v>
      </c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</row>
    <row r="655">
      <c r="A655" s="56" t="s">
        <v>1846</v>
      </c>
      <c r="B655" s="56" t="s">
        <v>876</v>
      </c>
      <c r="C655" s="56" t="str">
        <f t="shared" si="1"/>
        <v>purple stone forehead (Shiny Graveler)</v>
      </c>
      <c r="D655" s="56">
        <v>3.0</v>
      </c>
      <c r="E655" s="56" t="s">
        <v>736</v>
      </c>
      <c r="F655" s="56">
        <v>8.0</v>
      </c>
      <c r="G655" s="56" t="str">
        <f t="shared" si="2"/>
        <v>Rock #8</v>
      </c>
      <c r="H655" s="56" t="s">
        <v>1857</v>
      </c>
      <c r="I655" s="56" t="s">
        <v>1859</v>
      </c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</row>
    <row r="656">
      <c r="A656" s="56" t="s">
        <v>1847</v>
      </c>
      <c r="B656" s="56" t="s">
        <v>18</v>
      </c>
      <c r="C656" s="56" t="str">
        <f t="shared" si="1"/>
        <v>rock forehead (Graveler)</v>
      </c>
      <c r="D656" s="56">
        <v>120.0</v>
      </c>
      <c r="E656" s="56" t="s">
        <v>736</v>
      </c>
      <c r="F656" s="56">
        <v>8.0</v>
      </c>
      <c r="G656" s="56" t="str">
        <f t="shared" si="2"/>
        <v>Rock #8</v>
      </c>
      <c r="H656" s="56" t="s">
        <v>1857</v>
      </c>
      <c r="I656" s="56" t="s">
        <v>1859</v>
      </c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</row>
    <row r="657">
      <c r="A657" s="56" t="s">
        <v>563</v>
      </c>
      <c r="B657" s="56" t="s">
        <v>564</v>
      </c>
      <c r="C657" s="56" t="str">
        <f t="shared" si="1"/>
        <v>electric screws (Magnemite)</v>
      </c>
      <c r="D657" s="56">
        <v>50.0</v>
      </c>
      <c r="E657" s="56" t="s">
        <v>714</v>
      </c>
      <c r="F657" s="56">
        <v>1.0</v>
      </c>
      <c r="G657" s="56" t="str">
        <f t="shared" si="2"/>
        <v>Steel #1</v>
      </c>
      <c r="H657" s="56" t="s">
        <v>1860</v>
      </c>
      <c r="I657" s="56" t="s">
        <v>1861</v>
      </c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</row>
    <row r="658">
      <c r="A658" s="52" t="s">
        <v>469</v>
      </c>
      <c r="B658" s="52" t="s">
        <v>469</v>
      </c>
      <c r="C658" s="52" t="str">
        <f t="shared" si="1"/>
        <v/>
      </c>
      <c r="D658" s="52"/>
      <c r="E658" s="52"/>
      <c r="F658" s="52"/>
      <c r="G658" s="52" t="str">
        <f t="shared" si="2"/>
        <v/>
      </c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</row>
    <row r="659">
      <c r="A659" s="56" t="s">
        <v>1862</v>
      </c>
      <c r="B659" s="56" t="s">
        <v>887</v>
      </c>
      <c r="C659" s="56" t="str">
        <f t="shared" si="1"/>
        <v>simple metal orb (Shiny Magnemite)</v>
      </c>
      <c r="D659" s="56">
        <v>5.0</v>
      </c>
      <c r="E659" s="56" t="s">
        <v>714</v>
      </c>
      <c r="F659" s="56">
        <v>2.0</v>
      </c>
      <c r="G659" s="56" t="str">
        <f t="shared" si="2"/>
        <v>Steel #2</v>
      </c>
      <c r="H659" s="56" t="s">
        <v>1863</v>
      </c>
      <c r="I659" s="56" t="s">
        <v>1864</v>
      </c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</row>
    <row r="660">
      <c r="A660" s="56" t="s">
        <v>1209</v>
      </c>
      <c r="B660" s="56" t="s">
        <v>887</v>
      </c>
      <c r="C660" s="56" t="str">
        <f t="shared" si="1"/>
        <v>blue screws (Shiny Magnemite)</v>
      </c>
      <c r="D660" s="56">
        <v>3.0</v>
      </c>
      <c r="E660" s="56" t="s">
        <v>714</v>
      </c>
      <c r="F660" s="56">
        <v>2.0</v>
      </c>
      <c r="G660" s="56" t="str">
        <f t="shared" si="2"/>
        <v>Steel #2</v>
      </c>
      <c r="H660" s="56" t="s">
        <v>1863</v>
      </c>
      <c r="I660" s="56" t="s">
        <v>1864</v>
      </c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</row>
    <row r="661">
      <c r="A661" s="52" t="s">
        <v>469</v>
      </c>
      <c r="B661" s="52" t="s">
        <v>469</v>
      </c>
      <c r="C661" s="52" t="str">
        <f t="shared" si="1"/>
        <v/>
      </c>
      <c r="D661" s="52"/>
      <c r="E661" s="52"/>
      <c r="F661" s="52"/>
      <c r="G661" s="52" t="str">
        <f t="shared" si="2"/>
        <v/>
      </c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</row>
    <row r="662">
      <c r="A662" s="56" t="s">
        <v>1865</v>
      </c>
      <c r="B662" s="56" t="s">
        <v>481</v>
      </c>
      <c r="C662" s="56" t="str">
        <f t="shared" si="1"/>
        <v>arcane metal orb (Verificar aba de drops)</v>
      </c>
      <c r="D662" s="56">
        <v>3.0</v>
      </c>
      <c r="E662" s="56" t="s">
        <v>714</v>
      </c>
      <c r="F662" s="56">
        <v>3.0</v>
      </c>
      <c r="G662" s="56" t="str">
        <f t="shared" si="2"/>
        <v>Steel #3</v>
      </c>
      <c r="H662" s="56" t="s">
        <v>1863</v>
      </c>
      <c r="I662" s="56" t="s">
        <v>1866</v>
      </c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</row>
    <row r="663">
      <c r="A663" s="56" t="s">
        <v>1209</v>
      </c>
      <c r="B663" s="56" t="s">
        <v>887</v>
      </c>
      <c r="C663" s="56" t="str">
        <f t="shared" si="1"/>
        <v>blue screws (Shiny Magnemite)</v>
      </c>
      <c r="D663" s="56">
        <v>10.0</v>
      </c>
      <c r="E663" s="56" t="s">
        <v>714</v>
      </c>
      <c r="F663" s="56">
        <v>3.0</v>
      </c>
      <c r="G663" s="56" t="str">
        <f t="shared" si="2"/>
        <v>Steel #3</v>
      </c>
      <c r="H663" s="56" t="s">
        <v>1863</v>
      </c>
      <c r="I663" s="56" t="s">
        <v>1866</v>
      </c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</row>
    <row r="664">
      <c r="A664" s="56" t="s">
        <v>1867</v>
      </c>
      <c r="B664" s="56" t="s">
        <v>1219</v>
      </c>
      <c r="C664" s="56" t="str">
        <f t="shared" si="1"/>
        <v>forretress shell (Forretress)</v>
      </c>
      <c r="D664" s="56">
        <v>120.0</v>
      </c>
      <c r="E664" s="56" t="s">
        <v>714</v>
      </c>
      <c r="F664" s="56">
        <v>3.0</v>
      </c>
      <c r="G664" s="56" t="str">
        <f t="shared" si="2"/>
        <v>Steel #3</v>
      </c>
      <c r="H664" s="56" t="s">
        <v>1863</v>
      </c>
      <c r="I664" s="56" t="s">
        <v>1866</v>
      </c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</row>
    <row r="665">
      <c r="A665" s="52" t="s">
        <v>469</v>
      </c>
      <c r="B665" s="52" t="s">
        <v>469</v>
      </c>
      <c r="C665" s="52" t="str">
        <f t="shared" si="1"/>
        <v/>
      </c>
      <c r="D665" s="52"/>
      <c r="E665" s="52"/>
      <c r="F665" s="52"/>
      <c r="G665" s="52" t="str">
        <f t="shared" si="2"/>
        <v/>
      </c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</row>
    <row r="666">
      <c r="A666" s="56" t="s">
        <v>1868</v>
      </c>
      <c r="B666" s="56" t="s">
        <v>481</v>
      </c>
      <c r="C666" s="56" t="str">
        <f t="shared" si="1"/>
        <v>mythic metal orb (Verificar aba de drops)</v>
      </c>
      <c r="D666" s="56">
        <v>2.0</v>
      </c>
      <c r="E666" s="56" t="s">
        <v>714</v>
      </c>
      <c r="F666" s="56">
        <v>4.0</v>
      </c>
      <c r="G666" s="56" t="str">
        <f t="shared" si="2"/>
        <v>Steel #4</v>
      </c>
      <c r="H666" s="56" t="s">
        <v>1869</v>
      </c>
      <c r="I666" s="56" t="s">
        <v>1870</v>
      </c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</row>
    <row r="667">
      <c r="A667" s="56" t="s">
        <v>1871</v>
      </c>
      <c r="B667" s="56" t="s">
        <v>481</v>
      </c>
      <c r="C667" s="56" t="str">
        <f t="shared" si="1"/>
        <v>steel essence (Verificar aba de drops)</v>
      </c>
      <c r="D667" s="56">
        <v>100.0</v>
      </c>
      <c r="E667" s="56" t="s">
        <v>714</v>
      </c>
      <c r="F667" s="56">
        <v>4.0</v>
      </c>
      <c r="G667" s="56" t="str">
        <f t="shared" si="2"/>
        <v>Steel #4</v>
      </c>
      <c r="H667" s="56" t="s">
        <v>1869</v>
      </c>
      <c r="I667" s="56" t="s">
        <v>1870</v>
      </c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</row>
    <row r="668">
      <c r="A668" s="56" t="s">
        <v>1872</v>
      </c>
      <c r="B668" s="56" t="s">
        <v>1433</v>
      </c>
      <c r="C668" s="56" t="str">
        <f t="shared" si="1"/>
        <v>aron helmet (Aron)</v>
      </c>
      <c r="D668" s="56">
        <v>500.0</v>
      </c>
      <c r="E668" s="56" t="s">
        <v>714</v>
      </c>
      <c r="F668" s="56">
        <v>4.0</v>
      </c>
      <c r="G668" s="56" t="str">
        <f t="shared" si="2"/>
        <v>Steel #4</v>
      </c>
      <c r="H668" s="56" t="s">
        <v>1869</v>
      </c>
      <c r="I668" s="56" t="s">
        <v>1870</v>
      </c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</row>
    <row r="669">
      <c r="A669" s="52" t="s">
        <v>469</v>
      </c>
      <c r="B669" s="52" t="s">
        <v>469</v>
      </c>
      <c r="C669" s="52" t="str">
        <f t="shared" si="1"/>
        <v/>
      </c>
      <c r="D669" s="52"/>
      <c r="E669" s="52"/>
      <c r="F669" s="52"/>
      <c r="G669" s="52" t="str">
        <f t="shared" si="2"/>
        <v/>
      </c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</row>
    <row r="670">
      <c r="A670" s="56" t="s">
        <v>1868</v>
      </c>
      <c r="B670" s="56" t="s">
        <v>481</v>
      </c>
      <c r="C670" s="56" t="str">
        <f t="shared" si="1"/>
        <v>mythic metal orb (Verificar aba de drops)</v>
      </c>
      <c r="D670" s="56">
        <v>3.0</v>
      </c>
      <c r="E670" s="56" t="s">
        <v>714</v>
      </c>
      <c r="F670" s="56">
        <v>5.0</v>
      </c>
      <c r="G670" s="56" t="str">
        <f t="shared" si="2"/>
        <v>Steel #5</v>
      </c>
      <c r="H670" s="56" t="s">
        <v>1869</v>
      </c>
      <c r="I670" s="56" t="s">
        <v>1873</v>
      </c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</row>
    <row r="671">
      <c r="A671" s="56" t="s">
        <v>1874</v>
      </c>
      <c r="B671" s="56" t="s">
        <v>888</v>
      </c>
      <c r="C671" s="56" t="str">
        <f t="shared" si="1"/>
        <v>strong magnet (Shiny Magneton)</v>
      </c>
      <c r="D671" s="56">
        <v>1.0</v>
      </c>
      <c r="E671" s="56" t="s">
        <v>714</v>
      </c>
      <c r="F671" s="56">
        <v>5.0</v>
      </c>
      <c r="G671" s="56" t="str">
        <f t="shared" si="2"/>
        <v>Steel #5</v>
      </c>
      <c r="H671" s="56" t="s">
        <v>1869</v>
      </c>
      <c r="I671" s="56" t="s">
        <v>1873</v>
      </c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</row>
    <row r="672">
      <c r="A672" s="56" t="s">
        <v>1875</v>
      </c>
      <c r="B672" s="56" t="s">
        <v>401</v>
      </c>
      <c r="C672" s="56" t="str">
        <f t="shared" si="1"/>
        <v>steel wing (Skarmory)</v>
      </c>
      <c r="D672" s="56">
        <v>500.0</v>
      </c>
      <c r="E672" s="56" t="s">
        <v>714</v>
      </c>
      <c r="F672" s="56">
        <v>5.0</v>
      </c>
      <c r="G672" s="56" t="str">
        <f t="shared" si="2"/>
        <v>Steel #5</v>
      </c>
      <c r="H672" s="56" t="s">
        <v>1869</v>
      </c>
      <c r="I672" s="56" t="s">
        <v>1873</v>
      </c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</row>
    <row r="673">
      <c r="A673" s="52" t="s">
        <v>469</v>
      </c>
      <c r="B673" s="52" t="s">
        <v>469</v>
      </c>
      <c r="C673" s="52" t="str">
        <f t="shared" si="1"/>
        <v/>
      </c>
      <c r="D673" s="52"/>
      <c r="E673" s="52"/>
      <c r="F673" s="52"/>
      <c r="G673" s="52" t="str">
        <f t="shared" si="2"/>
        <v/>
      </c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</row>
    <row r="674">
      <c r="A674" s="56" t="s">
        <v>563</v>
      </c>
      <c r="B674" s="56" t="s">
        <v>564</v>
      </c>
      <c r="C674" s="56" t="str">
        <f t="shared" si="1"/>
        <v>electric screws (Magnemite)</v>
      </c>
      <c r="D674" s="56">
        <v>50.0</v>
      </c>
      <c r="E674" s="56" t="s">
        <v>714</v>
      </c>
      <c r="F674" s="56">
        <v>6.0</v>
      </c>
      <c r="G674" s="56" t="str">
        <f t="shared" si="2"/>
        <v>Steel #6</v>
      </c>
      <c r="H674" s="56" t="s">
        <v>1869</v>
      </c>
      <c r="I674" s="56" t="s">
        <v>1876</v>
      </c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</row>
    <row r="675">
      <c r="A675" s="52" t="s">
        <v>469</v>
      </c>
      <c r="B675" s="52" t="s">
        <v>469</v>
      </c>
      <c r="C675" s="52" t="str">
        <f t="shared" si="1"/>
        <v/>
      </c>
      <c r="D675" s="52"/>
      <c r="E675" s="52"/>
      <c r="F675" s="52"/>
      <c r="G675" s="52" t="str">
        <f t="shared" si="2"/>
        <v/>
      </c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</row>
    <row r="676">
      <c r="A676" s="56" t="s">
        <v>1862</v>
      </c>
      <c r="B676" s="56" t="s">
        <v>887</v>
      </c>
      <c r="C676" s="56" t="str">
        <f t="shared" si="1"/>
        <v>simple metal orb (Shiny Magnemite)</v>
      </c>
      <c r="D676" s="56">
        <v>5.0</v>
      </c>
      <c r="E676" s="56" t="s">
        <v>714</v>
      </c>
      <c r="F676" s="56">
        <v>7.0</v>
      </c>
      <c r="G676" s="56" t="str">
        <f t="shared" si="2"/>
        <v>Steel #7</v>
      </c>
      <c r="H676" s="56" t="s">
        <v>1877</v>
      </c>
      <c r="I676" s="56" t="s">
        <v>1878</v>
      </c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</row>
    <row r="677">
      <c r="A677" s="56" t="s">
        <v>1209</v>
      </c>
      <c r="B677" s="56" t="s">
        <v>887</v>
      </c>
      <c r="C677" s="56" t="str">
        <f t="shared" si="1"/>
        <v>blue screws (Shiny Magnemite)</v>
      </c>
      <c r="D677" s="56">
        <v>3.0</v>
      </c>
      <c r="E677" s="56" t="s">
        <v>714</v>
      </c>
      <c r="F677" s="56">
        <v>7.0</v>
      </c>
      <c r="G677" s="56" t="str">
        <f t="shared" si="2"/>
        <v>Steel #7</v>
      </c>
      <c r="H677" s="56" t="s">
        <v>1877</v>
      </c>
      <c r="I677" s="56" t="s">
        <v>1878</v>
      </c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</row>
    <row r="678">
      <c r="A678" s="52" t="s">
        <v>469</v>
      </c>
      <c r="B678" s="52" t="s">
        <v>469</v>
      </c>
      <c r="C678" s="52" t="str">
        <f t="shared" si="1"/>
        <v/>
      </c>
      <c r="D678" s="52"/>
      <c r="E678" s="52"/>
      <c r="F678" s="52"/>
      <c r="G678" s="52" t="str">
        <f t="shared" si="2"/>
        <v/>
      </c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</row>
    <row r="679">
      <c r="A679" s="56" t="s">
        <v>1865</v>
      </c>
      <c r="B679" s="56" t="s">
        <v>481</v>
      </c>
      <c r="C679" s="56" t="str">
        <f t="shared" si="1"/>
        <v>arcane metal orb (Verificar aba de drops)</v>
      </c>
      <c r="D679" s="56">
        <v>3.0</v>
      </c>
      <c r="E679" s="56" t="s">
        <v>714</v>
      </c>
      <c r="F679" s="56">
        <v>8.0</v>
      </c>
      <c r="G679" s="56" t="str">
        <f t="shared" si="2"/>
        <v>Steel #8</v>
      </c>
      <c r="H679" s="56" t="s">
        <v>1877</v>
      </c>
      <c r="I679" s="56" t="s">
        <v>1879</v>
      </c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</row>
    <row r="680">
      <c r="A680" s="56" t="s">
        <v>1209</v>
      </c>
      <c r="B680" s="56" t="s">
        <v>887</v>
      </c>
      <c r="C680" s="56" t="str">
        <f t="shared" si="1"/>
        <v>blue screws (Shiny Magnemite)</v>
      </c>
      <c r="D680" s="56">
        <v>3.0</v>
      </c>
      <c r="E680" s="56" t="s">
        <v>714</v>
      </c>
      <c r="F680" s="56">
        <v>8.0</v>
      </c>
      <c r="G680" s="56" t="str">
        <f t="shared" si="2"/>
        <v>Steel #8</v>
      </c>
      <c r="H680" s="56" t="s">
        <v>1877</v>
      </c>
      <c r="I680" s="56" t="s">
        <v>1879</v>
      </c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</row>
    <row r="681">
      <c r="A681" s="56" t="s">
        <v>1880</v>
      </c>
      <c r="B681" s="56" t="s">
        <v>89</v>
      </c>
      <c r="C681" s="56" t="str">
        <f t="shared" si="1"/>
        <v>magnet (Magneton)</v>
      </c>
      <c r="D681" s="56">
        <v>120.0</v>
      </c>
      <c r="E681" s="56" t="s">
        <v>714</v>
      </c>
      <c r="F681" s="56">
        <v>8.0</v>
      </c>
      <c r="G681" s="56" t="str">
        <f t="shared" si="2"/>
        <v>Steel #8</v>
      </c>
      <c r="H681" s="56" t="s">
        <v>1877</v>
      </c>
      <c r="I681" s="56" t="s">
        <v>1879</v>
      </c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</row>
    <row r="683">
      <c r="A683" s="56" t="s">
        <v>1881</v>
      </c>
      <c r="B683" s="56" t="s">
        <v>842</v>
      </c>
      <c r="C683" s="56" t="str">
        <f t="shared" ref="C683:C698" si="3">IF(A683&lt;&gt;"",A683&amp;" ("&amp;B683&amp;")", "")</f>
        <v>frog tail (Poliwag)</v>
      </c>
      <c r="D683" s="56">
        <v>50.0</v>
      </c>
      <c r="E683" s="56" t="s">
        <v>712</v>
      </c>
      <c r="F683" s="56">
        <v>1.0</v>
      </c>
      <c r="G683" s="56" t="str">
        <f t="shared" ref="G683:G708" si="4">IF(E683&lt;&gt;"", E683 &amp; " #" &amp; F683, "")</f>
        <v>Water #1</v>
      </c>
      <c r="H683" s="56" t="s">
        <v>1882</v>
      </c>
      <c r="I683" s="56" t="s">
        <v>1883</v>
      </c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</row>
    <row r="684">
      <c r="A684" s="52" t="s">
        <v>469</v>
      </c>
      <c r="B684" s="52" t="s">
        <v>469</v>
      </c>
      <c r="C684" s="52" t="str">
        <f t="shared" si="3"/>
        <v/>
      </c>
      <c r="D684" s="52"/>
      <c r="E684" s="52"/>
      <c r="F684" s="52"/>
      <c r="G684" s="52" t="str">
        <f t="shared" si="4"/>
        <v/>
      </c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</row>
    <row r="685">
      <c r="A685" s="56" t="s">
        <v>627</v>
      </c>
      <c r="B685" s="56" t="s">
        <v>481</v>
      </c>
      <c r="C685" s="56" t="str">
        <f t="shared" si="3"/>
        <v>simple water orb (Verificar aba de drops)</v>
      </c>
      <c r="D685" s="56">
        <v>5.0</v>
      </c>
      <c r="E685" s="56" t="s">
        <v>712</v>
      </c>
      <c r="F685" s="56">
        <v>2.0</v>
      </c>
      <c r="G685" s="56" t="str">
        <f t="shared" si="4"/>
        <v>Water #2</v>
      </c>
      <c r="H685" s="56" t="s">
        <v>1884</v>
      </c>
      <c r="I685" s="56" t="s">
        <v>1885</v>
      </c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</row>
    <row r="686">
      <c r="A686" s="56" t="s">
        <v>1886</v>
      </c>
      <c r="B686" s="56" t="s">
        <v>1004</v>
      </c>
      <c r="C686" s="56" t="str">
        <f t="shared" si="3"/>
        <v>white tail (Shiny Horsea)</v>
      </c>
      <c r="D686" s="56">
        <v>3.0</v>
      </c>
      <c r="E686" s="56" t="s">
        <v>712</v>
      </c>
      <c r="F686" s="56">
        <v>2.0</v>
      </c>
      <c r="G686" s="56" t="str">
        <f t="shared" si="4"/>
        <v>Water #2</v>
      </c>
      <c r="H686" s="56" t="s">
        <v>1884</v>
      </c>
      <c r="I686" s="56" t="s">
        <v>1885</v>
      </c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</row>
    <row r="687">
      <c r="A687" s="52" t="s">
        <v>469</v>
      </c>
      <c r="B687" s="52" t="s">
        <v>469</v>
      </c>
      <c r="C687" s="52" t="str">
        <f t="shared" si="3"/>
        <v/>
      </c>
      <c r="D687" s="52"/>
      <c r="E687" s="52"/>
      <c r="F687" s="52"/>
      <c r="G687" s="52" t="str">
        <f t="shared" si="4"/>
        <v/>
      </c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</row>
    <row r="688">
      <c r="A688" s="56" t="s">
        <v>620</v>
      </c>
      <c r="B688" s="56" t="s">
        <v>481</v>
      </c>
      <c r="C688" s="56" t="str">
        <f t="shared" si="3"/>
        <v>arcane water orb (Verificar aba de drops)</v>
      </c>
      <c r="D688" s="56">
        <v>3.0</v>
      </c>
      <c r="E688" s="56" t="s">
        <v>712</v>
      </c>
      <c r="F688" s="56">
        <v>3.0</v>
      </c>
      <c r="G688" s="56" t="str">
        <f t="shared" si="4"/>
        <v>Water #3</v>
      </c>
      <c r="H688" s="56" t="s">
        <v>1884</v>
      </c>
      <c r="I688" s="56" t="s">
        <v>1887</v>
      </c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</row>
    <row r="689">
      <c r="A689" s="56" t="s">
        <v>1888</v>
      </c>
      <c r="B689" s="56" t="s">
        <v>740</v>
      </c>
      <c r="C689" s="56" t="str">
        <f t="shared" si="3"/>
        <v>cyan ear (Shiny Wartortle)</v>
      </c>
      <c r="D689" s="56">
        <v>3.0</v>
      </c>
      <c r="E689" s="56" t="s">
        <v>712</v>
      </c>
      <c r="F689" s="56">
        <v>3.0</v>
      </c>
      <c r="G689" s="56" t="str">
        <f t="shared" si="4"/>
        <v>Water #3</v>
      </c>
      <c r="H689" s="57" t="s">
        <v>1889</v>
      </c>
      <c r="I689" s="56" t="s">
        <v>1887</v>
      </c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</row>
    <row r="690">
      <c r="A690" s="56" t="s">
        <v>1890</v>
      </c>
      <c r="B690" s="56" t="s">
        <v>738</v>
      </c>
      <c r="C690" s="56" t="str">
        <f t="shared" si="3"/>
        <v>wartortle ear (Wartortle)</v>
      </c>
      <c r="D690" s="56">
        <v>120.0</v>
      </c>
      <c r="E690" s="56" t="s">
        <v>712</v>
      </c>
      <c r="F690" s="56">
        <v>3.0</v>
      </c>
      <c r="G690" s="56" t="str">
        <f t="shared" si="4"/>
        <v>Water #3</v>
      </c>
      <c r="H690" s="56" t="s">
        <v>1884</v>
      </c>
      <c r="I690" s="56" t="s">
        <v>1887</v>
      </c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</row>
    <row r="691">
      <c r="A691" s="52" t="s">
        <v>469</v>
      </c>
      <c r="B691" s="52" t="s">
        <v>469</v>
      </c>
      <c r="C691" s="52" t="str">
        <f t="shared" si="3"/>
        <v/>
      </c>
      <c r="D691" s="52"/>
      <c r="E691" s="52"/>
      <c r="F691" s="52"/>
      <c r="G691" s="52" t="str">
        <f t="shared" si="4"/>
        <v/>
      </c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</row>
    <row r="692">
      <c r="A692" s="56" t="s">
        <v>610</v>
      </c>
      <c r="B692" s="56" t="s">
        <v>481</v>
      </c>
      <c r="C692" s="56" t="str">
        <f t="shared" si="3"/>
        <v>mythic water orb (Verificar aba de drops)</v>
      </c>
      <c r="D692" s="56">
        <v>2.0</v>
      </c>
      <c r="E692" s="56" t="s">
        <v>712</v>
      </c>
      <c r="F692" s="56">
        <v>4.0</v>
      </c>
      <c r="G692" s="56" t="str">
        <f t="shared" si="4"/>
        <v>Water #4</v>
      </c>
      <c r="H692" s="56" t="s">
        <v>1891</v>
      </c>
      <c r="I692" s="56" t="s">
        <v>1892</v>
      </c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</row>
    <row r="693">
      <c r="A693" s="56" t="s">
        <v>1893</v>
      </c>
      <c r="B693" s="56" t="s">
        <v>481</v>
      </c>
      <c r="C693" s="56" t="str">
        <f t="shared" si="3"/>
        <v>water essence (Verificar aba de drops)</v>
      </c>
      <c r="D693" s="56">
        <v>100.0</v>
      </c>
      <c r="E693" s="56" t="s">
        <v>712</v>
      </c>
      <c r="F693" s="56">
        <v>4.0</v>
      </c>
      <c r="G693" s="56" t="str">
        <f t="shared" si="4"/>
        <v>Water #4</v>
      </c>
      <c r="H693" s="56" t="s">
        <v>1891</v>
      </c>
      <c r="I693" s="56" t="s">
        <v>1892</v>
      </c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</row>
    <row r="694">
      <c r="A694" s="56" t="s">
        <v>1894</v>
      </c>
      <c r="B694" s="57" t="s">
        <v>1895</v>
      </c>
      <c r="C694" s="56" t="str">
        <f t="shared" si="3"/>
        <v>mud tail (Shiny Quagsire
Mudkip)</v>
      </c>
      <c r="D694" s="56">
        <v>500.0</v>
      </c>
      <c r="E694" s="56" t="s">
        <v>712</v>
      </c>
      <c r="F694" s="56">
        <v>4.0</v>
      </c>
      <c r="G694" s="56" t="str">
        <f t="shared" si="4"/>
        <v>Water #4</v>
      </c>
      <c r="H694" s="56" t="s">
        <v>1891</v>
      </c>
      <c r="I694" s="56" t="s">
        <v>1892</v>
      </c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</row>
    <row r="695">
      <c r="A695" s="52" t="s">
        <v>469</v>
      </c>
      <c r="B695" s="52" t="s">
        <v>469</v>
      </c>
      <c r="C695" s="52" t="str">
        <f t="shared" si="3"/>
        <v/>
      </c>
      <c r="D695" s="52"/>
      <c r="E695" s="52"/>
      <c r="F695" s="52"/>
      <c r="G695" s="52" t="str">
        <f t="shared" si="4"/>
        <v/>
      </c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</row>
    <row r="696">
      <c r="A696" s="56" t="s">
        <v>610</v>
      </c>
      <c r="B696" s="56" t="s">
        <v>481</v>
      </c>
      <c r="C696" s="56" t="str">
        <f t="shared" si="3"/>
        <v>mythic water orb (Verificar aba de drops)</v>
      </c>
      <c r="D696" s="56">
        <v>3.0</v>
      </c>
      <c r="E696" s="56" t="s">
        <v>712</v>
      </c>
      <c r="F696" s="56">
        <v>5.0</v>
      </c>
      <c r="G696" s="56" t="str">
        <f t="shared" si="4"/>
        <v>Water #5</v>
      </c>
      <c r="H696" s="56" t="s">
        <v>1891</v>
      </c>
      <c r="I696" s="56" t="s">
        <v>1896</v>
      </c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</row>
    <row r="697">
      <c r="A697" s="56" t="s">
        <v>1897</v>
      </c>
      <c r="B697" s="56" t="s">
        <v>1020</v>
      </c>
      <c r="C697" s="56" t="str">
        <f t="shared" si="3"/>
        <v>malfunctioning core (Shiny Starmie)</v>
      </c>
      <c r="D697" s="56">
        <v>1.0</v>
      </c>
      <c r="E697" s="56" t="s">
        <v>712</v>
      </c>
      <c r="F697" s="56">
        <v>5.0</v>
      </c>
      <c r="G697" s="56" t="str">
        <f t="shared" si="4"/>
        <v>Water #5</v>
      </c>
      <c r="H697" s="56" t="s">
        <v>1891</v>
      </c>
      <c r="I697" s="56" t="s">
        <v>1896</v>
      </c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</row>
    <row r="698">
      <c r="A698" s="56" t="s">
        <v>1898</v>
      </c>
      <c r="B698" s="56" t="s">
        <v>1017</v>
      </c>
      <c r="C698" s="56" t="str">
        <f t="shared" si="3"/>
        <v>star jewel (Starmie)</v>
      </c>
      <c r="D698" s="56">
        <v>500.0</v>
      </c>
      <c r="E698" s="56" t="s">
        <v>712</v>
      </c>
      <c r="F698" s="56">
        <v>5.0</v>
      </c>
      <c r="G698" s="56" t="str">
        <f t="shared" si="4"/>
        <v>Water #5</v>
      </c>
      <c r="H698" s="56" t="s">
        <v>1891</v>
      </c>
      <c r="I698" s="56" t="s">
        <v>1896</v>
      </c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</row>
    <row r="699">
      <c r="A699" s="52" t="s">
        <v>469</v>
      </c>
      <c r="B699" s="52" t="s">
        <v>469</v>
      </c>
      <c r="C699" s="52"/>
      <c r="D699" s="52"/>
      <c r="E699" s="52"/>
      <c r="F699" s="52"/>
      <c r="G699" s="52" t="str">
        <f t="shared" si="4"/>
        <v/>
      </c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</row>
    <row r="700">
      <c r="A700" s="56" t="s">
        <v>1899</v>
      </c>
      <c r="B700" s="56" t="s">
        <v>1003</v>
      </c>
      <c r="C700" s="56" t="str">
        <f t="shared" ref="C700:C708" si="5">IF(A700&lt;&gt;"",A700&amp;" ("&amp;B700&amp;")", "")</f>
        <v>horsea tail (Horsea)</v>
      </c>
      <c r="D700" s="56">
        <v>25.0</v>
      </c>
      <c r="E700" s="56" t="s">
        <v>712</v>
      </c>
      <c r="F700" s="56">
        <v>6.0</v>
      </c>
      <c r="G700" s="56" t="str">
        <f t="shared" si="4"/>
        <v>Water #6</v>
      </c>
      <c r="H700" s="56" t="s">
        <v>1891</v>
      </c>
      <c r="I700" s="56" t="s">
        <v>1900</v>
      </c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</row>
    <row r="701">
      <c r="A701" s="57" t="s">
        <v>1901</v>
      </c>
      <c r="B701" s="57" t="s">
        <v>1262</v>
      </c>
      <c r="C701" s="56" t="str">
        <f t="shared" si="5"/>
        <v>small blue fin (Shiny Remoraid)</v>
      </c>
      <c r="D701" s="56">
        <v>25.0</v>
      </c>
      <c r="E701" s="56" t="s">
        <v>712</v>
      </c>
      <c r="F701" s="56">
        <v>6.0</v>
      </c>
      <c r="G701" s="56" t="str">
        <f t="shared" si="4"/>
        <v>Water #6</v>
      </c>
      <c r="H701" s="56" t="s">
        <v>1891</v>
      </c>
      <c r="I701" s="56" t="s">
        <v>1900</v>
      </c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</row>
    <row r="702">
      <c r="A702" s="52" t="s">
        <v>469</v>
      </c>
      <c r="B702" s="52" t="s">
        <v>469</v>
      </c>
      <c r="C702" s="52" t="str">
        <f t="shared" si="5"/>
        <v/>
      </c>
      <c r="D702" s="52"/>
      <c r="E702" s="52"/>
      <c r="F702" s="52"/>
      <c r="G702" s="52" t="str">
        <f t="shared" si="4"/>
        <v/>
      </c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</row>
    <row r="703">
      <c r="A703" s="56" t="s">
        <v>627</v>
      </c>
      <c r="B703" s="56" t="s">
        <v>481</v>
      </c>
      <c r="C703" s="56" t="str">
        <f t="shared" si="5"/>
        <v>simple water orb (Verificar aba de drops)</v>
      </c>
      <c r="D703" s="56">
        <v>5.0</v>
      </c>
      <c r="E703" s="56" t="s">
        <v>712</v>
      </c>
      <c r="F703" s="56">
        <v>7.0</v>
      </c>
      <c r="G703" s="56" t="str">
        <f t="shared" si="4"/>
        <v>Water #7</v>
      </c>
      <c r="H703" s="56" t="s">
        <v>1902</v>
      </c>
      <c r="I703" s="56" t="s">
        <v>1903</v>
      </c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</row>
    <row r="704">
      <c r="A704" s="56" t="s">
        <v>1904</v>
      </c>
      <c r="B704" s="56" t="s">
        <v>843</v>
      </c>
      <c r="C704" s="56" t="str">
        <f t="shared" si="5"/>
        <v>gray frog tail (Shiny Poliwag)</v>
      </c>
      <c r="D704" s="56">
        <v>3.0</v>
      </c>
      <c r="E704" s="56" t="s">
        <v>712</v>
      </c>
      <c r="F704" s="56">
        <v>7.0</v>
      </c>
      <c r="G704" s="56" t="str">
        <f t="shared" si="4"/>
        <v>Water #7</v>
      </c>
      <c r="H704" s="56" t="s">
        <v>1902</v>
      </c>
      <c r="I704" s="56" t="s">
        <v>1903</v>
      </c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</row>
    <row r="705">
      <c r="A705" s="52" t="s">
        <v>469</v>
      </c>
      <c r="B705" s="52" t="s">
        <v>469</v>
      </c>
      <c r="C705" s="52" t="str">
        <f t="shared" si="5"/>
        <v/>
      </c>
      <c r="D705" s="52"/>
      <c r="E705" s="52"/>
      <c r="F705" s="52"/>
      <c r="G705" s="52" t="str">
        <f t="shared" si="4"/>
        <v/>
      </c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</row>
    <row r="706">
      <c r="A706" s="56" t="s">
        <v>620</v>
      </c>
      <c r="B706" s="56" t="s">
        <v>481</v>
      </c>
      <c r="C706" s="56" t="str">
        <f t="shared" si="5"/>
        <v>arcane water orb (Verificar aba de drops)</v>
      </c>
      <c r="D706" s="56">
        <v>3.0</v>
      </c>
      <c r="E706" s="56" t="s">
        <v>712</v>
      </c>
      <c r="F706" s="56">
        <v>8.0</v>
      </c>
      <c r="G706" s="56" t="str">
        <f t="shared" si="4"/>
        <v>Water #8</v>
      </c>
      <c r="H706" s="56" t="s">
        <v>1902</v>
      </c>
      <c r="I706" s="56" t="s">
        <v>1905</v>
      </c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</row>
    <row r="707">
      <c r="A707" s="56" t="s">
        <v>1906</v>
      </c>
      <c r="B707" s="56" t="s">
        <v>1106</v>
      </c>
      <c r="C707" s="56" t="str">
        <f t="shared" si="5"/>
        <v>blue mohawk (Shiny Croconaw)</v>
      </c>
      <c r="D707" s="56">
        <v>3.0</v>
      </c>
      <c r="E707" s="56" t="s">
        <v>712</v>
      </c>
      <c r="F707" s="56">
        <v>8.0</v>
      </c>
      <c r="G707" s="56" t="str">
        <f t="shared" si="4"/>
        <v>Water #8</v>
      </c>
      <c r="H707" s="56" t="s">
        <v>1902</v>
      </c>
      <c r="I707" s="56" t="s">
        <v>1905</v>
      </c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</row>
    <row r="708">
      <c r="A708" s="56" t="s">
        <v>1907</v>
      </c>
      <c r="B708" s="56" t="s">
        <v>1105</v>
      </c>
      <c r="C708" s="56" t="str">
        <f t="shared" si="5"/>
        <v>crocodile hair (Croconaw)</v>
      </c>
      <c r="D708" s="56">
        <v>120.0</v>
      </c>
      <c r="E708" s="56" t="s">
        <v>712</v>
      </c>
      <c r="F708" s="56">
        <v>8.0</v>
      </c>
      <c r="G708" s="56" t="str">
        <f t="shared" si="4"/>
        <v>Water #8</v>
      </c>
      <c r="H708" s="56" t="s">
        <v>1902</v>
      </c>
      <c r="I708" s="56" t="s">
        <v>1905</v>
      </c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</row>
    <row r="100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</row>
  </sheetData>
  <autoFilter ref="$A$1:$I$10">
    <filterColumn colId="3">
      <filters>
        <filter val="25"/>
      </filters>
    </filterColumn>
    <filterColumn colId="6">
      <filters>
        <filter val="Character #2"/>
      </filters>
    </filterColumn>
    <sortState ref="A1:I10">
      <sortCondition descending="1" ref="A1:A10"/>
    </sortState>
  </autoFilter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8.5"/>
    <col customWidth="1" min="3" max="3" width="5.0"/>
    <col customWidth="1" min="4" max="4" width="22.13"/>
    <col customWidth="1" min="5" max="5" width="6.25"/>
  </cols>
  <sheetData>
    <row r="1">
      <c r="A1" s="65" t="s">
        <v>668</v>
      </c>
      <c r="B1" s="66">
        <v>0.0</v>
      </c>
      <c r="C1" s="67"/>
      <c r="D1" s="68" t="s">
        <v>669</v>
      </c>
      <c r="E1" s="65">
        <f t="array" ref="E1">IF(
    INDIRECT("Star!B1")=0,
    SUM(MAP(SEQUENCE(1,INDIRECT("Star!B2")-0,0,1),LAMBDA(current_star_level,(INDEX('Star Level'!B3:K8,MATCH(INDIRECT("B3"),'Star Level'!A3:A8,0),(current_star_level*2)+1))*(2^(INDIRECT("Star!B2")-(current_star_level+1)))))),
    (2^(INDIRECT("Star!B2")-INDIRECT("Star!B1"))-1) * SUM(MAP(SEQUENCE(1,INDIRECT("Star!B1")-0,0,1),LAMBDA(current_star_level,(INDEX('Star Level'!B3:K8,MATCH(INDIRECT("B3"),'Star Level'!A3:A8,0),(current_star_level*2)+1))*(2^(INDIRECT("Star!B1")-(current_star_level+1)))))) +
    SUM(MAP(SEQUENCE(1,INDIRECT("Star!B2")-INDIRECT("Star!B1"),INDIRECT("Star!B1"),1),LAMBDA(current_star_level,(INDEX('Star Level'!B3:K8,MATCH(INDIRECT("B3"),'Star Level'!A3:A8,0),(current_star_level*2)+1))*(2^(INDIRECT("Star!B2")-(current_star_level+1)))))
))</f>
        <v>48</v>
      </c>
    </row>
    <row r="2">
      <c r="A2" s="65" t="s">
        <v>672</v>
      </c>
      <c r="B2" s="66">
        <v>2.0</v>
      </c>
      <c r="D2" s="68" t="s">
        <v>673</v>
      </c>
      <c r="E2" s="65">
        <f t="array" ref="E2">IF(
  INDIRECT("Star!B1")=0,
  SUM(
    MAP(
      SEQUENCE(1,INDIRECT("Star!B2"),0,1),
      LAMBDA(current_star_level,
        INDEX('Star Level'!$B$3:$K$8,
              MATCH(INDIRECT("B3"),'Star Level'!$A$3:$A$8,0),
              (current_star_level*2)+2
        )
        * (2^(INDIRECT("Star!B2")-(current_star_level+1)))
      )
    )
  ),
  (2^(INDIRECT("Star!B2")-INDIRECT("Star!B1"))-1) *
    SUM(
      MAP(
        SEQUENCE(1,INDIRECT("Star!B1"),0,1),
        LAMBDA(current_star_level,
          INDEX('Star Level'!$B$3:$K$8,
                MATCH(INDIRECT("B3"),'Star Level'!$A$3:$A$8,0),
                (current_star_level*2)+2
          )
          * (2^(INDIRECT("Star!B1")-(current_star_level+1)))
        )
      )
    )
  +
  SUM(
    MAP(
      SEQUENCE(1,INDIRECT("Star!B2")-INDIRECT("Star!B1"),INDIRECT("Star!B1"),1),
      LAMBDA(current_star_level,
        INDEX('Star Level'!$B$3:$K$8,
              MATCH(INDIRECT("B3"),'Star Level'!$A$3:$A$8,0),
              (current_star_level*2)+2
        )
        * (2^(INDIRECT("Star!B2")-(current_star_level+1)))
      )
    )
  )
)</f>
        <v>12</v>
      </c>
    </row>
    <row r="3">
      <c r="A3" s="65" t="s">
        <v>675</v>
      </c>
      <c r="B3" s="69" t="s">
        <v>676</v>
      </c>
      <c r="D3" s="65" t="s">
        <v>677</v>
      </c>
      <c r="E3" s="65">
        <f t="array" ref="E3">POWER(2, INDIRECT("Star!B2")) - POWER(2, INDIRECT("Star!B1"))</f>
        <v>3</v>
      </c>
    </row>
    <row r="4" ht="185.25" customHeight="1">
      <c r="A4" s="70" t="s">
        <v>678</v>
      </c>
    </row>
  </sheetData>
  <mergeCells count="2">
    <mergeCell ref="C1:C3"/>
    <mergeCell ref="A4:E4"/>
  </mergeCells>
  <dataValidations>
    <dataValidation type="list" allowBlank="1" showErrorMessage="1" sqref="B1:B2">
      <formula1>"0,1,2,3,4,5"</formula1>
    </dataValidation>
    <dataValidation type="list" allowBlank="1" showErrorMessage="1" sqref="B3">
      <formula1>'Star Level'!$A$3:$A$8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3" max="3" width="1.5"/>
    <col customWidth="1" min="4" max="4" width="102.13"/>
  </cols>
  <sheetData>
    <row r="1">
      <c r="A1" s="71"/>
      <c r="B1" s="72" t="s">
        <v>680</v>
      </c>
      <c r="C1" s="73"/>
      <c r="D1" s="74" t="s">
        <v>681</v>
      </c>
    </row>
    <row r="2">
      <c r="A2" s="72" t="s">
        <v>663</v>
      </c>
      <c r="B2" s="75" t="s">
        <v>682</v>
      </c>
    </row>
    <row r="3">
      <c r="A3" s="72" t="s">
        <v>660</v>
      </c>
      <c r="B3" s="76">
        <v>22535.0</v>
      </c>
    </row>
    <row r="4">
      <c r="A4" s="77" t="s">
        <v>658</v>
      </c>
      <c r="B4" s="76">
        <v>9400.0</v>
      </c>
    </row>
    <row r="5">
      <c r="A5" s="72" t="s">
        <v>654</v>
      </c>
      <c r="B5" s="76">
        <v>3500.0</v>
      </c>
    </row>
    <row r="6">
      <c r="A6" s="72" t="s">
        <v>676</v>
      </c>
      <c r="B6" s="76">
        <v>1280.0</v>
      </c>
    </row>
    <row r="7">
      <c r="A7" s="72" t="s">
        <v>683</v>
      </c>
      <c r="B7" s="75" t="s">
        <v>684</v>
      </c>
    </row>
    <row r="8">
      <c r="A8" s="72" t="s">
        <v>685</v>
      </c>
      <c r="B8" s="75" t="s">
        <v>686</v>
      </c>
    </row>
    <row r="9">
      <c r="A9" s="72" t="s">
        <v>687</v>
      </c>
      <c r="B9" s="75" t="s">
        <v>688</v>
      </c>
    </row>
    <row r="10">
      <c r="A10" s="72" t="s">
        <v>689</v>
      </c>
      <c r="B10" s="75" t="s">
        <v>690</v>
      </c>
    </row>
    <row r="11">
      <c r="A11" s="77" t="s">
        <v>691</v>
      </c>
      <c r="B11" s="76" t="s">
        <v>692</v>
      </c>
      <c r="C11" s="73"/>
    </row>
  </sheetData>
  <mergeCells count="2">
    <mergeCell ref="C1:C10"/>
    <mergeCell ref="D1:D1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9.5"/>
    <col customWidth="1" min="4" max="4" width="18.25"/>
    <col customWidth="1" min="5" max="5" width="57.38"/>
    <col customWidth="1" hidden="1" min="6" max="8" width="13.5"/>
    <col customWidth="1" hidden="1" min="9" max="9" width="14.0"/>
    <col customWidth="1" hidden="1" min="10" max="10" width="3.88"/>
    <col customWidth="1" hidden="1" min="11" max="11" width="13.5"/>
    <col customWidth="1" hidden="1" min="12" max="12" width="14.5"/>
    <col customWidth="1" hidden="1" min="13" max="13" width="3.88"/>
    <col customWidth="1" hidden="1" min="14" max="14" width="14.38"/>
    <col customWidth="1" hidden="1" min="15" max="15" width="14.88"/>
    <col customWidth="1" hidden="1" min="16" max="16" width="4.38"/>
    <col customWidth="1" hidden="1" min="17" max="17" width="13.75"/>
    <col customWidth="1" hidden="1" min="18" max="18" width="14.75"/>
  </cols>
  <sheetData>
    <row r="1">
      <c r="A1" s="78" t="s">
        <v>698</v>
      </c>
      <c r="B1" s="78" t="s">
        <v>675</v>
      </c>
      <c r="C1" s="80" t="s">
        <v>700</v>
      </c>
      <c r="D1" s="81" t="s">
        <v>675</v>
      </c>
      <c r="E1" s="82" t="str">
        <f t="array" ref="E1">"Pokemons Tier " &amp; INDIRECT("D2") &amp; " com moveset " &amp; INDIRECT("D4")</f>
        <v>Pokemons Tier T1 com moveset Steel</v>
      </c>
      <c r="F1" s="5" t="s">
        <v>682</v>
      </c>
      <c r="G1" s="5" t="str">
        <f t="array" ref="G1:G20">unique(C2:C1011)</f>
        <v>Grass</v>
      </c>
      <c r="H1" s="5" t="s">
        <v>658</v>
      </c>
      <c r="I1" s="62" t="str">
        <f>IFERROR(__xludf.DUMMYFUNCTION("Query($A$2:$B1011, ""SELECT A WHERE B = '""&amp;H1&amp;""'"")"),"Shiny Sceptile")</f>
        <v>Shiny Sceptile</v>
      </c>
      <c r="K1" s="5" t="s">
        <v>676</v>
      </c>
      <c r="L1" s="62" t="str">
        <f>IFERROR(__xludf.DUMMYFUNCTION("Query($A$2:$B1011, ""SELECT A WHERE B = '""&amp;K1&amp;""'"")"),"Shiny Venusaur")</f>
        <v>Shiny Venusaur</v>
      </c>
      <c r="N1" s="5" t="s">
        <v>654</v>
      </c>
      <c r="O1" s="62" t="str">
        <f>IFERROR(__xludf.DUMMYFUNCTION("SORT(Query($A$2:$B1011, ""SELECT A WHERE B = '""&amp;N1&amp;""'""))"),"Shiny Aggron")</f>
        <v>Shiny Aggron</v>
      </c>
      <c r="Q1" s="5" t="s">
        <v>660</v>
      </c>
      <c r="R1" s="62" t="str">
        <f>IFERROR(__xludf.DUMMYFUNCTION("Query($A$2:$B1011, ""SELECT A WHERE B = '""&amp;Q1&amp;""'"")"),"Shiny Alakazam")</f>
        <v>Shiny Alakazam</v>
      </c>
    </row>
    <row r="2">
      <c r="A2" s="86" t="s">
        <v>707</v>
      </c>
      <c r="B2" s="87" t="s">
        <v>691</v>
      </c>
      <c r="C2" s="87" t="s">
        <v>708</v>
      </c>
      <c r="D2" s="88" t="s">
        <v>676</v>
      </c>
      <c r="E2" s="89" t="str">
        <f>IFERROR(__xludf.DUMMYFUNCTION("IFERROR(FILTER($A$2:$A1011, $B$2:$B1011 = INDIRECT(""D2""), C2:C1011 = INDIRECT(""D4"")), ""Nenhum Pokémon encontrado"")"),"Shiny Mawile")</f>
        <v>Shiny Mawile</v>
      </c>
      <c r="F2" s="5" t="s">
        <v>709</v>
      </c>
      <c r="G2" s="11" t="s">
        <v>710</v>
      </c>
      <c r="I2" s="62" t="str">
        <f>IFERROR(__xludf.DUMMYFUNCTION("""COMPUTED_VALUE"""),"Shiny Blaziken")</f>
        <v>Shiny Blaziken</v>
      </c>
      <c r="L2" s="62" t="str">
        <f>IFERROR(__xludf.DUMMYFUNCTION("""COMPUTED_VALUE"""),"Shiny Charizard")</f>
        <v>Shiny Charizard</v>
      </c>
      <c r="O2" s="62" t="str">
        <f>IFERROR(__xludf.DUMMYFUNCTION("""COMPUTED_VALUE"""),"Shiny Altaria")</f>
        <v>Shiny Altaria</v>
      </c>
      <c r="R2" s="62" t="str">
        <f>IFERROR(__xludf.DUMMYFUNCTION("""COMPUTED_VALUE"""),"Shiny Gengar")</f>
        <v>Shiny Gengar</v>
      </c>
    </row>
    <row r="3">
      <c r="A3" s="86" t="s">
        <v>711</v>
      </c>
      <c r="B3" s="87" t="s">
        <v>689</v>
      </c>
      <c r="C3" s="87" t="s">
        <v>708</v>
      </c>
      <c r="D3" s="90" t="s">
        <v>700</v>
      </c>
      <c r="E3" s="91" t="str">
        <f>IFERROR(__xludf.DUMMYFUNCTION("""COMPUTED_VALUE"""),"Shiny Metang")</f>
        <v>Shiny Metang</v>
      </c>
      <c r="F3" s="5" t="s">
        <v>691</v>
      </c>
      <c r="G3" s="11" t="s">
        <v>712</v>
      </c>
      <c r="I3" s="62" t="str">
        <f>IFERROR(__xludf.DUMMYFUNCTION("""COMPUTED_VALUE"""),"Shiny Swampert")</f>
        <v>Shiny Swampert</v>
      </c>
      <c r="L3" s="62" t="str">
        <f>IFERROR(__xludf.DUMMYFUNCTION("""COMPUTED_VALUE"""),"Shiny Blastoise")</f>
        <v>Shiny Blastoise</v>
      </c>
      <c r="O3" s="62" t="str">
        <f>IFERROR(__xludf.DUMMYFUNCTION("""COMPUTED_VALUE"""),"Shiny Arcanine")</f>
        <v>Shiny Arcanine</v>
      </c>
      <c r="R3" s="62" t="str">
        <f>IFERROR(__xludf.DUMMYFUNCTION("""COMPUTED_VALUE"""),"Shiny Electabuzz")</f>
        <v>Shiny Electabuzz</v>
      </c>
    </row>
    <row r="4">
      <c r="A4" s="86" t="s">
        <v>713</v>
      </c>
      <c r="B4" s="87" t="s">
        <v>689</v>
      </c>
      <c r="C4" s="87" t="s">
        <v>708</v>
      </c>
      <c r="D4" s="88" t="s">
        <v>714</v>
      </c>
      <c r="E4" s="92"/>
      <c r="F4" s="5" t="s">
        <v>689</v>
      </c>
      <c r="G4" s="11" t="s">
        <v>715</v>
      </c>
      <c r="I4" s="62" t="str">
        <f>IFERROR(__xludf.DUMMYFUNCTION("""COMPUTED_VALUE"""),"Shiny Mightyena")</f>
        <v>Shiny Mightyena</v>
      </c>
      <c r="L4" s="62" t="str">
        <f>IFERROR(__xludf.DUMMYFUNCTION("""COMPUTED_VALUE"""),"Shiny Pidgeot")</f>
        <v>Shiny Pidgeot</v>
      </c>
      <c r="O4" s="62" t="str">
        <f>IFERROR(__xludf.DUMMYFUNCTION("""COMPUTED_VALUE"""),"Shiny Armaldo")</f>
        <v>Shiny Armaldo</v>
      </c>
      <c r="R4" s="62" t="str">
        <f>IFERROR(__xludf.DUMMYFUNCTION("""COMPUTED_VALUE"""),"Shiny Magmar")</f>
        <v>Shiny Magmar</v>
      </c>
    </row>
    <row r="5">
      <c r="A5" s="86" t="s">
        <v>716</v>
      </c>
      <c r="B5" s="87" t="s">
        <v>687</v>
      </c>
      <c r="C5" s="87" t="s">
        <v>708</v>
      </c>
      <c r="D5" s="94"/>
      <c r="E5" s="92"/>
      <c r="F5" s="5" t="s">
        <v>687</v>
      </c>
      <c r="G5" s="11" t="s">
        <v>717</v>
      </c>
      <c r="I5" s="62" t="str">
        <f>IFERROR(__xludf.DUMMYFUNCTION("""COMPUTED_VALUE"""),"Shiny Gardevoir")</f>
        <v>Shiny Gardevoir</v>
      </c>
      <c r="L5" s="62" t="str">
        <f>IFERROR(__xludf.DUMMYFUNCTION("""COMPUTED_VALUE"""),"Shiny Raichu")</f>
        <v>Shiny Raichu</v>
      </c>
      <c r="O5" s="62" t="str">
        <f>IFERROR(__xludf.DUMMYFUNCTION("""COMPUTED_VALUE"""),"Shiny Dusknoir")</f>
        <v>Shiny Dusknoir</v>
      </c>
      <c r="R5" s="62" t="str">
        <f>IFERROR(__xludf.DUMMYFUNCTION("""COMPUTED_VALUE"""),"Shiny Gyarados")</f>
        <v>Shiny Gyarados</v>
      </c>
    </row>
    <row r="6">
      <c r="A6" s="86" t="s">
        <v>108</v>
      </c>
      <c r="B6" s="87" t="s">
        <v>685</v>
      </c>
      <c r="C6" s="87" t="s">
        <v>708</v>
      </c>
      <c r="E6" s="92"/>
      <c r="F6" s="5" t="s">
        <v>685</v>
      </c>
      <c r="G6" s="11" t="s">
        <v>7</v>
      </c>
      <c r="I6" s="62" t="str">
        <f>IFERROR(__xludf.DUMMYFUNCTION("""COMPUTED_VALUE"""),"Shiny Exploud")</f>
        <v>Shiny Exploud</v>
      </c>
      <c r="L6" s="62" t="str">
        <f>IFERROR(__xludf.DUMMYFUNCTION("""COMPUTED_VALUE"""),"Shiny Nidoqueen")</f>
        <v>Shiny Nidoqueen</v>
      </c>
      <c r="O6" s="62" t="str">
        <f>IFERROR(__xludf.DUMMYFUNCTION("""COMPUTED_VALUE"""),"Shiny Florges")</f>
        <v>Shiny Florges</v>
      </c>
      <c r="R6" s="62" t="str">
        <f>IFERROR(__xludf.DUMMYFUNCTION("""COMPUTED_VALUE"""),"Shiny Snorlax")</f>
        <v>Shiny Snorlax</v>
      </c>
    </row>
    <row r="7">
      <c r="A7" s="86" t="s">
        <v>720</v>
      </c>
      <c r="B7" s="87" t="s">
        <v>676</v>
      </c>
      <c r="C7" s="87" t="s">
        <v>708</v>
      </c>
      <c r="E7" s="92"/>
      <c r="F7" s="5" t="s">
        <v>683</v>
      </c>
      <c r="G7" s="11" t="s">
        <v>721</v>
      </c>
      <c r="I7" s="62" t="str">
        <f>IFERROR(__xludf.DUMMYFUNCTION("""COMPUTED_VALUE"""),"Shiny Manectric")</f>
        <v>Shiny Manectric</v>
      </c>
      <c r="L7" s="62" t="str">
        <f>IFERROR(__xludf.DUMMYFUNCTION("""COMPUTED_VALUE"""),"Shiny Nidoking")</f>
        <v>Shiny Nidoking</v>
      </c>
      <c r="O7" s="62" t="str">
        <f>IFERROR(__xludf.DUMMYFUNCTION("""COMPUTED_VALUE"""),"Shiny Gliscor")</f>
        <v>Shiny Gliscor</v>
      </c>
      <c r="R7" s="62" t="str">
        <f>IFERROR(__xludf.DUMMYFUNCTION("""COMPUTED_VALUE"""),"Shiny Dragonair")</f>
        <v>Shiny Dragonair</v>
      </c>
    </row>
    <row r="8">
      <c r="A8" s="86" t="s">
        <v>722</v>
      </c>
      <c r="B8" s="87" t="s">
        <v>691</v>
      </c>
      <c r="C8" s="87" t="s">
        <v>710</v>
      </c>
      <c r="E8" s="92"/>
      <c r="F8" s="5" t="s">
        <v>676</v>
      </c>
      <c r="G8" s="11" t="s">
        <v>723</v>
      </c>
      <c r="I8" s="62" t="str">
        <f>IFERROR(__xludf.DUMMYFUNCTION("""COMPUTED_VALUE"""),"Shiny Swalot")</f>
        <v>Shiny Swalot</v>
      </c>
      <c r="L8" s="62" t="str">
        <f>IFERROR(__xludf.DUMMYFUNCTION("""COMPUTED_VALUE"""),"Mega Clefable")</f>
        <v>Mega Clefable</v>
      </c>
      <c r="O8" s="62" t="str">
        <f>IFERROR(__xludf.DUMMYFUNCTION("""COMPUTED_VALUE"""),"Shiny Gogoat")</f>
        <v>Shiny Gogoat</v>
      </c>
      <c r="R8" s="62" t="str">
        <f>IFERROR(__xludf.DUMMYFUNCTION("""COMPUTED_VALUE"""),"Shiny Scizor")</f>
        <v>Shiny Scizor</v>
      </c>
    </row>
    <row r="9">
      <c r="A9" s="86" t="s">
        <v>724</v>
      </c>
      <c r="B9" s="87" t="s">
        <v>689</v>
      </c>
      <c r="C9" s="87" t="s">
        <v>710</v>
      </c>
      <c r="E9" s="92"/>
      <c r="F9" s="5" t="s">
        <v>654</v>
      </c>
      <c r="G9" s="11" t="s">
        <v>725</v>
      </c>
      <c r="I9" s="62" t="str">
        <f>IFERROR(__xludf.DUMMYFUNCTION("""COMPUTED_VALUE"""),"Shiny Torkoal")</f>
        <v>Shiny Torkoal</v>
      </c>
      <c r="L9" s="62" t="str">
        <f>IFERROR(__xludf.DUMMYFUNCTION("""COMPUTED_VALUE"""),"Shiny Ninetales")</f>
        <v>Shiny Ninetales</v>
      </c>
      <c r="O9" s="62" t="str">
        <f>IFERROR(__xludf.DUMMYFUNCTION("""COMPUTED_VALUE"""),"Shiny Houndoom")</f>
        <v>Shiny Houndoom</v>
      </c>
      <c r="R9" s="62" t="str">
        <f>IFERROR(__xludf.DUMMYFUNCTION("""COMPUTED_VALUE"""),"Mega Houndoom")</f>
        <v>Mega Houndoom</v>
      </c>
    </row>
    <row r="10">
      <c r="A10" s="87" t="s">
        <v>727</v>
      </c>
      <c r="B10" s="87" t="s">
        <v>689</v>
      </c>
      <c r="C10" s="87" t="s">
        <v>710</v>
      </c>
      <c r="E10" s="92"/>
      <c r="F10" s="5" t="s">
        <v>658</v>
      </c>
      <c r="G10" s="11" t="s">
        <v>728</v>
      </c>
      <c r="I10" s="62" t="str">
        <f>IFERROR(__xludf.DUMMYFUNCTION("""COMPUTED_VALUE"""),"Shiny Milotic")</f>
        <v>Shiny Milotic</v>
      </c>
      <c r="L10" s="62" t="str">
        <f>IFERROR(__xludf.DUMMYFUNCTION("""COMPUTED_VALUE"""),"Shiny Poliwrath")</f>
        <v>Shiny Poliwrath</v>
      </c>
      <c r="O10" s="62" t="str">
        <f>IFERROR(__xludf.DUMMYFUNCTION("""COMPUTED_VALUE"""),"Shiny Hydreigon")</f>
        <v>Shiny Hydreigon</v>
      </c>
      <c r="R10" s="62" t="str">
        <f>IFERROR(__xludf.DUMMYFUNCTION("""COMPUTED_VALUE"""),"Shiny Flygon")</f>
        <v>Shiny Flygon</v>
      </c>
    </row>
    <row r="11">
      <c r="A11" s="87" t="s">
        <v>730</v>
      </c>
      <c r="B11" s="87" t="s">
        <v>687</v>
      </c>
      <c r="C11" s="87" t="s">
        <v>710</v>
      </c>
      <c r="E11" s="92"/>
      <c r="F11" s="5" t="s">
        <v>660</v>
      </c>
      <c r="G11" s="11" t="s">
        <v>731</v>
      </c>
      <c r="I11" s="62" t="str">
        <f>IFERROR(__xludf.DUMMYFUNCTION("""COMPUTED_VALUE"""),"Shiny Tropius")</f>
        <v>Shiny Tropius</v>
      </c>
      <c r="L11" s="62" t="str">
        <f>IFERROR(__xludf.DUMMYFUNCTION("""COMPUTED_VALUE"""),"Shiny Tentacruel")</f>
        <v>Shiny Tentacruel</v>
      </c>
      <c r="O11" s="62" t="str">
        <f>IFERROR(__xludf.DUMMYFUNCTION("""COMPUTED_VALUE"""),"Shiny Infernape")</f>
        <v>Shiny Infernape</v>
      </c>
      <c r="R11" s="62" t="str">
        <f>IFERROR(__xludf.DUMMYFUNCTION("""COMPUTED_VALUE"""),"Shiny Absol")</f>
        <v>Shiny Absol</v>
      </c>
    </row>
    <row r="12">
      <c r="A12" s="86" t="s">
        <v>148</v>
      </c>
      <c r="B12" s="87" t="s">
        <v>685</v>
      </c>
      <c r="C12" s="87" t="s">
        <v>710</v>
      </c>
      <c r="E12" s="92"/>
      <c r="F12" s="5" t="s">
        <v>663</v>
      </c>
      <c r="G12" s="11" t="s">
        <v>732</v>
      </c>
      <c r="I12" s="62" t="str">
        <f>IFERROR(__xludf.DUMMYFUNCTION("""COMPUTED_VALUE"""),"Shiny Glalie")</f>
        <v>Shiny Glalie</v>
      </c>
      <c r="L12" s="62" t="str">
        <f>IFERROR(__xludf.DUMMYFUNCTION("""COMPUTED_VALUE"""),"Shiny Golem")</f>
        <v>Shiny Golem</v>
      </c>
      <c r="O12" s="62" t="str">
        <f>IFERROR(__xludf.DUMMYFUNCTION("""COMPUTED_VALUE"""),"Shiny Kangaskhan")</f>
        <v>Shiny Kangaskhan</v>
      </c>
      <c r="R12" s="62" t="str">
        <f>IFERROR(__xludf.DUMMYFUNCTION("""COMPUTED_VALUE"""),"Shiny Lucario")</f>
        <v>Shiny Lucario</v>
      </c>
    </row>
    <row r="13">
      <c r="A13" s="86" t="s">
        <v>733</v>
      </c>
      <c r="B13" s="87" t="s">
        <v>676</v>
      </c>
      <c r="C13" s="87" t="s">
        <v>710</v>
      </c>
      <c r="E13" s="92"/>
      <c r="F13" s="11"/>
      <c r="G13" s="11" t="s">
        <v>734</v>
      </c>
      <c r="I13" s="62" t="str">
        <f>IFERROR(__xludf.DUMMYFUNCTION("""COMPUTED_VALUE"""),"Shiny Salamence")</f>
        <v>Shiny Salamence</v>
      </c>
      <c r="L13" s="62" t="str">
        <f>IFERROR(__xludf.DUMMYFUNCTION("""COMPUTED_VALUE"""),"Shiny Rapidash")</f>
        <v>Shiny Rapidash</v>
      </c>
      <c r="O13" s="62" t="str">
        <f>IFERROR(__xludf.DUMMYFUNCTION("""COMPUTED_VALUE"""),"Shiny Kingdra")</f>
        <v>Shiny Kingdra</v>
      </c>
      <c r="R13" s="62" t="str">
        <f>IFERROR(__xludf.DUMMYFUNCTION("""COMPUTED_VALUE"""),"Mega Abomasnow")</f>
        <v>Mega Abomasnow</v>
      </c>
    </row>
    <row r="14">
      <c r="A14" s="86" t="s">
        <v>735</v>
      </c>
      <c r="B14" s="87" t="s">
        <v>691</v>
      </c>
      <c r="C14" s="87" t="s">
        <v>712</v>
      </c>
      <c r="E14" s="92"/>
      <c r="F14" s="11"/>
      <c r="G14" s="11" t="s">
        <v>736</v>
      </c>
      <c r="I14" s="62" t="str">
        <f>IFERROR(__xludf.DUMMYFUNCTION("""COMPUTED_VALUE"""),"Shiny Metagross")</f>
        <v>Shiny Metagross</v>
      </c>
      <c r="L14" s="62" t="str">
        <f>IFERROR(__xludf.DUMMYFUNCTION("""COMPUTED_VALUE"""),"Shiny Farfetch'd")</f>
        <v>Shiny Farfetch'd</v>
      </c>
      <c r="O14" s="62" t="str">
        <f>IFERROR(__xludf.DUMMYFUNCTION("""COMPUTED_VALUE"""),"Shiny Luxray")</f>
        <v>Shiny Luxray</v>
      </c>
      <c r="R14" s="62" t="str">
        <f>IFERROR(__xludf.DUMMYFUNCTION("""COMPUTED_VALUE"""),"Shiny Rhyperior")</f>
        <v>Shiny Rhyperior</v>
      </c>
    </row>
    <row r="15">
      <c r="A15" s="86" t="s">
        <v>737</v>
      </c>
      <c r="B15" s="87" t="s">
        <v>689</v>
      </c>
      <c r="C15" s="87" t="s">
        <v>712</v>
      </c>
      <c r="E15" s="92"/>
      <c r="F15" s="11"/>
      <c r="G15" s="11" t="s">
        <v>714</v>
      </c>
      <c r="I15" s="62" t="str">
        <f>IFERROR(__xludf.DUMMYFUNCTION("""COMPUTED_VALUE"""),"Shiny Rampardos")</f>
        <v>Shiny Rampardos</v>
      </c>
      <c r="L15" s="62" t="str">
        <f>IFERROR(__xludf.DUMMYFUNCTION("""COMPUTED_VALUE"""),"Shiny Dodrio")</f>
        <v>Shiny Dodrio</v>
      </c>
      <c r="O15" s="62" t="str">
        <f>IFERROR(__xludf.DUMMYFUNCTION("""COMPUTED_VALUE"""),"Shiny Machamp")</f>
        <v>Shiny Machamp</v>
      </c>
      <c r="R15" s="62" t="str">
        <f>IFERROR(__xludf.DUMMYFUNCTION("""COMPUTED_VALUE"""),"Shiny Leafeon")</f>
        <v>Shiny Leafeon</v>
      </c>
    </row>
    <row r="16">
      <c r="A16" s="86" t="s">
        <v>738</v>
      </c>
      <c r="B16" s="87" t="s">
        <v>689</v>
      </c>
      <c r="C16" s="87" t="s">
        <v>712</v>
      </c>
      <c r="E16" s="92"/>
      <c r="F16" s="11"/>
      <c r="G16" s="11" t="s">
        <v>739</v>
      </c>
      <c r="L16" s="62" t="str">
        <f>IFERROR(__xludf.DUMMYFUNCTION("""COMPUTED_VALUE"""),"Shiny Muk")</f>
        <v>Shiny Muk</v>
      </c>
      <c r="O16" s="62" t="str">
        <f>IFERROR(__xludf.DUMMYFUNCTION("""COMPUTED_VALUE"""),"Shiny Mimikyu")</f>
        <v>Shiny Mimikyu</v>
      </c>
      <c r="R16" s="62" t="str">
        <f>IFERROR(__xludf.DUMMYFUNCTION("""COMPUTED_VALUE"""),"Shiny Glaceon")</f>
        <v>Shiny Glaceon</v>
      </c>
    </row>
    <row r="17">
      <c r="A17" s="86" t="s">
        <v>740</v>
      </c>
      <c r="B17" s="87" t="s">
        <v>687</v>
      </c>
      <c r="C17" s="87" t="s">
        <v>712</v>
      </c>
      <c r="E17" s="92"/>
      <c r="F17" s="11"/>
      <c r="G17" s="11" t="s">
        <v>742</v>
      </c>
      <c r="L17" s="62" t="str">
        <f>IFERROR(__xludf.DUMMYFUNCTION("""COMPUTED_VALUE"""),"Shiny Marowak")</f>
        <v>Shiny Marowak</v>
      </c>
      <c r="O17" s="62" t="str">
        <f>IFERROR(__xludf.DUMMYFUNCTION("""COMPUTED_VALUE"""),"Shiny Misdreavus")</f>
        <v>Shiny Misdreavus</v>
      </c>
      <c r="R17" s="62" t="str">
        <f>IFERROR(__xludf.DUMMYFUNCTION("""COMPUTED_VALUE"""),"Shiny Garbodor")</f>
        <v>Shiny Garbodor</v>
      </c>
    </row>
    <row r="18">
      <c r="A18" s="86" t="s">
        <v>131</v>
      </c>
      <c r="B18" s="87" t="s">
        <v>685</v>
      </c>
      <c r="C18" s="87" t="s">
        <v>712</v>
      </c>
      <c r="E18" s="92"/>
      <c r="F18" s="11"/>
      <c r="G18" s="11" t="s">
        <v>682</v>
      </c>
      <c r="L18" s="62" t="str">
        <f>IFERROR(__xludf.DUMMYFUNCTION("""COMPUTED_VALUE"""),"Shiny Hitmonlee")</f>
        <v>Shiny Hitmonlee</v>
      </c>
      <c r="O18" s="62" t="str">
        <f>IFERROR(__xludf.DUMMYFUNCTION("""COMPUTED_VALUE"""),"Shiny Mr. Mime")</f>
        <v>Shiny Mr. Mime</v>
      </c>
      <c r="R18" s="62" t="str">
        <f>IFERROR(__xludf.DUMMYFUNCTION("""COMPUTED_VALUE"""),"Shiny Sylveon")</f>
        <v>Shiny Sylveon</v>
      </c>
    </row>
    <row r="19">
      <c r="A19" s="86" t="s">
        <v>744</v>
      </c>
      <c r="B19" s="87" t="s">
        <v>676</v>
      </c>
      <c r="C19" s="87" t="s">
        <v>712</v>
      </c>
      <c r="E19" s="92"/>
      <c r="F19" s="11"/>
      <c r="G19" s="11" t="s">
        <v>745</v>
      </c>
      <c r="L19" s="62" t="str">
        <f>IFERROR(__xludf.DUMMYFUNCTION("""COMPUTED_VALUE"""),"Shiny Hitmonchan")</f>
        <v>Shiny Hitmonchan</v>
      </c>
      <c r="O19" s="62" t="str">
        <f>IFERROR(__xludf.DUMMYFUNCTION("""COMPUTED_VALUE"""),"Shiny Pachirisu")</f>
        <v>Shiny Pachirisu</v>
      </c>
    </row>
    <row r="20">
      <c r="A20" s="86" t="s">
        <v>746</v>
      </c>
      <c r="B20" s="87" t="s">
        <v>709</v>
      </c>
      <c r="C20" s="87" t="s">
        <v>715</v>
      </c>
      <c r="E20" s="92"/>
      <c r="F20" s="11"/>
      <c r="G20" s="11"/>
      <c r="L20" s="62" t="str">
        <f>IFERROR(__xludf.DUMMYFUNCTION("""COMPUTED_VALUE"""),"Shiny Jynx")</f>
        <v>Shiny Jynx</v>
      </c>
      <c r="O20" s="62" t="str">
        <f>IFERROR(__xludf.DUMMYFUNCTION("""COMPUTED_VALUE"""),"Shiny Pinsir")</f>
        <v>Shiny Pinsir</v>
      </c>
    </row>
    <row r="21">
      <c r="A21" s="86" t="s">
        <v>747</v>
      </c>
      <c r="B21" s="87" t="s">
        <v>691</v>
      </c>
      <c r="C21" s="87" t="s">
        <v>715</v>
      </c>
      <c r="E21" s="92"/>
      <c r="F21" s="11"/>
      <c r="G21" s="11"/>
      <c r="L21" s="62" t="str">
        <f>IFERROR(__xludf.DUMMYFUNCTION("""COMPUTED_VALUE"""),"Shiny Lapras")</f>
        <v>Shiny Lapras</v>
      </c>
      <c r="O21" s="62" t="str">
        <f>IFERROR(__xludf.DUMMYFUNCTION("""COMPUTED_VALUE"""),"Shiny Pupitar")</f>
        <v>Shiny Pupitar</v>
      </c>
    </row>
    <row r="22">
      <c r="A22" s="86" t="s">
        <v>748</v>
      </c>
      <c r="B22" s="87" t="s">
        <v>691</v>
      </c>
      <c r="C22" s="87" t="s">
        <v>715</v>
      </c>
      <c r="E22" s="92"/>
      <c r="F22" s="11"/>
      <c r="G22" s="11"/>
      <c r="L22" s="62" t="str">
        <f>IFERROR(__xludf.DUMMYFUNCTION("""COMPUTED_VALUE"""),"Shiny Vaporeon")</f>
        <v>Shiny Vaporeon</v>
      </c>
      <c r="O22" s="62" t="str">
        <f>IFERROR(__xludf.DUMMYFUNCTION("""COMPUTED_VALUE"""),"Shiny Scyther")</f>
        <v>Shiny Scyther</v>
      </c>
    </row>
    <row r="23">
      <c r="A23" s="86" t="s">
        <v>749</v>
      </c>
      <c r="B23" s="87" t="s">
        <v>689</v>
      </c>
      <c r="C23" s="87" t="s">
        <v>715</v>
      </c>
      <c r="E23" s="92"/>
      <c r="F23" s="11"/>
      <c r="G23" s="11"/>
      <c r="L23" s="62" t="str">
        <f>IFERROR(__xludf.DUMMYFUNCTION("""COMPUTED_VALUE"""),"Shiny Jolteon")</f>
        <v>Shiny Jolteon</v>
      </c>
      <c r="O23" s="62" t="str">
        <f>IFERROR(__xludf.DUMMYFUNCTION("""COMPUTED_VALUE"""),"Shiny Seviper")</f>
        <v>Shiny Seviper</v>
      </c>
    </row>
    <row r="24">
      <c r="A24" s="86" t="s">
        <v>750</v>
      </c>
      <c r="B24" s="87" t="s">
        <v>689</v>
      </c>
      <c r="C24" s="87" t="s">
        <v>717</v>
      </c>
      <c r="E24" s="92"/>
      <c r="F24" s="5"/>
      <c r="G24" s="11"/>
      <c r="L24" s="62" t="str">
        <f>IFERROR(__xludf.DUMMYFUNCTION("""COMPUTED_VALUE"""),"Shiny Flareon")</f>
        <v>Shiny Flareon</v>
      </c>
      <c r="O24" s="62" t="str">
        <f>IFERROR(__xludf.DUMMYFUNCTION("""COMPUTED_VALUE"""),"Shiny Sharpedo")</f>
        <v>Shiny Sharpedo</v>
      </c>
    </row>
    <row r="25">
      <c r="A25" s="86" t="s">
        <v>751</v>
      </c>
      <c r="B25" s="87" t="s">
        <v>687</v>
      </c>
      <c r="C25" s="87" t="s">
        <v>717</v>
      </c>
      <c r="E25" s="92"/>
      <c r="F25" s="11"/>
      <c r="G25" s="11"/>
      <c r="L25" s="62" t="str">
        <f>IFERROR(__xludf.DUMMYFUNCTION("""COMPUTED_VALUE"""),"Shiny Omastar")</f>
        <v>Shiny Omastar</v>
      </c>
      <c r="O25" s="62" t="str">
        <f>IFERROR(__xludf.DUMMYFUNCTION("""COMPUTED_VALUE"""),"Shiny Skarmory")</f>
        <v>Shiny Skarmory</v>
      </c>
    </row>
    <row r="26">
      <c r="A26" s="86" t="s">
        <v>752</v>
      </c>
      <c r="B26" s="87" t="s">
        <v>709</v>
      </c>
      <c r="C26" s="87" t="s">
        <v>715</v>
      </c>
      <c r="E26" s="92"/>
      <c r="F26" s="11"/>
      <c r="G26" s="11"/>
      <c r="L26" s="62" t="str">
        <f>IFERROR(__xludf.DUMMYFUNCTION("""COMPUTED_VALUE"""),"Shiny Kabutops")</f>
        <v>Shiny Kabutops</v>
      </c>
      <c r="O26" s="62" t="str">
        <f>IFERROR(__xludf.DUMMYFUNCTION("""COMPUTED_VALUE"""),"Shiny Swellow")</f>
        <v>Shiny Swellow</v>
      </c>
    </row>
    <row r="27">
      <c r="A27" s="86" t="s">
        <v>753</v>
      </c>
      <c r="B27" s="87" t="s">
        <v>691</v>
      </c>
      <c r="C27" s="87" t="s">
        <v>715</v>
      </c>
      <c r="E27" s="92"/>
      <c r="F27" s="11"/>
      <c r="G27" s="11"/>
      <c r="L27" s="62" t="str">
        <f>IFERROR(__xludf.DUMMYFUNCTION("""COMPUTED_VALUE"""),"Aerodactyl")</f>
        <v>Aerodactyl</v>
      </c>
      <c r="O27" s="62" t="str">
        <f>IFERROR(__xludf.DUMMYFUNCTION("""COMPUTED_VALUE"""),"Shiny Tangrowth")</f>
        <v>Shiny Tangrowth</v>
      </c>
    </row>
    <row r="28">
      <c r="A28" s="86" t="s">
        <v>754</v>
      </c>
      <c r="B28" s="87" t="s">
        <v>691</v>
      </c>
      <c r="C28" s="87" t="s">
        <v>715</v>
      </c>
      <c r="E28" s="92"/>
      <c r="F28" s="11"/>
      <c r="G28" s="11"/>
      <c r="L28" s="62" t="str">
        <f>IFERROR(__xludf.DUMMYFUNCTION("""COMPUTED_VALUE"""),"Shiny Meganium")</f>
        <v>Shiny Meganium</v>
      </c>
      <c r="O28" s="62" t="str">
        <f>IFERROR(__xludf.DUMMYFUNCTION("""COMPUTED_VALUE"""),"Shiny Tauros")</f>
        <v>Shiny Tauros</v>
      </c>
    </row>
    <row r="29">
      <c r="A29" s="86" t="s">
        <v>755</v>
      </c>
      <c r="B29" s="87" t="s">
        <v>689</v>
      </c>
      <c r="C29" s="87" t="s">
        <v>715</v>
      </c>
      <c r="E29" s="92"/>
      <c r="F29" s="11"/>
      <c r="G29" s="11"/>
      <c r="L29" s="62" t="str">
        <f>IFERROR(__xludf.DUMMYFUNCTION("""COMPUTED_VALUE"""),"Shiny Typhlosion")</f>
        <v>Shiny Typhlosion</v>
      </c>
      <c r="O29" s="62" t="str">
        <f>IFERROR(__xludf.DUMMYFUNCTION("""COMPUTED_VALUE"""),"Shiny Torterra")</f>
        <v>Shiny Torterra</v>
      </c>
    </row>
    <row r="30">
      <c r="A30" s="86" t="s">
        <v>756</v>
      </c>
      <c r="B30" s="87" t="s">
        <v>689</v>
      </c>
      <c r="C30" s="87" t="s">
        <v>715</v>
      </c>
      <c r="E30" s="92"/>
      <c r="F30" s="11"/>
      <c r="G30" s="11"/>
      <c r="L30" s="62" t="str">
        <f>IFERROR(__xludf.DUMMYFUNCTION("""COMPUTED_VALUE"""),"Shiny Feraligatr")</f>
        <v>Shiny Feraligatr</v>
      </c>
      <c r="O30" s="62" t="str">
        <f>IFERROR(__xludf.DUMMYFUNCTION("""COMPUTED_VALUE"""),"Shiny Toxicroak")</f>
        <v>Shiny Toxicroak</v>
      </c>
    </row>
    <row r="31">
      <c r="A31" s="86" t="s">
        <v>757</v>
      </c>
      <c r="B31" s="87" t="s">
        <v>687</v>
      </c>
      <c r="C31" s="87" t="s">
        <v>715</v>
      </c>
      <c r="E31" s="92"/>
      <c r="F31" s="11"/>
      <c r="G31" s="11"/>
      <c r="L31" s="62" t="str">
        <f>IFERROR(__xludf.DUMMYFUNCTION("""COMPUTED_VALUE"""),"Shiny Ampharos")</f>
        <v>Shiny Ampharos</v>
      </c>
      <c r="O31" s="62" t="str">
        <f>IFERROR(__xludf.DUMMYFUNCTION("""COMPUTED_VALUE"""),"Shiny Walrein")</f>
        <v>Shiny Walrein</v>
      </c>
    </row>
    <row r="32">
      <c r="A32" s="86" t="s">
        <v>608</v>
      </c>
      <c r="B32" s="87" t="s">
        <v>709</v>
      </c>
      <c r="C32" s="87" t="s">
        <v>717</v>
      </c>
      <c r="E32" s="92"/>
      <c r="F32" s="11"/>
      <c r="G32" s="11"/>
      <c r="L32" s="62" t="str">
        <f>IFERROR(__xludf.DUMMYFUNCTION("""COMPUTED_VALUE"""),"Shiny Sudowoodo")</f>
        <v>Shiny Sudowoodo</v>
      </c>
      <c r="O32" s="62" t="str">
        <f>IFERROR(__xludf.DUMMYFUNCTION("""COMPUTED_VALUE"""),"Shiny Wobbuffet")</f>
        <v>Shiny Wobbuffet</v>
      </c>
    </row>
    <row r="33">
      <c r="A33" s="86" t="s">
        <v>599</v>
      </c>
      <c r="B33" s="87" t="s">
        <v>691</v>
      </c>
      <c r="C33" s="87" t="s">
        <v>717</v>
      </c>
      <c r="E33" s="92"/>
      <c r="F33" s="11"/>
      <c r="G33" s="11"/>
      <c r="L33" s="62" t="str">
        <f>IFERROR(__xludf.DUMMYFUNCTION("""COMPUTED_VALUE"""),"Shiny Politoed")</f>
        <v>Shiny Politoed</v>
      </c>
    </row>
    <row r="34">
      <c r="A34" s="86" t="s">
        <v>758</v>
      </c>
      <c r="B34" s="87" t="s">
        <v>689</v>
      </c>
      <c r="C34" s="87" t="s">
        <v>717</v>
      </c>
      <c r="E34" s="92"/>
      <c r="F34" s="11"/>
      <c r="G34" s="11"/>
      <c r="L34" s="62" t="str">
        <f>IFERROR(__xludf.DUMMYFUNCTION("""COMPUTED_VALUE"""),"Shiny Espeon")</f>
        <v>Shiny Espeon</v>
      </c>
    </row>
    <row r="35">
      <c r="A35" s="86" t="s">
        <v>759</v>
      </c>
      <c r="B35" s="87" t="s">
        <v>687</v>
      </c>
      <c r="C35" s="87" t="s">
        <v>717</v>
      </c>
      <c r="E35" s="92"/>
      <c r="F35" s="11"/>
      <c r="G35" s="11"/>
      <c r="L35" s="62" t="str">
        <f>IFERROR(__xludf.DUMMYFUNCTION("""COMPUTED_VALUE"""),"Shiny Umbreon")</f>
        <v>Shiny Umbreon</v>
      </c>
    </row>
    <row r="36">
      <c r="A36" s="86" t="s">
        <v>382</v>
      </c>
      <c r="B36" s="87" t="s">
        <v>685</v>
      </c>
      <c r="C36" s="87" t="s">
        <v>717</v>
      </c>
      <c r="E36" s="92"/>
      <c r="F36" s="11"/>
      <c r="G36" s="11"/>
      <c r="L36" s="62" t="str">
        <f>IFERROR(__xludf.DUMMYFUNCTION("""COMPUTED_VALUE"""),"Shiny Slowking")</f>
        <v>Shiny Slowking</v>
      </c>
    </row>
    <row r="37">
      <c r="A37" s="86" t="s">
        <v>760</v>
      </c>
      <c r="B37" s="87" t="s">
        <v>676</v>
      </c>
      <c r="C37" s="87" t="s">
        <v>717</v>
      </c>
      <c r="E37" s="92"/>
      <c r="F37" s="11"/>
      <c r="G37" s="11"/>
      <c r="L37" s="62" t="str">
        <f>IFERROR(__xludf.DUMMYFUNCTION("""COMPUTED_VALUE"""),"Shiny Steelix")</f>
        <v>Shiny Steelix</v>
      </c>
    </row>
    <row r="38">
      <c r="A38" s="86" t="s">
        <v>6</v>
      </c>
      <c r="B38" s="87" t="s">
        <v>709</v>
      </c>
      <c r="C38" s="87" t="s">
        <v>7</v>
      </c>
      <c r="E38" s="92"/>
      <c r="F38" s="11"/>
      <c r="G38" s="11"/>
      <c r="L38" s="62" t="str">
        <f>IFERROR(__xludf.DUMMYFUNCTION("""COMPUTED_VALUE"""),"Shiny Ursaring")</f>
        <v>Shiny Ursaring</v>
      </c>
    </row>
    <row r="39">
      <c r="A39" s="86" t="s">
        <v>761</v>
      </c>
      <c r="B39" s="87" t="s">
        <v>691</v>
      </c>
      <c r="C39" s="87" t="s">
        <v>7</v>
      </c>
      <c r="E39" s="92"/>
      <c r="F39" s="11"/>
      <c r="G39" s="11"/>
      <c r="L39" s="62" t="str">
        <f>IFERROR(__xludf.DUMMYFUNCTION("""COMPUTED_VALUE"""),"Shiny Magcargo")</f>
        <v>Shiny Magcargo</v>
      </c>
    </row>
    <row r="40">
      <c r="A40" s="86" t="s">
        <v>764</v>
      </c>
      <c r="B40" s="87" t="s">
        <v>689</v>
      </c>
      <c r="C40" s="87" t="s">
        <v>7</v>
      </c>
      <c r="E40" s="92"/>
      <c r="F40" s="11"/>
      <c r="G40" s="11"/>
      <c r="L40" s="62" t="str">
        <f>IFERROR(__xludf.DUMMYFUNCTION("""COMPUTED_VALUE"""),"Shiny Mantine")</f>
        <v>Shiny Mantine</v>
      </c>
    </row>
    <row r="41">
      <c r="A41" s="86" t="s">
        <v>768</v>
      </c>
      <c r="B41" s="87" t="s">
        <v>687</v>
      </c>
      <c r="C41" s="87" t="s">
        <v>7</v>
      </c>
      <c r="E41" s="92"/>
      <c r="F41" s="11"/>
      <c r="G41" s="11"/>
      <c r="L41" s="62" t="str">
        <f>IFERROR(__xludf.DUMMYFUNCTION("""COMPUTED_VALUE"""),"Shiny Smeargle")</f>
        <v>Shiny Smeargle</v>
      </c>
    </row>
    <row r="42">
      <c r="A42" s="86" t="s">
        <v>605</v>
      </c>
      <c r="B42" s="87" t="s">
        <v>709</v>
      </c>
      <c r="C42" s="87" t="s">
        <v>717</v>
      </c>
      <c r="E42" s="92"/>
      <c r="F42" s="11"/>
      <c r="G42" s="11"/>
      <c r="L42" s="62" t="str">
        <f>IFERROR(__xludf.DUMMYFUNCTION("""COMPUTED_VALUE"""),"Shiny Hitmontop")</f>
        <v>Shiny Hitmontop</v>
      </c>
    </row>
    <row r="43">
      <c r="A43" s="86" t="s">
        <v>602</v>
      </c>
      <c r="B43" s="86" t="s">
        <v>691</v>
      </c>
      <c r="C43" s="87" t="s">
        <v>717</v>
      </c>
      <c r="E43" s="92"/>
      <c r="F43" s="11"/>
      <c r="G43" s="11"/>
      <c r="L43" s="62" t="str">
        <f>IFERROR(__xludf.DUMMYFUNCTION("""COMPUTED_VALUE"""),"Shiny Miltank")</f>
        <v>Shiny Miltank</v>
      </c>
    </row>
    <row r="44">
      <c r="A44" s="86" t="s">
        <v>105</v>
      </c>
      <c r="B44" s="86" t="s">
        <v>689</v>
      </c>
      <c r="C44" s="87" t="s">
        <v>717</v>
      </c>
      <c r="E44" s="92"/>
      <c r="F44" s="11"/>
      <c r="G44" s="11"/>
      <c r="L44" s="62" t="str">
        <f>IFERROR(__xludf.DUMMYFUNCTION("""COMPUTED_VALUE"""),"Shiny Blissey")</f>
        <v>Shiny Blissey</v>
      </c>
    </row>
    <row r="45">
      <c r="A45" s="86" t="s">
        <v>772</v>
      </c>
      <c r="B45" s="86" t="s">
        <v>685</v>
      </c>
      <c r="C45" s="87" t="s">
        <v>717</v>
      </c>
      <c r="E45" s="92"/>
      <c r="F45" s="11"/>
      <c r="G45" s="11"/>
      <c r="L45" s="62" t="str">
        <f>IFERROR(__xludf.DUMMYFUNCTION("""COMPUTED_VALUE"""),"Shiny Beautifly")</f>
        <v>Shiny Beautifly</v>
      </c>
    </row>
    <row r="46">
      <c r="A46" s="86" t="s">
        <v>773</v>
      </c>
      <c r="B46" s="86" t="s">
        <v>691</v>
      </c>
      <c r="C46" s="87" t="s">
        <v>721</v>
      </c>
      <c r="E46" s="92"/>
      <c r="F46" s="11"/>
      <c r="G46" s="11"/>
      <c r="L46" s="62" t="str">
        <f>IFERROR(__xludf.DUMMYFUNCTION("""COMPUTED_VALUE"""),"Shiny Dustox")</f>
        <v>Shiny Dustox</v>
      </c>
    </row>
    <row r="47">
      <c r="A47" s="86" t="s">
        <v>775</v>
      </c>
      <c r="B47" s="86" t="s">
        <v>689</v>
      </c>
      <c r="C47" s="87" t="s">
        <v>721</v>
      </c>
      <c r="E47" s="92"/>
      <c r="F47" s="11"/>
      <c r="G47" s="11"/>
      <c r="L47" s="62" t="str">
        <f>IFERROR(__xludf.DUMMYFUNCTION("""COMPUTED_VALUE"""),"Shiny Ludicolo")</f>
        <v>Shiny Ludicolo</v>
      </c>
    </row>
    <row r="48">
      <c r="A48" s="86" t="s">
        <v>779</v>
      </c>
      <c r="B48" s="86" t="s">
        <v>687</v>
      </c>
      <c r="C48" s="87" t="s">
        <v>721</v>
      </c>
      <c r="E48" s="92"/>
      <c r="F48" s="11"/>
      <c r="G48" s="11"/>
      <c r="L48" s="62" t="str">
        <f>IFERROR(__xludf.DUMMYFUNCTION("""COMPUTED_VALUE"""),"Shiny Shiftry")</f>
        <v>Shiny Shiftry</v>
      </c>
    </row>
    <row r="49">
      <c r="A49" s="86" t="s">
        <v>780</v>
      </c>
      <c r="B49" s="86" t="s">
        <v>685</v>
      </c>
      <c r="C49" s="87" t="s">
        <v>721</v>
      </c>
      <c r="E49" s="92"/>
      <c r="F49" s="11"/>
      <c r="G49" s="11"/>
      <c r="L49" s="62" t="str">
        <f>IFERROR(__xludf.DUMMYFUNCTION("""COMPUTED_VALUE"""),"Shiny Pelipper")</f>
        <v>Shiny Pelipper</v>
      </c>
    </row>
    <row r="50">
      <c r="A50" s="86" t="s">
        <v>782</v>
      </c>
      <c r="B50" s="86" t="s">
        <v>689</v>
      </c>
      <c r="C50" s="87" t="s">
        <v>723</v>
      </c>
      <c r="E50" s="92"/>
      <c r="F50" s="11"/>
      <c r="G50" s="11"/>
      <c r="L50" s="62" t="str">
        <f>IFERROR(__xludf.DUMMYFUNCTION("""COMPUTED_VALUE"""),"Shiny Masquerain")</f>
        <v>Shiny Masquerain</v>
      </c>
    </row>
    <row r="51">
      <c r="A51" s="86" t="s">
        <v>783</v>
      </c>
      <c r="B51" s="86" t="s">
        <v>687</v>
      </c>
      <c r="C51" s="87" t="s">
        <v>723</v>
      </c>
      <c r="E51" s="92"/>
      <c r="F51" s="11"/>
      <c r="G51" s="11"/>
      <c r="L51" s="62" t="str">
        <f>IFERROR(__xludf.DUMMYFUNCTION("""COMPUTED_VALUE"""),"Shiny Breloom")</f>
        <v>Shiny Breloom</v>
      </c>
    </row>
    <row r="52">
      <c r="A52" s="86" t="s">
        <v>385</v>
      </c>
      <c r="B52" s="86" t="s">
        <v>685</v>
      </c>
      <c r="C52" s="87" t="s">
        <v>723</v>
      </c>
      <c r="E52" s="92"/>
      <c r="F52" s="11"/>
      <c r="G52" s="11"/>
      <c r="L52" s="62" t="str">
        <f>IFERROR(__xludf.DUMMYFUNCTION("""COMPUTED_VALUE"""),"Shiny Ninjask")</f>
        <v>Shiny Ninjask</v>
      </c>
    </row>
    <row r="53">
      <c r="A53" s="86" t="s">
        <v>784</v>
      </c>
      <c r="B53" s="86" t="s">
        <v>676</v>
      </c>
      <c r="C53" s="87" t="s">
        <v>723</v>
      </c>
      <c r="E53" s="92"/>
      <c r="F53" s="11"/>
      <c r="G53" s="11"/>
      <c r="L53" s="62" t="str">
        <f>IFERROR(__xludf.DUMMYFUNCTION("""COMPUTED_VALUE"""),"Shiny Shedinja")</f>
        <v>Shiny Shedinja</v>
      </c>
    </row>
    <row r="54">
      <c r="A54" s="86" t="s">
        <v>785</v>
      </c>
      <c r="B54" s="86" t="s">
        <v>691</v>
      </c>
      <c r="C54" s="87" t="s">
        <v>725</v>
      </c>
      <c r="E54" s="92"/>
      <c r="F54" s="11"/>
      <c r="G54" s="11"/>
      <c r="L54" s="62" t="str">
        <f>IFERROR(__xludf.DUMMYFUNCTION("""COMPUTED_VALUE"""),"Shiny Hariyama")</f>
        <v>Shiny Hariyama</v>
      </c>
    </row>
    <row r="55">
      <c r="A55" s="86" t="s">
        <v>786</v>
      </c>
      <c r="B55" s="86" t="s">
        <v>689</v>
      </c>
      <c r="C55" s="87" t="s">
        <v>725</v>
      </c>
      <c r="E55" s="92"/>
      <c r="F55" s="11"/>
      <c r="G55" s="11"/>
      <c r="L55" s="62" t="str">
        <f>IFERROR(__xludf.DUMMYFUNCTION("""COMPUTED_VALUE"""),"Shiny Delcatty")</f>
        <v>Shiny Delcatty</v>
      </c>
    </row>
    <row r="56">
      <c r="A56" s="86" t="s">
        <v>787</v>
      </c>
      <c r="B56" s="86" t="s">
        <v>687</v>
      </c>
      <c r="C56" s="87" t="s">
        <v>725</v>
      </c>
      <c r="E56" s="92"/>
      <c r="F56" s="11"/>
      <c r="G56" s="11"/>
      <c r="L56" s="62" t="str">
        <f>IFERROR(__xludf.DUMMYFUNCTION("""COMPUTED_VALUE"""),"Shiny Sableye")</f>
        <v>Shiny Sableye</v>
      </c>
    </row>
    <row r="57">
      <c r="A57" s="86" t="s">
        <v>788</v>
      </c>
      <c r="B57" s="86" t="s">
        <v>685</v>
      </c>
      <c r="C57" s="87" t="s">
        <v>725</v>
      </c>
      <c r="E57" s="92"/>
      <c r="F57" s="11"/>
      <c r="G57" s="11"/>
      <c r="L57" s="62" t="str">
        <f>IFERROR(__xludf.DUMMYFUNCTION("""COMPUTED_VALUE"""),"Shiny Mawile")</f>
        <v>Shiny Mawile</v>
      </c>
    </row>
    <row r="58">
      <c r="A58" s="86" t="s">
        <v>789</v>
      </c>
      <c r="B58" s="86" t="s">
        <v>691</v>
      </c>
      <c r="C58" s="87" t="s">
        <v>721</v>
      </c>
      <c r="E58" s="92"/>
      <c r="F58" s="11"/>
      <c r="G58" s="11"/>
      <c r="L58" s="62" t="str">
        <f>IFERROR(__xludf.DUMMYFUNCTION("""COMPUTED_VALUE"""),"Shiny Medicham")</f>
        <v>Shiny Medicham</v>
      </c>
    </row>
    <row r="59">
      <c r="A59" s="86" t="s">
        <v>790</v>
      </c>
      <c r="B59" s="86" t="s">
        <v>689</v>
      </c>
      <c r="C59" s="87" t="s">
        <v>721</v>
      </c>
      <c r="E59" s="92"/>
      <c r="F59" s="11"/>
      <c r="G59" s="11"/>
      <c r="L59" s="62" t="str">
        <f>IFERROR(__xludf.DUMMYFUNCTION("""COMPUTED_VALUE"""),"Shiny Roselia")</f>
        <v>Shiny Roselia</v>
      </c>
    </row>
    <row r="60">
      <c r="A60" s="86" t="s">
        <v>791</v>
      </c>
      <c r="B60" s="86" t="s">
        <v>689</v>
      </c>
      <c r="C60" s="87" t="s">
        <v>725</v>
      </c>
      <c r="E60" s="92"/>
      <c r="F60" s="11"/>
      <c r="G60" s="11"/>
      <c r="L60" s="62" t="str">
        <f>IFERROR(__xludf.DUMMYFUNCTION("""COMPUTED_VALUE"""),"Shiny Wailord")</f>
        <v>Shiny Wailord</v>
      </c>
    </row>
    <row r="61">
      <c r="A61" s="86" t="s">
        <v>792</v>
      </c>
      <c r="B61" s="86" t="s">
        <v>687</v>
      </c>
      <c r="C61" s="87" t="s">
        <v>725</v>
      </c>
      <c r="E61" s="92"/>
      <c r="F61" s="11"/>
      <c r="G61" s="11"/>
      <c r="L61" s="62" t="str">
        <f>IFERROR(__xludf.DUMMYFUNCTION("""COMPUTED_VALUE"""),"Shiny Camerupt")</f>
        <v>Shiny Camerupt</v>
      </c>
    </row>
    <row r="62">
      <c r="A62" s="86" t="s">
        <v>378</v>
      </c>
      <c r="B62" s="86" t="s">
        <v>685</v>
      </c>
      <c r="C62" s="87" t="s">
        <v>725</v>
      </c>
      <c r="E62" s="92"/>
      <c r="F62" s="11"/>
      <c r="G62" s="11"/>
      <c r="L62" s="62" t="str">
        <f>IFERROR(__xludf.DUMMYFUNCTION("""COMPUTED_VALUE"""),"Shiny Grumpig")</f>
        <v>Shiny Grumpig</v>
      </c>
    </row>
    <row r="63">
      <c r="A63" s="86" t="s">
        <v>793</v>
      </c>
      <c r="B63" s="86" t="s">
        <v>676</v>
      </c>
      <c r="C63" s="87" t="s">
        <v>725</v>
      </c>
      <c r="E63" s="92"/>
      <c r="F63" s="11"/>
      <c r="G63" s="11"/>
      <c r="L63" s="62" t="str">
        <f>IFERROR(__xludf.DUMMYFUNCTION("""COMPUTED_VALUE"""),"Shiny Cacturne")</f>
        <v>Shiny Cacturne</v>
      </c>
    </row>
    <row r="64">
      <c r="A64" s="86" t="s">
        <v>794</v>
      </c>
      <c r="B64" s="86" t="s">
        <v>691</v>
      </c>
      <c r="C64" s="87" t="s">
        <v>721</v>
      </c>
      <c r="E64" s="92"/>
      <c r="F64" s="11"/>
      <c r="G64" s="11"/>
      <c r="L64" s="62" t="str">
        <f>IFERROR(__xludf.DUMMYFUNCTION("""COMPUTED_VALUE"""),"Shiny Zangoose")</f>
        <v>Shiny Zangoose</v>
      </c>
    </row>
    <row r="65">
      <c r="A65" s="86" t="s">
        <v>795</v>
      </c>
      <c r="B65" s="86" t="s">
        <v>689</v>
      </c>
      <c r="C65" s="87" t="s">
        <v>721</v>
      </c>
      <c r="E65" s="92"/>
      <c r="F65" s="11"/>
      <c r="G65" s="11"/>
      <c r="L65" s="62" t="str">
        <f>IFERROR(__xludf.DUMMYFUNCTION("""COMPUTED_VALUE"""),"Shiny Lunatone")</f>
        <v>Shiny Lunatone</v>
      </c>
    </row>
    <row r="66">
      <c r="A66" s="86" t="s">
        <v>796</v>
      </c>
      <c r="B66" s="86" t="s">
        <v>689</v>
      </c>
      <c r="C66" s="87" t="s">
        <v>721</v>
      </c>
      <c r="E66" s="92"/>
      <c r="F66" s="11"/>
      <c r="G66" s="11"/>
      <c r="L66" s="62" t="str">
        <f>IFERROR(__xludf.DUMMYFUNCTION("""COMPUTED_VALUE"""),"Shiny Solrock")</f>
        <v>Shiny Solrock</v>
      </c>
    </row>
    <row r="67">
      <c r="A67" s="86" t="s">
        <v>797</v>
      </c>
      <c r="B67" s="86" t="s">
        <v>687</v>
      </c>
      <c r="C67" s="87" t="s">
        <v>721</v>
      </c>
      <c r="E67" s="92"/>
      <c r="F67" s="11"/>
      <c r="G67" s="11"/>
      <c r="L67" s="62" t="str">
        <f>IFERROR(__xludf.DUMMYFUNCTION("""COMPUTED_VALUE"""),"Shiny Whiscash")</f>
        <v>Shiny Whiscash</v>
      </c>
    </row>
    <row r="68">
      <c r="A68" s="86" t="s">
        <v>377</v>
      </c>
      <c r="B68" s="86" t="s">
        <v>685</v>
      </c>
      <c r="C68" s="87" t="s">
        <v>721</v>
      </c>
      <c r="E68" s="92"/>
      <c r="F68" s="11"/>
      <c r="G68" s="11"/>
      <c r="L68" s="62" t="str">
        <f>IFERROR(__xludf.DUMMYFUNCTION("""COMPUTED_VALUE"""),"Shiny Crawdaunt")</f>
        <v>Shiny Crawdaunt</v>
      </c>
    </row>
    <row r="69">
      <c r="A69" s="86" t="s">
        <v>798</v>
      </c>
      <c r="B69" s="86" t="s">
        <v>676</v>
      </c>
      <c r="C69" s="87" t="s">
        <v>721</v>
      </c>
      <c r="E69" s="92"/>
      <c r="F69" s="11"/>
      <c r="G69" s="11"/>
      <c r="L69" s="62" t="str">
        <f>IFERROR(__xludf.DUMMYFUNCTION("""COMPUTED_VALUE"""),"Shiny Claydol")</f>
        <v>Shiny Claydol</v>
      </c>
    </row>
    <row r="70">
      <c r="A70" s="86" t="s">
        <v>799</v>
      </c>
      <c r="B70" s="86" t="s">
        <v>691</v>
      </c>
      <c r="C70" s="87" t="s">
        <v>728</v>
      </c>
      <c r="E70" s="92"/>
      <c r="F70" s="11"/>
      <c r="G70" s="11"/>
      <c r="L70" s="62" t="str">
        <f>IFERROR(__xludf.DUMMYFUNCTION("""COMPUTED_VALUE"""),"Shiny Cradily")</f>
        <v>Shiny Cradily</v>
      </c>
    </row>
    <row r="71">
      <c r="A71" s="86" t="s">
        <v>800</v>
      </c>
      <c r="B71" s="86" t="s">
        <v>689</v>
      </c>
      <c r="C71" s="87" t="s">
        <v>728</v>
      </c>
      <c r="E71" s="92"/>
      <c r="F71" s="11"/>
      <c r="G71" s="11"/>
      <c r="L71" s="62" t="str">
        <f>IFERROR(__xludf.DUMMYFUNCTION("""COMPUTED_VALUE"""),"Shiny Kecleon")</f>
        <v>Shiny Kecleon</v>
      </c>
    </row>
    <row r="72">
      <c r="A72" s="86" t="s">
        <v>463</v>
      </c>
      <c r="B72" s="86" t="s">
        <v>687</v>
      </c>
      <c r="C72" s="87" t="s">
        <v>728</v>
      </c>
      <c r="E72" s="92"/>
      <c r="F72" s="11"/>
      <c r="G72" s="11"/>
      <c r="L72" s="62" t="str">
        <f>IFERROR(__xludf.DUMMYFUNCTION("""COMPUTED_VALUE"""),"Shiny Banette")</f>
        <v>Shiny Banette</v>
      </c>
    </row>
    <row r="73">
      <c r="A73" s="86" t="s">
        <v>571</v>
      </c>
      <c r="B73" s="86" t="s">
        <v>685</v>
      </c>
      <c r="C73" s="87" t="s">
        <v>728</v>
      </c>
      <c r="E73" s="92"/>
      <c r="F73" s="11"/>
      <c r="G73" s="11"/>
      <c r="L73" s="62" t="str">
        <f>IFERROR(__xludf.DUMMYFUNCTION("""COMPUTED_VALUE"""),"Shiny Dusclops")</f>
        <v>Shiny Dusclops</v>
      </c>
    </row>
    <row r="74">
      <c r="A74" s="87" t="s">
        <v>801</v>
      </c>
      <c r="B74" s="87" t="s">
        <v>676</v>
      </c>
      <c r="C74" s="87" t="s">
        <v>728</v>
      </c>
      <c r="E74" s="92"/>
      <c r="F74" s="11"/>
      <c r="G74" s="11"/>
      <c r="L74" s="62" t="str">
        <f>IFERROR(__xludf.DUMMYFUNCTION("""COMPUTED_VALUE"""),"Shiny Chimecho")</f>
        <v>Shiny Chimecho</v>
      </c>
    </row>
    <row r="75">
      <c r="A75" s="86" t="s">
        <v>802</v>
      </c>
      <c r="B75" s="86" t="s">
        <v>691</v>
      </c>
      <c r="C75" s="87" t="s">
        <v>710</v>
      </c>
      <c r="E75" s="92"/>
      <c r="F75" s="11"/>
      <c r="G75" s="11"/>
      <c r="L75" s="62" t="str">
        <f>IFERROR(__xludf.DUMMYFUNCTION("""COMPUTED_VALUE"""),"Shiny Huntail")</f>
        <v>Shiny Huntail</v>
      </c>
    </row>
    <row r="76">
      <c r="A76" s="86" t="s">
        <v>803</v>
      </c>
      <c r="B76" s="86" t="s">
        <v>689</v>
      </c>
      <c r="C76" s="87" t="s">
        <v>710</v>
      </c>
      <c r="E76" s="92"/>
      <c r="F76" s="11"/>
      <c r="G76" s="11"/>
      <c r="L76" s="62" t="str">
        <f>IFERROR(__xludf.DUMMYFUNCTION("""COMPUTED_VALUE"""),"Shiny Gorebyss")</f>
        <v>Shiny Gorebyss</v>
      </c>
    </row>
    <row r="77">
      <c r="A77" s="86" t="s">
        <v>379</v>
      </c>
      <c r="B77" s="86" t="s">
        <v>685</v>
      </c>
      <c r="C77" s="87" t="s">
        <v>710</v>
      </c>
      <c r="E77" s="92"/>
      <c r="F77" s="11"/>
      <c r="G77" s="11"/>
      <c r="L77" s="62" t="str">
        <f>IFERROR(__xludf.DUMMYFUNCTION("""COMPUTED_VALUE"""),"Shiny Relicanth")</f>
        <v>Shiny Relicanth</v>
      </c>
    </row>
    <row r="78">
      <c r="A78" s="86" t="s">
        <v>804</v>
      </c>
      <c r="B78" s="86" t="s">
        <v>676</v>
      </c>
      <c r="C78" s="87" t="s">
        <v>710</v>
      </c>
      <c r="E78" s="92"/>
      <c r="F78" s="11"/>
      <c r="G78" s="11"/>
      <c r="L78" s="62" t="str">
        <f>IFERROR(__xludf.DUMMYFUNCTION("""COMPUTED_VALUE"""),"Shiny Metang")</f>
        <v>Shiny Metang</v>
      </c>
    </row>
    <row r="79">
      <c r="A79" s="86" t="s">
        <v>805</v>
      </c>
      <c r="B79" s="86" t="s">
        <v>691</v>
      </c>
      <c r="C79" s="87" t="s">
        <v>728</v>
      </c>
      <c r="E79" s="92"/>
      <c r="F79" s="11"/>
      <c r="G79" s="11"/>
      <c r="L79" s="62" t="str">
        <f>IFERROR(__xludf.DUMMYFUNCTION("""COMPUTED_VALUE"""),"Torterra")</f>
        <v>Torterra</v>
      </c>
    </row>
    <row r="80">
      <c r="A80" s="86" t="s">
        <v>807</v>
      </c>
      <c r="B80" s="86" t="s">
        <v>689</v>
      </c>
      <c r="C80" s="87" t="s">
        <v>728</v>
      </c>
      <c r="E80" s="92"/>
      <c r="F80" s="11"/>
      <c r="G80" s="11"/>
      <c r="L80" s="62" t="str">
        <f>IFERROR(__xludf.DUMMYFUNCTION("""COMPUTED_VALUE"""),"Infernape")</f>
        <v>Infernape</v>
      </c>
    </row>
    <row r="81">
      <c r="A81" s="86" t="s">
        <v>468</v>
      </c>
      <c r="B81" s="86" t="s">
        <v>687</v>
      </c>
      <c r="C81" s="87" t="s">
        <v>728</v>
      </c>
      <c r="E81" s="92"/>
      <c r="F81" s="11"/>
      <c r="G81" s="11"/>
      <c r="L81" s="62" t="str">
        <f>IFERROR(__xludf.DUMMYFUNCTION("""COMPUTED_VALUE"""),"Luxray")</f>
        <v>Luxray</v>
      </c>
    </row>
    <row r="82">
      <c r="A82" s="86" t="s">
        <v>576</v>
      </c>
      <c r="B82" s="86" t="s">
        <v>683</v>
      </c>
      <c r="C82" s="87" t="s">
        <v>728</v>
      </c>
      <c r="E82" s="92"/>
      <c r="F82" s="11"/>
      <c r="G82" s="11"/>
      <c r="L82" s="62" t="str">
        <f>IFERROR(__xludf.DUMMYFUNCTION("""COMPUTED_VALUE"""),"Rampardos")</f>
        <v>Rampardos</v>
      </c>
    </row>
    <row r="83">
      <c r="A83" s="86" t="s">
        <v>808</v>
      </c>
      <c r="B83" s="86" t="s">
        <v>709</v>
      </c>
      <c r="C83" s="87" t="s">
        <v>721</v>
      </c>
      <c r="E83" s="92"/>
      <c r="F83" s="11"/>
      <c r="G83" s="11"/>
      <c r="L83" s="62" t="str">
        <f>IFERROR(__xludf.DUMMYFUNCTION("""COMPUTED_VALUE"""),"Rhyperior")</f>
        <v>Rhyperior</v>
      </c>
    </row>
    <row r="84">
      <c r="A84" s="86" t="s">
        <v>809</v>
      </c>
      <c r="B84" s="86" t="s">
        <v>689</v>
      </c>
      <c r="C84" s="87" t="s">
        <v>717</v>
      </c>
      <c r="E84" s="92"/>
      <c r="F84" s="11"/>
      <c r="G84" s="11"/>
      <c r="L84" s="62" t="str">
        <f>IFERROR(__xludf.DUMMYFUNCTION("""COMPUTED_VALUE"""),"Tangrowth")</f>
        <v>Tangrowth</v>
      </c>
    </row>
    <row r="85">
      <c r="A85" s="86" t="s">
        <v>32</v>
      </c>
      <c r="B85" s="86" t="s">
        <v>689</v>
      </c>
      <c r="C85" s="87" t="s">
        <v>721</v>
      </c>
      <c r="E85" s="92"/>
      <c r="F85" s="11"/>
      <c r="G85" s="11"/>
      <c r="L85" s="62" t="str">
        <f>IFERROR(__xludf.DUMMYFUNCTION("""COMPUTED_VALUE"""),"Gliscor")</f>
        <v>Gliscor</v>
      </c>
    </row>
    <row r="86">
      <c r="A86" s="86" t="s">
        <v>810</v>
      </c>
      <c r="B86" s="86" t="s">
        <v>687</v>
      </c>
      <c r="C86" s="87" t="s">
        <v>717</v>
      </c>
      <c r="E86" s="92"/>
      <c r="F86" s="11"/>
      <c r="G86" s="11"/>
      <c r="L86" s="62" t="str">
        <f>IFERROR(__xludf.DUMMYFUNCTION("""COMPUTED_VALUE"""),"Dusknoir")</f>
        <v>Dusknoir</v>
      </c>
    </row>
    <row r="87">
      <c r="A87" s="86" t="s">
        <v>9</v>
      </c>
      <c r="B87" s="86" t="s">
        <v>709</v>
      </c>
      <c r="C87" s="87" t="s">
        <v>708</v>
      </c>
      <c r="E87" s="92"/>
      <c r="F87" s="11"/>
      <c r="G87" s="11"/>
      <c r="L87" s="62" t="str">
        <f>IFERROR(__xludf.DUMMYFUNCTION("""COMPUTED_VALUE"""),"Garbodor")</f>
        <v>Garbodor</v>
      </c>
    </row>
    <row r="88">
      <c r="A88" s="86" t="s">
        <v>811</v>
      </c>
      <c r="B88" s="86" t="s">
        <v>691</v>
      </c>
      <c r="C88" s="87" t="s">
        <v>721</v>
      </c>
      <c r="E88" s="92"/>
      <c r="F88" s="11"/>
      <c r="G88" s="11"/>
      <c r="L88" s="62" t="str">
        <f>IFERROR(__xludf.DUMMYFUNCTION("""COMPUTED_VALUE"""),"Shiny Druddigon")</f>
        <v>Shiny Druddigon</v>
      </c>
    </row>
    <row r="89">
      <c r="A89" s="86" t="s">
        <v>13</v>
      </c>
      <c r="B89" s="86" t="s">
        <v>689</v>
      </c>
      <c r="C89" s="87" t="s">
        <v>721</v>
      </c>
      <c r="E89" s="92"/>
      <c r="F89" s="11"/>
      <c r="G89" s="11"/>
      <c r="L89" s="62" t="str">
        <f>IFERROR(__xludf.DUMMYFUNCTION("""COMPUTED_VALUE"""),"Gogoat")</f>
        <v>Gogoat</v>
      </c>
    </row>
    <row r="90">
      <c r="A90" s="86" t="s">
        <v>812</v>
      </c>
      <c r="B90" s="86" t="s">
        <v>687</v>
      </c>
      <c r="C90" s="87" t="s">
        <v>721</v>
      </c>
      <c r="E90" s="92"/>
      <c r="F90" s="11"/>
      <c r="G90" s="11"/>
    </row>
    <row r="91">
      <c r="A91" s="86" t="s">
        <v>813</v>
      </c>
      <c r="B91" s="86" t="s">
        <v>687</v>
      </c>
      <c r="C91" s="87" t="s">
        <v>708</v>
      </c>
      <c r="E91" s="92"/>
      <c r="F91" s="11"/>
      <c r="G91" s="11"/>
    </row>
    <row r="92">
      <c r="A92" s="86" t="s">
        <v>814</v>
      </c>
      <c r="B92" s="86" t="s">
        <v>685</v>
      </c>
      <c r="C92" s="87" t="s">
        <v>708</v>
      </c>
      <c r="E92" s="92"/>
      <c r="F92" s="11"/>
      <c r="G92" s="11"/>
    </row>
    <row r="93">
      <c r="A93" s="86" t="s">
        <v>815</v>
      </c>
      <c r="B93" s="86" t="s">
        <v>709</v>
      </c>
      <c r="C93" s="87" t="s">
        <v>715</v>
      </c>
      <c r="E93" s="92"/>
      <c r="F93" s="11"/>
      <c r="G93" s="11"/>
    </row>
    <row r="94">
      <c r="A94" s="86" t="s">
        <v>816</v>
      </c>
      <c r="B94" s="86" t="s">
        <v>689</v>
      </c>
      <c r="C94" s="87" t="s">
        <v>715</v>
      </c>
      <c r="E94" s="92"/>
      <c r="F94" s="11"/>
      <c r="G94" s="11"/>
    </row>
    <row r="95">
      <c r="A95" s="86" t="s">
        <v>817</v>
      </c>
      <c r="B95" s="86" t="s">
        <v>689</v>
      </c>
      <c r="C95" s="87" t="s">
        <v>715</v>
      </c>
      <c r="E95" s="92"/>
      <c r="F95" s="11"/>
      <c r="G95" s="11"/>
    </row>
    <row r="96">
      <c r="A96" s="86" t="s">
        <v>818</v>
      </c>
      <c r="B96" s="86" t="s">
        <v>687</v>
      </c>
      <c r="C96" s="87" t="s">
        <v>715</v>
      </c>
      <c r="E96" s="92"/>
      <c r="F96" s="11"/>
      <c r="G96" s="11"/>
    </row>
    <row r="97">
      <c r="A97" s="86" t="s">
        <v>819</v>
      </c>
      <c r="B97" s="86" t="s">
        <v>691</v>
      </c>
      <c r="C97" s="87" t="s">
        <v>721</v>
      </c>
      <c r="E97" s="92"/>
      <c r="F97" s="11"/>
      <c r="G97" s="11"/>
    </row>
    <row r="98">
      <c r="A98" s="86" t="s">
        <v>820</v>
      </c>
      <c r="B98" s="86" t="s">
        <v>689</v>
      </c>
      <c r="C98" s="87" t="s">
        <v>715</v>
      </c>
      <c r="E98" s="92"/>
      <c r="F98" s="11"/>
      <c r="G98" s="11"/>
    </row>
    <row r="99">
      <c r="A99" s="86" t="s">
        <v>821</v>
      </c>
      <c r="B99" s="86" t="s">
        <v>687</v>
      </c>
      <c r="C99" s="87" t="s">
        <v>715</v>
      </c>
      <c r="E99" s="92"/>
      <c r="F99" s="11"/>
      <c r="G99" s="11"/>
    </row>
    <row r="100">
      <c r="A100" s="86" t="s">
        <v>822</v>
      </c>
      <c r="B100" s="86" t="s">
        <v>683</v>
      </c>
      <c r="C100" s="87" t="s">
        <v>715</v>
      </c>
      <c r="E100" s="92"/>
      <c r="F100" s="11"/>
      <c r="G100" s="11"/>
    </row>
    <row r="101">
      <c r="A101" s="86" t="s">
        <v>823</v>
      </c>
      <c r="B101" s="86" t="s">
        <v>691</v>
      </c>
      <c r="C101" s="87" t="s">
        <v>725</v>
      </c>
      <c r="E101" s="92"/>
      <c r="F101" s="11"/>
      <c r="G101" s="11"/>
    </row>
    <row r="102">
      <c r="A102" s="86" t="s">
        <v>824</v>
      </c>
      <c r="B102" s="86" t="s">
        <v>689</v>
      </c>
      <c r="C102" s="87" t="s">
        <v>725</v>
      </c>
      <c r="E102" s="92"/>
      <c r="F102" s="11"/>
      <c r="G102" s="11"/>
    </row>
    <row r="103">
      <c r="A103" s="86" t="s">
        <v>825</v>
      </c>
      <c r="B103" s="86" t="s">
        <v>687</v>
      </c>
      <c r="C103" s="87" t="s">
        <v>725</v>
      </c>
      <c r="E103" s="92"/>
      <c r="F103" s="11"/>
      <c r="G103" s="11"/>
    </row>
    <row r="104">
      <c r="A104" s="86" t="s">
        <v>826</v>
      </c>
      <c r="B104" s="86" t="s">
        <v>685</v>
      </c>
      <c r="C104" s="87" t="s">
        <v>725</v>
      </c>
      <c r="E104" s="92"/>
      <c r="F104" s="11"/>
      <c r="G104" s="11"/>
    </row>
    <row r="105">
      <c r="A105" s="86" t="s">
        <v>827</v>
      </c>
      <c r="B105" s="86" t="s">
        <v>691</v>
      </c>
      <c r="C105" s="87" t="s">
        <v>731</v>
      </c>
      <c r="E105" s="92"/>
      <c r="F105" s="11"/>
      <c r="G105" s="11"/>
    </row>
    <row r="106">
      <c r="A106" s="86" t="s">
        <v>828</v>
      </c>
      <c r="B106" s="86" t="s">
        <v>689</v>
      </c>
      <c r="C106" s="87" t="s">
        <v>731</v>
      </c>
      <c r="E106" s="92"/>
      <c r="F106" s="11"/>
      <c r="G106" s="11"/>
    </row>
    <row r="107">
      <c r="A107" s="86" t="s">
        <v>829</v>
      </c>
      <c r="B107" s="86" t="s">
        <v>687</v>
      </c>
      <c r="C107" s="87" t="s">
        <v>731</v>
      </c>
      <c r="E107" s="92"/>
      <c r="F107" s="11"/>
      <c r="G107" s="11"/>
    </row>
    <row r="108">
      <c r="A108" s="86" t="s">
        <v>830</v>
      </c>
      <c r="B108" s="86" t="s">
        <v>683</v>
      </c>
      <c r="C108" s="87" t="s">
        <v>731</v>
      </c>
      <c r="E108" s="92"/>
      <c r="F108" s="11"/>
      <c r="G108" s="11"/>
    </row>
    <row r="109">
      <c r="A109" s="86" t="s">
        <v>831</v>
      </c>
      <c r="B109" s="86" t="s">
        <v>691</v>
      </c>
      <c r="C109" s="87" t="s">
        <v>732</v>
      </c>
      <c r="E109" s="92"/>
      <c r="F109" s="11"/>
      <c r="G109" s="11"/>
    </row>
    <row r="110">
      <c r="A110" s="86" t="s">
        <v>832</v>
      </c>
      <c r="B110" s="86" t="s">
        <v>689</v>
      </c>
      <c r="C110" s="87" t="s">
        <v>732</v>
      </c>
      <c r="E110" s="92"/>
      <c r="F110" s="11"/>
      <c r="G110" s="11"/>
    </row>
    <row r="111">
      <c r="A111" s="86" t="s">
        <v>617</v>
      </c>
      <c r="B111" s="86" t="s">
        <v>687</v>
      </c>
      <c r="C111" s="87" t="s">
        <v>712</v>
      </c>
      <c r="E111" s="92"/>
      <c r="F111" s="11"/>
      <c r="G111" s="11"/>
    </row>
    <row r="112">
      <c r="A112" s="86" t="s">
        <v>833</v>
      </c>
      <c r="B112" s="86" t="s">
        <v>685</v>
      </c>
      <c r="C112" s="87" t="s">
        <v>712</v>
      </c>
      <c r="E112" s="92"/>
      <c r="F112" s="11"/>
      <c r="G112" s="11"/>
    </row>
    <row r="113">
      <c r="A113" s="86" t="s">
        <v>11</v>
      </c>
      <c r="B113" s="86" t="s">
        <v>691</v>
      </c>
      <c r="C113" s="87" t="s">
        <v>734</v>
      </c>
      <c r="E113" s="92"/>
      <c r="F113" s="11"/>
      <c r="G113" s="11"/>
    </row>
    <row r="114">
      <c r="A114" s="86" t="s">
        <v>834</v>
      </c>
      <c r="B114" s="86" t="s">
        <v>689</v>
      </c>
      <c r="C114" s="87" t="s">
        <v>734</v>
      </c>
      <c r="E114" s="92"/>
      <c r="F114" s="11"/>
      <c r="G114" s="11"/>
    </row>
    <row r="115">
      <c r="A115" s="86" t="s">
        <v>835</v>
      </c>
      <c r="B115" s="86" t="s">
        <v>687</v>
      </c>
      <c r="C115" s="87" t="s">
        <v>734</v>
      </c>
      <c r="E115" s="92"/>
      <c r="F115" s="11"/>
      <c r="G115" s="11"/>
    </row>
    <row r="116">
      <c r="A116" s="86" t="s">
        <v>836</v>
      </c>
      <c r="B116" s="86" t="s">
        <v>685</v>
      </c>
      <c r="C116" s="87" t="s">
        <v>734</v>
      </c>
      <c r="E116" s="92"/>
      <c r="F116" s="11"/>
      <c r="G116" s="11"/>
    </row>
    <row r="117">
      <c r="A117" s="86" t="s">
        <v>838</v>
      </c>
      <c r="B117" s="86" t="s">
        <v>691</v>
      </c>
      <c r="C117" s="87" t="s">
        <v>710</v>
      </c>
      <c r="E117" s="92"/>
      <c r="F117" s="11"/>
      <c r="G117" s="11"/>
    </row>
    <row r="118">
      <c r="A118" s="86" t="s">
        <v>839</v>
      </c>
      <c r="B118" s="86" t="s">
        <v>689</v>
      </c>
      <c r="C118" s="87" t="s">
        <v>710</v>
      </c>
      <c r="E118" s="92"/>
      <c r="F118" s="11"/>
      <c r="G118" s="11"/>
    </row>
    <row r="119">
      <c r="A119" s="86" t="s">
        <v>414</v>
      </c>
      <c r="B119" s="86" t="s">
        <v>683</v>
      </c>
      <c r="C119" s="87" t="s">
        <v>710</v>
      </c>
      <c r="E119" s="92"/>
      <c r="F119" s="11"/>
      <c r="G119" s="11"/>
    </row>
    <row r="120">
      <c r="A120" s="86" t="s">
        <v>841</v>
      </c>
      <c r="B120" s="86" t="s">
        <v>654</v>
      </c>
      <c r="C120" s="87" t="s">
        <v>710</v>
      </c>
      <c r="E120" s="92"/>
      <c r="F120" s="11"/>
      <c r="G120" s="11"/>
    </row>
    <row r="121">
      <c r="A121" s="86" t="s">
        <v>842</v>
      </c>
      <c r="B121" s="86" t="s">
        <v>691</v>
      </c>
      <c r="C121" s="87" t="s">
        <v>712</v>
      </c>
      <c r="E121" s="92"/>
      <c r="F121" s="11"/>
      <c r="G121" s="11"/>
    </row>
    <row r="122">
      <c r="A122" s="86" t="s">
        <v>843</v>
      </c>
      <c r="B122" s="86" t="s">
        <v>689</v>
      </c>
      <c r="C122" s="87" t="s">
        <v>712</v>
      </c>
      <c r="E122" s="92"/>
      <c r="F122" s="11"/>
      <c r="G122" s="11"/>
    </row>
    <row r="123">
      <c r="A123" s="86" t="s">
        <v>846</v>
      </c>
      <c r="B123" s="86" t="s">
        <v>689</v>
      </c>
      <c r="C123" s="87" t="s">
        <v>712</v>
      </c>
      <c r="E123" s="92"/>
      <c r="F123" s="11"/>
      <c r="G123" s="11"/>
    </row>
    <row r="124">
      <c r="A124" s="86" t="s">
        <v>847</v>
      </c>
      <c r="B124" s="86" t="s">
        <v>687</v>
      </c>
      <c r="C124" s="87" t="s">
        <v>712</v>
      </c>
      <c r="E124" s="92"/>
      <c r="F124" s="11"/>
      <c r="G124" s="11"/>
    </row>
    <row r="125">
      <c r="A125" s="86" t="s">
        <v>384</v>
      </c>
      <c r="B125" s="86" t="s">
        <v>685</v>
      </c>
      <c r="C125" s="87" t="s">
        <v>734</v>
      </c>
      <c r="E125" s="92"/>
      <c r="F125" s="11"/>
      <c r="G125" s="11"/>
    </row>
    <row r="126">
      <c r="A126" s="86" t="s">
        <v>850</v>
      </c>
      <c r="B126" s="86" t="s">
        <v>676</v>
      </c>
      <c r="C126" s="87" t="s">
        <v>734</v>
      </c>
      <c r="E126" s="92"/>
      <c r="F126" s="11"/>
      <c r="G126" s="11"/>
    </row>
    <row r="127">
      <c r="A127" s="86" t="s">
        <v>851</v>
      </c>
      <c r="B127" s="86" t="s">
        <v>691</v>
      </c>
      <c r="C127" s="87" t="s">
        <v>732</v>
      </c>
      <c r="E127" s="92"/>
      <c r="F127" s="11"/>
      <c r="G127" s="11"/>
    </row>
    <row r="128">
      <c r="A128" s="86" t="s">
        <v>852</v>
      </c>
      <c r="B128" s="86" t="s">
        <v>689</v>
      </c>
      <c r="C128" s="87" t="s">
        <v>732</v>
      </c>
      <c r="E128" s="92"/>
      <c r="F128" s="11"/>
      <c r="G128" s="11"/>
    </row>
    <row r="129">
      <c r="A129" s="86" t="s">
        <v>853</v>
      </c>
      <c r="B129" s="86" t="s">
        <v>689</v>
      </c>
      <c r="C129" s="87" t="s">
        <v>732</v>
      </c>
      <c r="E129" s="92"/>
      <c r="F129" s="11"/>
      <c r="G129" s="11"/>
    </row>
    <row r="130">
      <c r="A130" s="86" t="s">
        <v>854</v>
      </c>
      <c r="B130" s="86" t="s">
        <v>687</v>
      </c>
      <c r="C130" s="87" t="s">
        <v>732</v>
      </c>
      <c r="E130" s="92"/>
      <c r="F130" s="11"/>
      <c r="G130" s="11"/>
    </row>
    <row r="131">
      <c r="A131" s="86" t="s">
        <v>555</v>
      </c>
      <c r="B131" s="86" t="s">
        <v>683</v>
      </c>
      <c r="C131" s="87" t="s">
        <v>732</v>
      </c>
      <c r="E131" s="92"/>
      <c r="F131" s="11"/>
      <c r="G131" s="11"/>
    </row>
    <row r="132">
      <c r="A132" s="86" t="s">
        <v>857</v>
      </c>
      <c r="B132" s="86" t="s">
        <v>660</v>
      </c>
      <c r="C132" s="87" t="s">
        <v>732</v>
      </c>
      <c r="E132" s="92"/>
      <c r="F132" s="11"/>
      <c r="G132" s="11"/>
    </row>
    <row r="133">
      <c r="A133" s="86" t="s">
        <v>448</v>
      </c>
      <c r="B133" s="86" t="s">
        <v>691</v>
      </c>
      <c r="C133" s="87" t="s">
        <v>734</v>
      </c>
      <c r="E133" s="92"/>
      <c r="F133" s="11"/>
      <c r="G133" s="11"/>
    </row>
    <row r="134">
      <c r="A134" s="86" t="s">
        <v>858</v>
      </c>
      <c r="B134" s="86" t="s">
        <v>689</v>
      </c>
      <c r="C134" s="87" t="s">
        <v>734</v>
      </c>
      <c r="E134" s="92"/>
      <c r="F134" s="11"/>
      <c r="G134" s="11"/>
    </row>
    <row r="135">
      <c r="A135" s="86" t="s">
        <v>859</v>
      </c>
      <c r="B135" s="86" t="s">
        <v>689</v>
      </c>
      <c r="C135" s="87" t="s">
        <v>734</v>
      </c>
      <c r="E135" s="92"/>
      <c r="F135" s="11"/>
      <c r="G135" s="11"/>
    </row>
    <row r="136">
      <c r="A136" s="86" t="s">
        <v>860</v>
      </c>
      <c r="B136" s="86" t="s">
        <v>687</v>
      </c>
      <c r="C136" s="87" t="s">
        <v>734</v>
      </c>
      <c r="E136" s="92"/>
      <c r="F136" s="11"/>
      <c r="G136" s="11"/>
    </row>
    <row r="137">
      <c r="A137" s="86" t="s">
        <v>406</v>
      </c>
      <c r="B137" s="87" t="s">
        <v>683</v>
      </c>
      <c r="C137" s="87" t="s">
        <v>734</v>
      </c>
      <c r="E137" s="92"/>
      <c r="F137" s="11"/>
      <c r="G137" s="11"/>
    </row>
    <row r="138">
      <c r="A138" s="86" t="s">
        <v>861</v>
      </c>
      <c r="B138" s="86" t="s">
        <v>654</v>
      </c>
      <c r="C138" s="87" t="s">
        <v>734</v>
      </c>
      <c r="E138" s="92"/>
      <c r="F138" s="11"/>
      <c r="G138" s="11"/>
    </row>
    <row r="139">
      <c r="A139" s="86" t="s">
        <v>862</v>
      </c>
      <c r="B139" s="86" t="s">
        <v>709</v>
      </c>
      <c r="C139" s="87" t="s">
        <v>708</v>
      </c>
      <c r="E139" s="92"/>
      <c r="F139" s="11"/>
      <c r="G139" s="11"/>
    </row>
    <row r="140">
      <c r="A140" s="86" t="s">
        <v>863</v>
      </c>
      <c r="B140" s="86" t="s">
        <v>689</v>
      </c>
      <c r="C140" s="87" t="s">
        <v>708</v>
      </c>
      <c r="E140" s="92"/>
      <c r="F140" s="11"/>
      <c r="G140" s="11"/>
    </row>
    <row r="141">
      <c r="A141" s="86" t="s">
        <v>864</v>
      </c>
      <c r="B141" s="86" t="s">
        <v>689</v>
      </c>
      <c r="C141" s="87" t="s">
        <v>708</v>
      </c>
      <c r="E141" s="92"/>
      <c r="F141" s="11"/>
      <c r="G141" s="11"/>
    </row>
    <row r="142">
      <c r="A142" s="86" t="s">
        <v>866</v>
      </c>
      <c r="B142" s="86" t="s">
        <v>687</v>
      </c>
      <c r="C142" s="87" t="s">
        <v>708</v>
      </c>
      <c r="E142" s="92"/>
      <c r="F142" s="11"/>
      <c r="G142" s="11"/>
    </row>
    <row r="143">
      <c r="A143" s="86" t="s">
        <v>867</v>
      </c>
      <c r="B143" s="86" t="s">
        <v>687</v>
      </c>
      <c r="C143" s="87" t="s">
        <v>708</v>
      </c>
      <c r="E143" s="92"/>
      <c r="F143" s="11"/>
      <c r="G143" s="11"/>
    </row>
    <row r="144">
      <c r="A144" s="86" t="s">
        <v>870</v>
      </c>
      <c r="B144" s="87" t="s">
        <v>683</v>
      </c>
      <c r="C144" s="87" t="s">
        <v>708</v>
      </c>
      <c r="E144" s="92"/>
      <c r="F144" s="11"/>
      <c r="G144" s="11"/>
    </row>
    <row r="145">
      <c r="A145" s="86" t="s">
        <v>871</v>
      </c>
      <c r="B145" s="86" t="s">
        <v>691</v>
      </c>
      <c r="C145" s="87" t="s">
        <v>712</v>
      </c>
      <c r="E145" s="92"/>
      <c r="F145" s="11"/>
      <c r="G145" s="11"/>
    </row>
    <row r="146">
      <c r="A146" s="86" t="s">
        <v>873</v>
      </c>
      <c r="B146" s="86" t="s">
        <v>689</v>
      </c>
      <c r="C146" s="87" t="s">
        <v>712</v>
      </c>
      <c r="E146" s="92"/>
      <c r="F146" s="11"/>
      <c r="G146" s="11"/>
    </row>
    <row r="147">
      <c r="A147" s="86" t="s">
        <v>391</v>
      </c>
      <c r="B147" s="86" t="s">
        <v>685</v>
      </c>
      <c r="C147" s="87" t="s">
        <v>721</v>
      </c>
      <c r="E147" s="92"/>
      <c r="F147" s="11"/>
      <c r="G147" s="11"/>
    </row>
    <row r="148">
      <c r="A148" s="86" t="s">
        <v>874</v>
      </c>
      <c r="B148" s="86" t="s">
        <v>676</v>
      </c>
      <c r="C148" s="87" t="s">
        <v>721</v>
      </c>
      <c r="E148" s="92"/>
      <c r="F148" s="11"/>
      <c r="G148" s="11"/>
    </row>
    <row r="149">
      <c r="A149" s="86" t="s">
        <v>10</v>
      </c>
      <c r="B149" s="86" t="s">
        <v>691</v>
      </c>
      <c r="C149" s="87" t="s">
        <v>736</v>
      </c>
      <c r="E149" s="92"/>
      <c r="F149" s="11"/>
      <c r="G149" s="11"/>
    </row>
    <row r="150">
      <c r="A150" s="86" t="s">
        <v>875</v>
      </c>
      <c r="B150" s="86" t="s">
        <v>689</v>
      </c>
      <c r="C150" s="87" t="s">
        <v>736</v>
      </c>
      <c r="E150" s="92"/>
      <c r="F150" s="11"/>
      <c r="G150" s="11"/>
    </row>
    <row r="151">
      <c r="A151" s="86" t="s">
        <v>18</v>
      </c>
      <c r="B151" s="86" t="s">
        <v>689</v>
      </c>
      <c r="C151" s="87" t="s">
        <v>736</v>
      </c>
      <c r="E151" s="92"/>
      <c r="F151" s="11"/>
      <c r="G151" s="11"/>
    </row>
    <row r="152">
      <c r="A152" s="86" t="s">
        <v>876</v>
      </c>
      <c r="B152" s="86" t="s">
        <v>687</v>
      </c>
      <c r="C152" s="87" t="s">
        <v>736</v>
      </c>
      <c r="E152" s="92"/>
      <c r="F152" s="11"/>
      <c r="G152" s="11"/>
    </row>
    <row r="153">
      <c r="A153" s="86" t="s">
        <v>364</v>
      </c>
      <c r="B153" s="86" t="s">
        <v>685</v>
      </c>
      <c r="C153" s="87" t="s">
        <v>736</v>
      </c>
      <c r="E153" s="92"/>
      <c r="F153" s="11"/>
      <c r="G153" s="11"/>
    </row>
    <row r="154">
      <c r="A154" s="86" t="s">
        <v>878</v>
      </c>
      <c r="B154" s="86" t="s">
        <v>676</v>
      </c>
      <c r="C154" s="87" t="s">
        <v>736</v>
      </c>
      <c r="E154" s="92"/>
      <c r="F154" s="11"/>
      <c r="G154" s="11"/>
    </row>
    <row r="155">
      <c r="A155" s="86" t="s">
        <v>589</v>
      </c>
      <c r="B155" s="86" t="s">
        <v>691</v>
      </c>
      <c r="C155" s="87" t="s">
        <v>710</v>
      </c>
      <c r="E155" s="92"/>
      <c r="F155" s="11"/>
      <c r="G155" s="11"/>
    </row>
    <row r="156">
      <c r="A156" s="86" t="s">
        <v>593</v>
      </c>
      <c r="B156" s="86" t="s">
        <v>689</v>
      </c>
      <c r="C156" s="87" t="s">
        <v>710</v>
      </c>
      <c r="E156" s="92"/>
      <c r="F156" s="11"/>
      <c r="G156" s="11"/>
    </row>
    <row r="157">
      <c r="A157" s="86" t="s">
        <v>386</v>
      </c>
      <c r="B157" s="86" t="s">
        <v>685</v>
      </c>
      <c r="C157" s="87" t="s">
        <v>710</v>
      </c>
      <c r="E157" s="92"/>
      <c r="F157" s="11"/>
      <c r="G157" s="11"/>
    </row>
    <row r="158">
      <c r="A158" s="86" t="s">
        <v>882</v>
      </c>
      <c r="B158" s="86" t="s">
        <v>676</v>
      </c>
      <c r="C158" s="87" t="s">
        <v>710</v>
      </c>
      <c r="E158" s="92"/>
      <c r="F158" s="11"/>
      <c r="G158" s="11"/>
    </row>
    <row r="159">
      <c r="A159" s="86" t="s">
        <v>883</v>
      </c>
      <c r="B159" s="86" t="s">
        <v>691</v>
      </c>
      <c r="C159" s="87" t="s">
        <v>712</v>
      </c>
      <c r="E159" s="92"/>
      <c r="F159" s="11"/>
      <c r="G159" s="11"/>
    </row>
    <row r="160">
      <c r="A160" s="86" t="s">
        <v>884</v>
      </c>
      <c r="B160" s="86" t="s">
        <v>689</v>
      </c>
      <c r="C160" s="87" t="s">
        <v>712</v>
      </c>
      <c r="E160" s="92"/>
      <c r="F160" s="11"/>
      <c r="G160" s="11"/>
    </row>
    <row r="161">
      <c r="A161" s="86" t="s">
        <v>885</v>
      </c>
      <c r="B161" s="86" t="s">
        <v>689</v>
      </c>
      <c r="C161" s="87" t="s">
        <v>732</v>
      </c>
      <c r="E161" s="92"/>
      <c r="F161" s="11"/>
      <c r="G161" s="11"/>
    </row>
    <row r="162">
      <c r="A162" s="86" t="s">
        <v>886</v>
      </c>
      <c r="B162" s="86" t="s">
        <v>687</v>
      </c>
      <c r="C162" s="87" t="s">
        <v>732</v>
      </c>
      <c r="E162" s="92"/>
      <c r="F162" s="11"/>
      <c r="G162" s="11"/>
    </row>
    <row r="163">
      <c r="A163" s="86" t="s">
        <v>564</v>
      </c>
      <c r="B163" s="86" t="s">
        <v>691</v>
      </c>
      <c r="C163" s="87" t="s">
        <v>723</v>
      </c>
      <c r="E163" s="92"/>
      <c r="F163" s="11"/>
      <c r="G163" s="11"/>
    </row>
    <row r="164">
      <c r="A164" s="86" t="s">
        <v>887</v>
      </c>
      <c r="B164" s="86" t="s">
        <v>689</v>
      </c>
      <c r="C164" s="87" t="s">
        <v>714</v>
      </c>
      <c r="E164" s="92"/>
      <c r="F164" s="11"/>
      <c r="G164" s="11"/>
    </row>
    <row r="165">
      <c r="A165" s="86" t="s">
        <v>89</v>
      </c>
      <c r="B165" s="86" t="s">
        <v>685</v>
      </c>
      <c r="C165" s="87" t="s">
        <v>714</v>
      </c>
      <c r="E165" s="92"/>
      <c r="F165" s="11"/>
      <c r="G165" s="11"/>
    </row>
    <row r="166">
      <c r="A166" s="86" t="s">
        <v>888</v>
      </c>
      <c r="B166" s="86" t="s">
        <v>683</v>
      </c>
      <c r="C166" s="87" t="s">
        <v>714</v>
      </c>
      <c r="E166" s="92"/>
      <c r="F166" s="11"/>
      <c r="G166" s="11"/>
    </row>
    <row r="167">
      <c r="A167" s="86" t="s">
        <v>361</v>
      </c>
      <c r="B167" s="86" t="s">
        <v>689</v>
      </c>
      <c r="C167" s="87" t="s">
        <v>717</v>
      </c>
      <c r="E167" s="92"/>
      <c r="F167" s="11"/>
      <c r="G167" s="11"/>
    </row>
    <row r="168">
      <c r="A168" s="86" t="s">
        <v>890</v>
      </c>
      <c r="B168" s="86" t="s">
        <v>676</v>
      </c>
      <c r="C168" s="87" t="s">
        <v>717</v>
      </c>
      <c r="E168" s="92"/>
      <c r="F168" s="11"/>
      <c r="G168" s="11"/>
    </row>
    <row r="169">
      <c r="A169" s="86" t="s">
        <v>891</v>
      </c>
      <c r="B169" s="86" t="s">
        <v>691</v>
      </c>
      <c r="C169" s="87" t="s">
        <v>717</v>
      </c>
      <c r="E169" s="92"/>
      <c r="F169" s="11"/>
      <c r="G169" s="11"/>
    </row>
    <row r="170">
      <c r="A170" s="86" t="s">
        <v>893</v>
      </c>
      <c r="B170" s="86" t="s">
        <v>689</v>
      </c>
      <c r="C170" s="87" t="s">
        <v>717</v>
      </c>
      <c r="E170" s="92"/>
      <c r="F170" s="11"/>
      <c r="G170" s="11"/>
    </row>
    <row r="171">
      <c r="A171" s="86" t="s">
        <v>315</v>
      </c>
      <c r="B171" s="86" t="s">
        <v>687</v>
      </c>
      <c r="C171" s="87" t="s">
        <v>717</v>
      </c>
      <c r="E171" s="92"/>
      <c r="F171" s="11"/>
      <c r="G171" s="11"/>
    </row>
    <row r="172">
      <c r="A172" s="86" t="s">
        <v>894</v>
      </c>
      <c r="B172" s="86" t="s">
        <v>676</v>
      </c>
      <c r="C172" s="87" t="s">
        <v>717</v>
      </c>
      <c r="E172" s="92"/>
      <c r="F172" s="11"/>
      <c r="G172" s="11"/>
    </row>
    <row r="173">
      <c r="A173" s="86" t="s">
        <v>895</v>
      </c>
      <c r="B173" s="86" t="s">
        <v>691</v>
      </c>
      <c r="C173" s="87" t="s">
        <v>739</v>
      </c>
      <c r="E173" s="92"/>
      <c r="F173" s="11"/>
      <c r="G173" s="11"/>
    </row>
    <row r="174">
      <c r="A174" s="86" t="s">
        <v>896</v>
      </c>
      <c r="B174" s="86" t="s">
        <v>689</v>
      </c>
      <c r="C174" s="87" t="s">
        <v>739</v>
      </c>
      <c r="E174" s="92"/>
      <c r="F174" s="11"/>
      <c r="G174" s="11"/>
    </row>
    <row r="175">
      <c r="A175" s="86" t="s">
        <v>703</v>
      </c>
      <c r="B175" s="86" t="s">
        <v>687</v>
      </c>
      <c r="C175" s="87" t="s">
        <v>739</v>
      </c>
      <c r="E175" s="92"/>
      <c r="F175" s="11"/>
      <c r="G175" s="11"/>
    </row>
    <row r="176">
      <c r="A176" s="86" t="s">
        <v>897</v>
      </c>
      <c r="B176" s="86" t="s">
        <v>685</v>
      </c>
      <c r="C176" s="87" t="s">
        <v>739</v>
      </c>
      <c r="E176" s="92"/>
      <c r="F176" s="11"/>
      <c r="G176" s="11"/>
    </row>
    <row r="177">
      <c r="A177" s="86" t="s">
        <v>898</v>
      </c>
      <c r="B177" s="86" t="s">
        <v>691</v>
      </c>
      <c r="C177" s="87" t="s">
        <v>721</v>
      </c>
      <c r="E177" s="92"/>
      <c r="F177" s="11"/>
      <c r="G177" s="11"/>
    </row>
    <row r="178">
      <c r="A178" s="86" t="s">
        <v>899</v>
      </c>
      <c r="B178" s="86" t="s">
        <v>689</v>
      </c>
      <c r="C178" s="87" t="s">
        <v>721</v>
      </c>
      <c r="E178" s="92"/>
      <c r="F178" s="11"/>
      <c r="G178" s="11"/>
    </row>
    <row r="179">
      <c r="A179" s="86" t="s">
        <v>376</v>
      </c>
      <c r="B179" s="86" t="s">
        <v>685</v>
      </c>
      <c r="C179" s="87" t="s">
        <v>721</v>
      </c>
      <c r="E179" s="92"/>
      <c r="F179" s="11"/>
      <c r="G179" s="11"/>
    </row>
    <row r="180">
      <c r="A180" s="86" t="s">
        <v>901</v>
      </c>
      <c r="B180" s="86" t="s">
        <v>676</v>
      </c>
      <c r="C180" s="87" t="s">
        <v>721</v>
      </c>
      <c r="E180" s="92"/>
      <c r="F180" s="11"/>
      <c r="G180" s="11"/>
    </row>
    <row r="181">
      <c r="A181" s="86" t="s">
        <v>902</v>
      </c>
      <c r="B181" s="86" t="s">
        <v>691</v>
      </c>
      <c r="C181" s="87" t="s">
        <v>739</v>
      </c>
      <c r="E181" s="92"/>
      <c r="F181" s="11"/>
      <c r="G181" s="11"/>
    </row>
    <row r="182">
      <c r="A182" s="86" t="s">
        <v>903</v>
      </c>
      <c r="B182" s="86" t="s">
        <v>689</v>
      </c>
      <c r="C182" s="87" t="s">
        <v>739</v>
      </c>
      <c r="E182" s="92"/>
      <c r="F182" s="11"/>
      <c r="G182" s="11"/>
    </row>
    <row r="183">
      <c r="A183" s="86" t="s">
        <v>697</v>
      </c>
      <c r="B183" s="86" t="s">
        <v>687</v>
      </c>
      <c r="C183" s="87" t="s">
        <v>739</v>
      </c>
      <c r="E183" s="92"/>
      <c r="F183" s="11"/>
      <c r="G183" s="11"/>
    </row>
    <row r="184">
      <c r="A184" s="86" t="s">
        <v>905</v>
      </c>
      <c r="B184" s="86" t="s">
        <v>685</v>
      </c>
      <c r="C184" s="87" t="s">
        <v>739</v>
      </c>
      <c r="E184" s="92"/>
      <c r="F184" s="11"/>
      <c r="G184" s="11"/>
    </row>
    <row r="185">
      <c r="A185" s="86" t="s">
        <v>906</v>
      </c>
      <c r="B185" s="86" t="s">
        <v>691</v>
      </c>
      <c r="C185" s="87" t="s">
        <v>742</v>
      </c>
      <c r="E185" s="92"/>
      <c r="F185" s="11"/>
      <c r="G185" s="11"/>
    </row>
    <row r="186">
      <c r="A186" s="86" t="s">
        <v>907</v>
      </c>
      <c r="B186" s="86" t="s">
        <v>689</v>
      </c>
      <c r="C186" s="87" t="s">
        <v>742</v>
      </c>
      <c r="E186" s="92"/>
      <c r="F186" s="11"/>
      <c r="G186" s="11"/>
    </row>
    <row r="187">
      <c r="A187" s="86" t="s">
        <v>909</v>
      </c>
      <c r="B187" s="86" t="s">
        <v>689</v>
      </c>
      <c r="C187" s="87" t="s">
        <v>742</v>
      </c>
      <c r="E187" s="92"/>
      <c r="F187" s="11"/>
      <c r="G187" s="11"/>
    </row>
    <row r="188">
      <c r="A188" s="86" t="s">
        <v>910</v>
      </c>
      <c r="B188" s="86" t="s">
        <v>687</v>
      </c>
      <c r="C188" s="87" t="s">
        <v>742</v>
      </c>
      <c r="E188" s="92"/>
      <c r="F188" s="11"/>
      <c r="G188" s="11"/>
    </row>
    <row r="189">
      <c r="A189" s="86" t="s">
        <v>623</v>
      </c>
      <c r="B189" s="86" t="s">
        <v>683</v>
      </c>
      <c r="C189" s="87" t="s">
        <v>742</v>
      </c>
      <c r="E189" s="92"/>
      <c r="F189" s="11"/>
      <c r="G189" s="11"/>
    </row>
    <row r="190">
      <c r="A190" s="86" t="s">
        <v>912</v>
      </c>
      <c r="B190" s="86" t="s">
        <v>660</v>
      </c>
      <c r="C190" s="87" t="s">
        <v>742</v>
      </c>
      <c r="E190" s="92"/>
      <c r="F190" s="11"/>
      <c r="G190" s="11"/>
    </row>
    <row r="191">
      <c r="A191" s="86" t="s">
        <v>913</v>
      </c>
      <c r="B191" s="86" t="s">
        <v>687</v>
      </c>
      <c r="C191" s="87" t="s">
        <v>736</v>
      </c>
      <c r="E191" s="92"/>
      <c r="F191" s="11"/>
      <c r="G191" s="11"/>
    </row>
    <row r="192">
      <c r="A192" s="86" t="s">
        <v>914</v>
      </c>
      <c r="B192" s="86" t="s">
        <v>685</v>
      </c>
      <c r="C192" s="87" t="s">
        <v>736</v>
      </c>
      <c r="E192" s="92"/>
      <c r="F192" s="11"/>
      <c r="G192" s="11"/>
    </row>
    <row r="193">
      <c r="A193" s="86" t="s">
        <v>915</v>
      </c>
      <c r="B193" s="86" t="s">
        <v>691</v>
      </c>
      <c r="C193" s="87" t="s">
        <v>732</v>
      </c>
      <c r="E193" s="92"/>
      <c r="F193" s="11"/>
      <c r="G193" s="11"/>
    </row>
    <row r="194">
      <c r="A194" s="86" t="s">
        <v>916</v>
      </c>
      <c r="B194" s="86" t="s">
        <v>689</v>
      </c>
      <c r="C194" s="87" t="s">
        <v>732</v>
      </c>
      <c r="E194" s="92"/>
      <c r="F194" s="11"/>
      <c r="G194" s="11"/>
    </row>
    <row r="195">
      <c r="A195" s="86" t="s">
        <v>917</v>
      </c>
      <c r="B195" s="86" t="s">
        <v>687</v>
      </c>
      <c r="C195" s="87" t="s">
        <v>732</v>
      </c>
      <c r="E195" s="92"/>
      <c r="F195" s="11"/>
      <c r="G195" s="11"/>
    </row>
    <row r="196">
      <c r="A196" s="86" t="s">
        <v>918</v>
      </c>
      <c r="B196" s="86" t="s">
        <v>683</v>
      </c>
      <c r="C196" s="87" t="s">
        <v>732</v>
      </c>
      <c r="E196" s="92"/>
      <c r="F196" s="11"/>
      <c r="G196" s="11"/>
    </row>
    <row r="197">
      <c r="A197" s="86" t="s">
        <v>920</v>
      </c>
      <c r="B197" s="86" t="s">
        <v>691</v>
      </c>
      <c r="C197" s="87" t="s">
        <v>712</v>
      </c>
      <c r="E197" s="92"/>
      <c r="F197" s="11"/>
      <c r="G197" s="11"/>
    </row>
    <row r="198">
      <c r="A198" s="86" t="s">
        <v>921</v>
      </c>
      <c r="B198" s="86" t="s">
        <v>689</v>
      </c>
      <c r="C198" s="87" t="s">
        <v>712</v>
      </c>
      <c r="E198" s="92"/>
      <c r="F198" s="11"/>
      <c r="G198" s="11"/>
    </row>
    <row r="199">
      <c r="A199" s="86" t="s">
        <v>922</v>
      </c>
      <c r="B199" s="86" t="s">
        <v>687</v>
      </c>
      <c r="C199" s="87" t="s">
        <v>712</v>
      </c>
      <c r="E199" s="92"/>
      <c r="F199" s="11"/>
      <c r="G199" s="11"/>
    </row>
    <row r="200">
      <c r="A200" s="86" t="s">
        <v>925</v>
      </c>
      <c r="B200" s="86" t="s">
        <v>685</v>
      </c>
      <c r="C200" s="87" t="s">
        <v>712</v>
      </c>
      <c r="E200" s="92"/>
      <c r="F200" s="11"/>
      <c r="G200" s="11"/>
    </row>
    <row r="201">
      <c r="A201" s="86" t="s">
        <v>569</v>
      </c>
      <c r="B201" s="86" t="s">
        <v>691</v>
      </c>
      <c r="C201" s="87" t="s">
        <v>723</v>
      </c>
      <c r="E201" s="92"/>
      <c r="F201" s="11"/>
      <c r="G201" s="11"/>
    </row>
    <row r="202">
      <c r="A202" s="86" t="s">
        <v>929</v>
      </c>
      <c r="B202" s="86" t="s">
        <v>689</v>
      </c>
      <c r="C202" s="87" t="s">
        <v>723</v>
      </c>
      <c r="E202" s="92"/>
      <c r="F202" s="11"/>
      <c r="G202" s="11"/>
    </row>
    <row r="203">
      <c r="A203" s="86" t="s">
        <v>81</v>
      </c>
      <c r="B203" s="86" t="s">
        <v>687</v>
      </c>
      <c r="C203" s="87" t="s">
        <v>723</v>
      </c>
      <c r="E203" s="92"/>
      <c r="F203" s="11"/>
      <c r="G203" s="11"/>
    </row>
    <row r="204">
      <c r="A204" s="86" t="s">
        <v>934</v>
      </c>
      <c r="B204" s="86" t="s">
        <v>685</v>
      </c>
      <c r="C204" s="87" t="s">
        <v>723</v>
      </c>
      <c r="E204" s="92"/>
      <c r="F204" s="11"/>
      <c r="G204" s="11"/>
    </row>
    <row r="205">
      <c r="A205" s="86" t="s">
        <v>938</v>
      </c>
      <c r="B205" s="86" t="s">
        <v>691</v>
      </c>
      <c r="C205" s="87" t="s">
        <v>732</v>
      </c>
      <c r="E205" s="92"/>
      <c r="F205" s="11"/>
      <c r="G205" s="11"/>
    </row>
    <row r="206">
      <c r="A206" s="86" t="s">
        <v>941</v>
      </c>
      <c r="B206" s="86" t="s">
        <v>689</v>
      </c>
      <c r="C206" s="87" t="s">
        <v>732</v>
      </c>
      <c r="E206" s="92"/>
      <c r="F206" s="11"/>
      <c r="G206" s="11"/>
    </row>
    <row r="207">
      <c r="A207" s="86" t="s">
        <v>533</v>
      </c>
      <c r="B207" s="86" t="s">
        <v>685</v>
      </c>
      <c r="C207" s="87" t="s">
        <v>732</v>
      </c>
      <c r="E207" s="92"/>
      <c r="F207" s="11"/>
      <c r="G207" s="11"/>
    </row>
    <row r="208">
      <c r="A208" s="86" t="s">
        <v>945</v>
      </c>
      <c r="B208" s="86" t="s">
        <v>683</v>
      </c>
      <c r="C208" s="87" t="s">
        <v>732</v>
      </c>
      <c r="E208" s="92"/>
      <c r="F208" s="11"/>
      <c r="G208" s="11"/>
    </row>
    <row r="209">
      <c r="A209" s="86" t="s">
        <v>949</v>
      </c>
      <c r="B209" s="86" t="s">
        <v>691</v>
      </c>
      <c r="C209" s="87" t="s">
        <v>725</v>
      </c>
      <c r="E209" s="92"/>
      <c r="F209" s="11"/>
      <c r="G209" s="11"/>
    </row>
    <row r="210">
      <c r="A210" s="86" t="s">
        <v>954</v>
      </c>
      <c r="B210" s="86" t="s">
        <v>689</v>
      </c>
      <c r="C210" s="87" t="s">
        <v>725</v>
      </c>
      <c r="E210" s="92"/>
      <c r="F210" s="11"/>
      <c r="G210" s="11"/>
    </row>
    <row r="211">
      <c r="A211" s="86" t="s">
        <v>62</v>
      </c>
      <c r="B211" s="86" t="s">
        <v>687</v>
      </c>
      <c r="C211" s="87" t="s">
        <v>725</v>
      </c>
      <c r="E211" s="92"/>
      <c r="F211" s="11"/>
      <c r="G211" s="11"/>
    </row>
    <row r="212">
      <c r="A212" s="86" t="s">
        <v>961</v>
      </c>
      <c r="B212" s="86" t="s">
        <v>676</v>
      </c>
      <c r="C212" s="87" t="s">
        <v>725</v>
      </c>
      <c r="E212" s="92"/>
      <c r="F212" s="11"/>
      <c r="G212" s="11"/>
    </row>
    <row r="213">
      <c r="A213" s="86" t="s">
        <v>366</v>
      </c>
      <c r="B213" s="86" t="s">
        <v>687</v>
      </c>
      <c r="C213" s="87" t="s">
        <v>734</v>
      </c>
      <c r="E213" s="92"/>
      <c r="F213" s="11"/>
      <c r="G213" s="11"/>
    </row>
    <row r="214">
      <c r="A214" s="86" t="s">
        <v>971</v>
      </c>
      <c r="B214" s="86" t="s">
        <v>676</v>
      </c>
      <c r="C214" s="87" t="s">
        <v>734</v>
      </c>
      <c r="E214" s="92"/>
      <c r="F214" s="11"/>
      <c r="G214" s="11"/>
    </row>
    <row r="215">
      <c r="A215" s="86" t="s">
        <v>365</v>
      </c>
      <c r="B215" s="86" t="s">
        <v>687</v>
      </c>
      <c r="C215" s="87" t="s">
        <v>734</v>
      </c>
      <c r="E215" s="92"/>
      <c r="F215" s="11"/>
      <c r="G215" s="11"/>
    </row>
    <row r="216">
      <c r="A216" s="86" t="s">
        <v>981</v>
      </c>
      <c r="B216" s="86" t="s">
        <v>676</v>
      </c>
      <c r="C216" s="87" t="s">
        <v>734</v>
      </c>
      <c r="E216" s="92"/>
      <c r="F216" s="11"/>
      <c r="G216" s="11"/>
    </row>
    <row r="217">
      <c r="A217" s="86" t="s">
        <v>983</v>
      </c>
      <c r="B217" s="86" t="s">
        <v>687</v>
      </c>
      <c r="C217" s="87" t="s">
        <v>7</v>
      </c>
      <c r="E217" s="92"/>
      <c r="F217" s="11"/>
      <c r="G217" s="11"/>
    </row>
    <row r="218">
      <c r="A218" s="86" t="s">
        <v>987</v>
      </c>
      <c r="B218" s="86" t="s">
        <v>685</v>
      </c>
      <c r="C218" s="87" t="s">
        <v>7</v>
      </c>
      <c r="E218" s="92"/>
      <c r="F218" s="11"/>
      <c r="G218" s="11"/>
    </row>
    <row r="219">
      <c r="A219" s="86" t="s">
        <v>989</v>
      </c>
      <c r="B219" s="86" t="s">
        <v>691</v>
      </c>
      <c r="C219" s="87" t="s">
        <v>721</v>
      </c>
      <c r="E219" s="92"/>
      <c r="F219" s="11"/>
      <c r="G219" s="11"/>
    </row>
    <row r="220">
      <c r="A220" s="86" t="s">
        <v>993</v>
      </c>
      <c r="B220" s="86" t="s">
        <v>689</v>
      </c>
      <c r="C220" s="87" t="s">
        <v>721</v>
      </c>
      <c r="E220" s="92"/>
      <c r="F220" s="11"/>
      <c r="G220" s="11"/>
    </row>
    <row r="221">
      <c r="A221" s="86" t="s">
        <v>994</v>
      </c>
      <c r="B221" s="86" t="s">
        <v>687</v>
      </c>
      <c r="C221" s="87" t="s">
        <v>721</v>
      </c>
      <c r="E221" s="92"/>
      <c r="F221" s="11"/>
      <c r="G221" s="11"/>
    </row>
    <row r="222">
      <c r="A222" s="86" t="s">
        <v>995</v>
      </c>
      <c r="B222" s="86" t="s">
        <v>685</v>
      </c>
      <c r="C222" s="87" t="s">
        <v>721</v>
      </c>
      <c r="E222" s="92"/>
      <c r="F222" s="11"/>
      <c r="G222" s="11"/>
    </row>
    <row r="223">
      <c r="A223" s="86" t="s">
        <v>12</v>
      </c>
      <c r="B223" s="86" t="s">
        <v>691</v>
      </c>
      <c r="C223" s="87" t="s">
        <v>725</v>
      </c>
      <c r="E223" s="92"/>
      <c r="F223" s="11"/>
      <c r="G223" s="11"/>
    </row>
    <row r="224">
      <c r="A224" s="86" t="s">
        <v>996</v>
      </c>
      <c r="B224" s="86" t="s">
        <v>689</v>
      </c>
      <c r="C224" s="87" t="s">
        <v>725</v>
      </c>
      <c r="E224" s="92"/>
      <c r="F224" s="11"/>
      <c r="G224" s="11"/>
    </row>
    <row r="225">
      <c r="A225" s="86" t="s">
        <v>489</v>
      </c>
      <c r="B225" s="86" t="s">
        <v>685</v>
      </c>
      <c r="C225" s="87" t="s">
        <v>736</v>
      </c>
      <c r="E225" s="92"/>
      <c r="F225" s="11"/>
      <c r="G225" s="11"/>
    </row>
    <row r="226">
      <c r="A226" s="86" t="s">
        <v>997</v>
      </c>
      <c r="B226" s="86" t="s">
        <v>683</v>
      </c>
      <c r="C226" s="87" t="s">
        <v>725</v>
      </c>
      <c r="E226" s="92"/>
      <c r="F226" s="11"/>
      <c r="G226" s="11"/>
    </row>
    <row r="227">
      <c r="A227" s="86" t="s">
        <v>998</v>
      </c>
      <c r="B227" s="86" t="s">
        <v>687</v>
      </c>
      <c r="C227" s="87" t="s">
        <v>7</v>
      </c>
      <c r="E227" s="92"/>
      <c r="F227" s="11"/>
      <c r="G227" s="11"/>
    </row>
    <row r="228">
      <c r="A228" s="86" t="s">
        <v>999</v>
      </c>
      <c r="B228" s="86" t="s">
        <v>685</v>
      </c>
      <c r="C228" s="87" t="s">
        <v>7</v>
      </c>
      <c r="E228" s="92"/>
      <c r="F228" s="11"/>
      <c r="G228" s="11"/>
    </row>
    <row r="229">
      <c r="A229" s="86" t="s">
        <v>41</v>
      </c>
      <c r="B229" s="86" t="s">
        <v>687</v>
      </c>
      <c r="C229" s="87" t="s">
        <v>708</v>
      </c>
      <c r="E229" s="92"/>
      <c r="F229" s="11"/>
      <c r="G229" s="11"/>
    </row>
    <row r="230">
      <c r="A230" s="86" t="s">
        <v>1000</v>
      </c>
      <c r="B230" s="86" t="s">
        <v>683</v>
      </c>
      <c r="C230" s="87" t="s">
        <v>708</v>
      </c>
      <c r="E230" s="92"/>
      <c r="F230" s="11"/>
      <c r="G230" s="11"/>
    </row>
    <row r="231">
      <c r="A231" s="86" t="s">
        <v>404</v>
      </c>
      <c r="B231" s="86" t="s">
        <v>685</v>
      </c>
      <c r="C231" s="87" t="s">
        <v>725</v>
      </c>
      <c r="E231" s="92"/>
      <c r="F231" s="11"/>
      <c r="G231" s="11"/>
    </row>
    <row r="232">
      <c r="A232" s="86" t="s">
        <v>1002</v>
      </c>
      <c r="B232" s="86" t="s">
        <v>654</v>
      </c>
      <c r="C232" s="87" t="s">
        <v>734</v>
      </c>
      <c r="E232" s="92"/>
      <c r="F232" s="11"/>
      <c r="G232" s="11"/>
    </row>
    <row r="233">
      <c r="A233" s="86" t="s">
        <v>1003</v>
      </c>
      <c r="B233" s="86" t="s">
        <v>691</v>
      </c>
      <c r="C233" s="87" t="s">
        <v>712</v>
      </c>
      <c r="E233" s="92"/>
      <c r="F233" s="11"/>
      <c r="G233" s="11"/>
    </row>
    <row r="234">
      <c r="A234" s="86" t="s">
        <v>1004</v>
      </c>
      <c r="B234" s="86" t="s">
        <v>689</v>
      </c>
      <c r="C234" s="87" t="s">
        <v>712</v>
      </c>
      <c r="E234" s="92"/>
      <c r="F234" s="11"/>
      <c r="G234" s="11"/>
    </row>
    <row r="235">
      <c r="A235" s="86" t="s">
        <v>1006</v>
      </c>
      <c r="B235" s="86" t="s">
        <v>689</v>
      </c>
      <c r="C235" s="87" t="s">
        <v>712</v>
      </c>
      <c r="E235" s="92"/>
      <c r="F235" s="11"/>
      <c r="G235" s="11"/>
    </row>
    <row r="236">
      <c r="A236" s="86" t="s">
        <v>1007</v>
      </c>
      <c r="B236" s="86" t="s">
        <v>687</v>
      </c>
      <c r="C236" s="87" t="s">
        <v>712</v>
      </c>
      <c r="E236" s="92"/>
      <c r="F236" s="11"/>
      <c r="G236" s="11"/>
    </row>
    <row r="237">
      <c r="A237" s="86" t="s">
        <v>1008</v>
      </c>
      <c r="B237" s="86" t="s">
        <v>691</v>
      </c>
      <c r="C237" s="87" t="s">
        <v>712</v>
      </c>
      <c r="E237" s="92"/>
      <c r="F237" s="11"/>
      <c r="G237" s="11"/>
    </row>
    <row r="238">
      <c r="A238" s="86" t="s">
        <v>1009</v>
      </c>
      <c r="B238" s="86" t="s">
        <v>689</v>
      </c>
      <c r="C238" s="87" t="s">
        <v>712</v>
      </c>
      <c r="E238" s="92"/>
      <c r="F238" s="11"/>
      <c r="G238" s="11"/>
    </row>
    <row r="239">
      <c r="A239" s="86" t="s">
        <v>1010</v>
      </c>
      <c r="B239" s="86" t="s">
        <v>687</v>
      </c>
      <c r="C239" s="87" t="s">
        <v>712</v>
      </c>
      <c r="E239" s="92"/>
      <c r="F239" s="11"/>
      <c r="G239" s="11"/>
    </row>
    <row r="240">
      <c r="A240" s="86" t="s">
        <v>1012</v>
      </c>
      <c r="B240" s="86" t="s">
        <v>685</v>
      </c>
      <c r="C240" s="87" t="s">
        <v>712</v>
      </c>
      <c r="E240" s="92"/>
      <c r="F240" s="11"/>
      <c r="G240" s="11"/>
    </row>
    <row r="241">
      <c r="A241" s="86" t="s">
        <v>1013</v>
      </c>
      <c r="B241" s="86" t="s">
        <v>691</v>
      </c>
      <c r="C241" s="87" t="s">
        <v>712</v>
      </c>
      <c r="E241" s="92"/>
      <c r="F241" s="11"/>
      <c r="G241" s="11"/>
    </row>
    <row r="242">
      <c r="A242" s="86" t="s">
        <v>1014</v>
      </c>
      <c r="B242" s="86" t="s">
        <v>689</v>
      </c>
      <c r="C242" s="87" t="s">
        <v>712</v>
      </c>
      <c r="E242" s="92"/>
      <c r="F242" s="11"/>
      <c r="G242" s="11"/>
    </row>
    <row r="243">
      <c r="A243" s="86" t="s">
        <v>1017</v>
      </c>
      <c r="B243" s="86" t="s">
        <v>687</v>
      </c>
      <c r="C243" s="87" t="s">
        <v>712</v>
      </c>
      <c r="E243" s="92"/>
      <c r="F243" s="11"/>
      <c r="G243" s="11"/>
    </row>
    <row r="244">
      <c r="A244" s="86" t="s">
        <v>1020</v>
      </c>
      <c r="B244" s="86" t="s">
        <v>683</v>
      </c>
      <c r="C244" s="87" t="s">
        <v>712</v>
      </c>
      <c r="E244" s="92"/>
      <c r="F244" s="11"/>
      <c r="G244" s="11"/>
    </row>
    <row r="245">
      <c r="A245" s="86" t="s">
        <v>397</v>
      </c>
      <c r="B245" s="86" t="s">
        <v>685</v>
      </c>
      <c r="C245" s="87" t="s">
        <v>732</v>
      </c>
      <c r="E245" s="92"/>
      <c r="F245" s="11"/>
      <c r="G245" s="11"/>
    </row>
    <row r="246">
      <c r="A246" s="86" t="s">
        <v>1023</v>
      </c>
      <c r="B246" s="86" t="s">
        <v>654</v>
      </c>
      <c r="C246" s="87" t="s">
        <v>732</v>
      </c>
      <c r="E246" s="92"/>
      <c r="F246" s="11"/>
      <c r="G246" s="11"/>
    </row>
    <row r="247">
      <c r="A247" s="86" t="s">
        <v>400</v>
      </c>
      <c r="B247" s="86" t="s">
        <v>685</v>
      </c>
      <c r="C247" s="87" t="s">
        <v>715</v>
      </c>
      <c r="E247" s="92"/>
      <c r="F247" s="11"/>
      <c r="G247" s="11"/>
    </row>
    <row r="248">
      <c r="A248" s="86" t="s">
        <v>1024</v>
      </c>
      <c r="B248" s="86" t="s">
        <v>654</v>
      </c>
      <c r="C248" s="87" t="s">
        <v>715</v>
      </c>
      <c r="E248" s="92"/>
      <c r="F248" s="11"/>
      <c r="G248" s="11"/>
    </row>
    <row r="249">
      <c r="A249" s="86" t="s">
        <v>369</v>
      </c>
      <c r="B249" s="86" t="s">
        <v>683</v>
      </c>
      <c r="C249" s="87" t="s">
        <v>739</v>
      </c>
      <c r="E249" s="92"/>
      <c r="F249" s="11"/>
      <c r="G249" s="11"/>
    </row>
    <row r="250">
      <c r="A250" s="86" t="s">
        <v>1026</v>
      </c>
      <c r="B250" s="86" t="s">
        <v>676</v>
      </c>
      <c r="C250" s="87" t="s">
        <v>739</v>
      </c>
      <c r="E250" s="92"/>
      <c r="F250" s="11"/>
      <c r="G250" s="11"/>
    </row>
    <row r="251">
      <c r="A251" s="86" t="s">
        <v>519</v>
      </c>
      <c r="B251" s="86" t="s">
        <v>683</v>
      </c>
      <c r="C251" s="87" t="s">
        <v>723</v>
      </c>
      <c r="E251" s="92"/>
      <c r="F251" s="11"/>
      <c r="G251" s="11"/>
    </row>
    <row r="252">
      <c r="A252" s="86" t="s">
        <v>1029</v>
      </c>
      <c r="B252" s="86" t="s">
        <v>660</v>
      </c>
      <c r="C252" s="87" t="s">
        <v>723</v>
      </c>
      <c r="E252" s="92"/>
      <c r="F252" s="11"/>
      <c r="G252" s="11"/>
    </row>
    <row r="253">
      <c r="A253" s="86" t="s">
        <v>476</v>
      </c>
      <c r="B253" s="86" t="s">
        <v>683</v>
      </c>
      <c r="C253" s="87" t="s">
        <v>710</v>
      </c>
      <c r="E253" s="92"/>
      <c r="F253" s="11"/>
      <c r="G253" s="11"/>
    </row>
    <row r="254">
      <c r="A254" s="86" t="s">
        <v>1031</v>
      </c>
      <c r="B254" s="86" t="s">
        <v>660</v>
      </c>
      <c r="C254" s="87" t="s">
        <v>710</v>
      </c>
      <c r="E254" s="92"/>
      <c r="F254" s="11"/>
      <c r="G254" s="11"/>
    </row>
    <row r="255">
      <c r="A255" s="86" t="s">
        <v>398</v>
      </c>
      <c r="B255" s="86" t="s">
        <v>685</v>
      </c>
      <c r="C255" s="87" t="s">
        <v>715</v>
      </c>
      <c r="E255" s="92"/>
      <c r="F255" s="11"/>
      <c r="G255" s="11"/>
    </row>
    <row r="256">
      <c r="A256" s="86" t="s">
        <v>1034</v>
      </c>
      <c r="B256" s="86" t="s">
        <v>654</v>
      </c>
      <c r="C256" s="87" t="s">
        <v>715</v>
      </c>
      <c r="E256" s="92"/>
      <c r="F256" s="11"/>
      <c r="G256" s="11"/>
    </row>
    <row r="257">
      <c r="A257" s="86" t="s">
        <v>402</v>
      </c>
      <c r="B257" s="86" t="s">
        <v>685</v>
      </c>
      <c r="C257" s="87" t="s">
        <v>7</v>
      </c>
      <c r="E257" s="92"/>
      <c r="F257" s="11"/>
      <c r="G257" s="11"/>
    </row>
    <row r="258">
      <c r="A258" s="86" t="s">
        <v>1038</v>
      </c>
      <c r="B258" s="86" t="s">
        <v>654</v>
      </c>
      <c r="C258" s="87" t="s">
        <v>731</v>
      </c>
      <c r="E258" s="92"/>
      <c r="F258" s="11"/>
      <c r="G258" s="11"/>
    </row>
    <row r="259">
      <c r="A259" s="86" t="s">
        <v>583</v>
      </c>
      <c r="B259" s="86" t="s">
        <v>709</v>
      </c>
      <c r="C259" s="87" t="s">
        <v>712</v>
      </c>
      <c r="E259" s="92"/>
      <c r="F259" s="11"/>
      <c r="G259" s="11"/>
    </row>
    <row r="260">
      <c r="A260" s="86" t="s">
        <v>1039</v>
      </c>
      <c r="B260" s="86" t="s">
        <v>691</v>
      </c>
      <c r="C260" s="87" t="s">
        <v>712</v>
      </c>
      <c r="E260" s="92"/>
      <c r="F260" s="11"/>
      <c r="G260" s="11"/>
    </row>
    <row r="261">
      <c r="A261" s="86" t="s">
        <v>505</v>
      </c>
      <c r="B261" s="86" t="s">
        <v>683</v>
      </c>
      <c r="C261" s="87" t="s">
        <v>712</v>
      </c>
      <c r="E261" s="92"/>
      <c r="F261" s="11"/>
      <c r="G261" s="11"/>
    </row>
    <row r="262">
      <c r="A262" s="86" t="s">
        <v>1042</v>
      </c>
      <c r="B262" s="86" t="s">
        <v>660</v>
      </c>
      <c r="C262" s="87" t="s">
        <v>712</v>
      </c>
      <c r="E262" s="92"/>
      <c r="F262" s="11"/>
      <c r="G262" s="11"/>
    </row>
    <row r="263">
      <c r="A263" s="86" t="s">
        <v>371</v>
      </c>
      <c r="B263" s="86" t="s">
        <v>683</v>
      </c>
      <c r="C263" s="87" t="s">
        <v>739</v>
      </c>
      <c r="E263" s="92"/>
      <c r="F263" s="11"/>
      <c r="G263" s="11"/>
    </row>
    <row r="264">
      <c r="A264" s="86" t="s">
        <v>1044</v>
      </c>
      <c r="B264" s="86" t="s">
        <v>676</v>
      </c>
      <c r="C264" s="87" t="s">
        <v>739</v>
      </c>
      <c r="E264" s="92"/>
      <c r="F264" s="11"/>
      <c r="G264" s="11"/>
    </row>
    <row r="265">
      <c r="A265" s="86" t="s">
        <v>1045</v>
      </c>
      <c r="B265" s="86" t="s">
        <v>709</v>
      </c>
      <c r="C265" s="87" t="s">
        <v>7</v>
      </c>
      <c r="E265" s="92"/>
      <c r="F265" s="11"/>
      <c r="G265" s="11"/>
    </row>
    <row r="266">
      <c r="A266" s="86" t="s">
        <v>1046</v>
      </c>
      <c r="B266" s="86" t="s">
        <v>709</v>
      </c>
      <c r="C266" s="87" t="s">
        <v>7</v>
      </c>
      <c r="E266" s="92"/>
      <c r="F266" s="11"/>
      <c r="G266" s="11"/>
    </row>
    <row r="267">
      <c r="A267" s="86" t="s">
        <v>1047</v>
      </c>
      <c r="B267" s="86" t="s">
        <v>691</v>
      </c>
      <c r="C267" s="87" t="s">
        <v>7</v>
      </c>
      <c r="E267" s="92"/>
      <c r="F267" s="11"/>
      <c r="G267" s="11"/>
    </row>
    <row r="268">
      <c r="A268" s="86" t="s">
        <v>1049</v>
      </c>
      <c r="B268" s="86" t="s">
        <v>689</v>
      </c>
      <c r="C268" s="87" t="s">
        <v>7</v>
      </c>
      <c r="E268" s="92"/>
      <c r="F268" s="11"/>
      <c r="G268" s="11"/>
    </row>
    <row r="269">
      <c r="A269" s="86" t="s">
        <v>395</v>
      </c>
      <c r="B269" s="86" t="s">
        <v>685</v>
      </c>
      <c r="C269" s="87" t="s">
        <v>712</v>
      </c>
      <c r="E269" s="92"/>
      <c r="F269" s="11"/>
      <c r="G269" s="11"/>
    </row>
    <row r="270">
      <c r="A270" s="86" t="s">
        <v>1051</v>
      </c>
      <c r="B270" s="86" t="s">
        <v>676</v>
      </c>
      <c r="C270" s="87" t="s">
        <v>712</v>
      </c>
      <c r="E270" s="92"/>
      <c r="F270" s="11"/>
      <c r="G270" s="11"/>
    </row>
    <row r="271">
      <c r="A271" s="86" t="s">
        <v>368</v>
      </c>
      <c r="B271" s="86" t="s">
        <v>685</v>
      </c>
      <c r="C271" s="87" t="s">
        <v>723</v>
      </c>
      <c r="E271" s="92"/>
      <c r="F271" s="11"/>
      <c r="G271" s="11"/>
    </row>
    <row r="272">
      <c r="A272" s="86" t="s">
        <v>1054</v>
      </c>
      <c r="B272" s="86" t="s">
        <v>676</v>
      </c>
      <c r="C272" s="87" t="s">
        <v>723</v>
      </c>
      <c r="E272" s="92"/>
      <c r="F272" s="11"/>
      <c r="G272" s="11"/>
    </row>
    <row r="273">
      <c r="A273" s="86" t="s">
        <v>363</v>
      </c>
      <c r="B273" s="86" t="s">
        <v>685</v>
      </c>
      <c r="C273" s="87" t="s">
        <v>710</v>
      </c>
      <c r="E273" s="92"/>
      <c r="F273" s="11"/>
      <c r="G273" s="11"/>
    </row>
    <row r="274">
      <c r="A274" s="86" t="s">
        <v>1055</v>
      </c>
      <c r="B274" s="86" t="s">
        <v>676</v>
      </c>
      <c r="C274" s="87" t="s">
        <v>710</v>
      </c>
      <c r="E274" s="92"/>
      <c r="F274" s="11"/>
      <c r="G274" s="11"/>
    </row>
    <row r="275">
      <c r="A275" s="86" t="s">
        <v>1056</v>
      </c>
      <c r="B275" s="86" t="s">
        <v>689</v>
      </c>
      <c r="C275" s="87" t="s">
        <v>732</v>
      </c>
      <c r="E275" s="92"/>
      <c r="F275" s="11"/>
      <c r="G275" s="11"/>
    </row>
    <row r="276">
      <c r="A276" s="86" t="s">
        <v>1057</v>
      </c>
      <c r="B276" s="86" t="s">
        <v>687</v>
      </c>
      <c r="C276" s="87" t="s">
        <v>732</v>
      </c>
      <c r="E276" s="92"/>
      <c r="F276" s="11"/>
      <c r="G276" s="11"/>
    </row>
    <row r="277">
      <c r="A277" s="86" t="s">
        <v>1058</v>
      </c>
      <c r="B277" s="86" t="s">
        <v>691</v>
      </c>
      <c r="C277" s="87" t="s">
        <v>712</v>
      </c>
      <c r="E277" s="92"/>
      <c r="F277" s="11"/>
      <c r="G277" s="11"/>
    </row>
    <row r="278">
      <c r="A278" s="86" t="s">
        <v>1059</v>
      </c>
      <c r="B278" s="86" t="s">
        <v>689</v>
      </c>
      <c r="C278" s="87" t="s">
        <v>712</v>
      </c>
      <c r="E278" s="92"/>
      <c r="F278" s="11"/>
      <c r="G278" s="11"/>
    </row>
    <row r="279">
      <c r="A279" s="86" t="s">
        <v>380</v>
      </c>
      <c r="B279" s="87" t="s">
        <v>683</v>
      </c>
      <c r="C279" s="87" t="s">
        <v>736</v>
      </c>
      <c r="E279" s="92"/>
      <c r="F279" s="11"/>
      <c r="G279" s="11"/>
    </row>
    <row r="280">
      <c r="A280" s="86" t="s">
        <v>1062</v>
      </c>
      <c r="B280" s="86" t="s">
        <v>676</v>
      </c>
      <c r="C280" s="87" t="s">
        <v>736</v>
      </c>
      <c r="E280" s="92"/>
      <c r="F280" s="11"/>
      <c r="G280" s="11"/>
    </row>
    <row r="281">
      <c r="A281" s="86" t="s">
        <v>1063</v>
      </c>
      <c r="B281" s="86" t="s">
        <v>691</v>
      </c>
      <c r="C281" s="87" t="s">
        <v>736</v>
      </c>
      <c r="E281" s="92"/>
      <c r="F281" s="11"/>
      <c r="G281" s="11"/>
    </row>
    <row r="282">
      <c r="A282" s="86" t="s">
        <v>1064</v>
      </c>
      <c r="B282" s="86" t="s">
        <v>689</v>
      </c>
      <c r="C282" s="87" t="s">
        <v>736</v>
      </c>
      <c r="E282" s="92"/>
      <c r="F282" s="11"/>
      <c r="G282" s="11"/>
    </row>
    <row r="283">
      <c r="A283" s="86" t="s">
        <v>370</v>
      </c>
      <c r="B283" s="86" t="s">
        <v>685</v>
      </c>
      <c r="C283" s="87" t="s">
        <v>736</v>
      </c>
      <c r="E283" s="92"/>
      <c r="F283" s="11"/>
      <c r="G283" s="11"/>
    </row>
    <row r="284">
      <c r="A284" s="86" t="s">
        <v>1065</v>
      </c>
      <c r="B284" s="86" t="s">
        <v>676</v>
      </c>
      <c r="C284" s="87" t="s">
        <v>736</v>
      </c>
      <c r="E284" s="92"/>
      <c r="F284" s="11"/>
      <c r="G284" s="11"/>
    </row>
    <row r="285">
      <c r="A285" s="86" t="s">
        <v>972</v>
      </c>
      <c r="B285" s="86" t="s">
        <v>676</v>
      </c>
      <c r="C285" s="87" t="s">
        <v>736</v>
      </c>
      <c r="E285" s="92"/>
      <c r="F285" s="11"/>
      <c r="G285" s="11"/>
    </row>
    <row r="286">
      <c r="A286" s="86" t="s">
        <v>1066</v>
      </c>
      <c r="B286" s="86" t="s">
        <v>682</v>
      </c>
      <c r="C286" s="86" t="s">
        <v>682</v>
      </c>
      <c r="E286" s="92"/>
      <c r="F286" s="11"/>
      <c r="G286" s="11"/>
    </row>
    <row r="287">
      <c r="A287" s="86" t="s">
        <v>465</v>
      </c>
      <c r="B287" s="86" t="s">
        <v>683</v>
      </c>
      <c r="C287" s="87" t="s">
        <v>7</v>
      </c>
      <c r="E287" s="92"/>
      <c r="F287" s="11"/>
      <c r="G287" s="11"/>
    </row>
    <row r="288">
      <c r="A288" s="86" t="s">
        <v>1067</v>
      </c>
      <c r="B288" s="86" t="s">
        <v>660</v>
      </c>
      <c r="C288" s="87" t="s">
        <v>7</v>
      </c>
      <c r="E288" s="92"/>
      <c r="F288" s="11"/>
      <c r="G288" s="11"/>
    </row>
    <row r="289">
      <c r="A289" s="86" t="s">
        <v>1068</v>
      </c>
      <c r="B289" s="86" t="s">
        <v>682</v>
      </c>
      <c r="C289" s="86" t="s">
        <v>682</v>
      </c>
      <c r="E289" s="92"/>
      <c r="F289" s="11"/>
      <c r="G289" s="11"/>
    </row>
    <row r="290">
      <c r="A290" s="86" t="s">
        <v>1069</v>
      </c>
      <c r="B290" s="86" t="s">
        <v>682</v>
      </c>
      <c r="C290" s="86" t="s">
        <v>682</v>
      </c>
      <c r="E290" s="92"/>
      <c r="F290" s="11"/>
      <c r="G290" s="11"/>
    </row>
    <row r="291">
      <c r="A291" s="86" t="s">
        <v>1071</v>
      </c>
      <c r="B291" s="86" t="s">
        <v>682</v>
      </c>
      <c r="C291" s="86" t="s">
        <v>682</v>
      </c>
      <c r="E291" s="92"/>
      <c r="F291" s="11"/>
      <c r="G291" s="11"/>
    </row>
    <row r="292">
      <c r="A292" s="86" t="s">
        <v>1072</v>
      </c>
      <c r="B292" s="86" t="s">
        <v>682</v>
      </c>
      <c r="C292" s="86" t="s">
        <v>682</v>
      </c>
      <c r="E292" s="92"/>
      <c r="F292" s="11"/>
      <c r="G292" s="11"/>
    </row>
    <row r="293">
      <c r="A293" s="86" t="s">
        <v>1074</v>
      </c>
      <c r="B293" s="86" t="s">
        <v>682</v>
      </c>
      <c r="C293" s="86" t="s">
        <v>682</v>
      </c>
      <c r="E293" s="92"/>
      <c r="F293" s="11"/>
      <c r="G293" s="11"/>
    </row>
    <row r="294">
      <c r="A294" s="86" t="s">
        <v>1075</v>
      </c>
      <c r="B294" s="86" t="s">
        <v>682</v>
      </c>
      <c r="C294" s="86" t="s">
        <v>682</v>
      </c>
      <c r="E294" s="92"/>
      <c r="F294" s="11"/>
      <c r="G294" s="11"/>
    </row>
    <row r="295">
      <c r="A295" s="86" t="s">
        <v>1076</v>
      </c>
      <c r="B295" s="86" t="s">
        <v>689</v>
      </c>
      <c r="C295" s="87" t="s">
        <v>745</v>
      </c>
      <c r="E295" s="92"/>
      <c r="F295" s="11"/>
      <c r="G295" s="11"/>
    </row>
    <row r="296">
      <c r="A296" s="86" t="s">
        <v>1077</v>
      </c>
      <c r="B296" s="86" t="s">
        <v>687</v>
      </c>
      <c r="C296" s="87" t="s">
        <v>745</v>
      </c>
      <c r="E296" s="92"/>
      <c r="F296" s="11"/>
      <c r="G296" s="11"/>
    </row>
    <row r="297">
      <c r="A297" s="86" t="s">
        <v>618</v>
      </c>
      <c r="B297" s="86" t="s">
        <v>687</v>
      </c>
      <c r="C297" s="87" t="s">
        <v>745</v>
      </c>
      <c r="E297" s="92"/>
      <c r="F297" s="11"/>
      <c r="G297" s="11"/>
    </row>
    <row r="298">
      <c r="A298" s="86" t="s">
        <v>1078</v>
      </c>
      <c r="B298" s="86" t="s">
        <v>660</v>
      </c>
      <c r="C298" s="87" t="s">
        <v>745</v>
      </c>
      <c r="E298" s="92"/>
      <c r="F298" s="11"/>
      <c r="G298" s="11"/>
    </row>
    <row r="299">
      <c r="A299" s="86" t="s">
        <v>662</v>
      </c>
      <c r="B299" s="86" t="s">
        <v>683</v>
      </c>
      <c r="C299" s="87" t="s">
        <v>745</v>
      </c>
      <c r="E299" s="92"/>
      <c r="F299" s="11"/>
      <c r="G299" s="11"/>
    </row>
    <row r="300">
      <c r="A300" s="86" t="s">
        <v>1080</v>
      </c>
      <c r="B300" s="86" t="s">
        <v>663</v>
      </c>
      <c r="C300" s="87" t="s">
        <v>745</v>
      </c>
      <c r="E300" s="92"/>
      <c r="F300" s="11"/>
      <c r="G300" s="11"/>
    </row>
    <row r="301">
      <c r="A301" s="86" t="s">
        <v>1081</v>
      </c>
      <c r="B301" s="86" t="s">
        <v>682</v>
      </c>
      <c r="C301" s="86" t="s">
        <v>682</v>
      </c>
      <c r="E301" s="92"/>
      <c r="F301" s="11"/>
      <c r="G301" s="11"/>
    </row>
    <row r="302">
      <c r="A302" s="86" t="s">
        <v>1082</v>
      </c>
      <c r="B302" s="86" t="s">
        <v>682</v>
      </c>
      <c r="C302" s="86" t="s">
        <v>682</v>
      </c>
      <c r="E302" s="92"/>
      <c r="F302" s="11"/>
      <c r="G302" s="11"/>
    </row>
    <row r="303">
      <c r="A303" s="86" t="s">
        <v>1083</v>
      </c>
      <c r="B303" s="86" t="s">
        <v>682</v>
      </c>
      <c r="C303" s="86" t="s">
        <v>682</v>
      </c>
      <c r="E303" s="92"/>
      <c r="F303" s="11"/>
      <c r="G303" s="11"/>
    </row>
    <row r="304">
      <c r="A304" s="86" t="s">
        <v>1084</v>
      </c>
      <c r="B304" s="86" t="s">
        <v>682</v>
      </c>
      <c r="C304" s="86" t="s">
        <v>682</v>
      </c>
      <c r="E304" s="92"/>
      <c r="F304" s="11"/>
      <c r="G304" s="11"/>
    </row>
    <row r="305">
      <c r="A305" s="86" t="s">
        <v>1085</v>
      </c>
      <c r="B305" s="86" t="s">
        <v>691</v>
      </c>
      <c r="C305" s="87" t="s">
        <v>708</v>
      </c>
      <c r="E305" s="92"/>
      <c r="F305" s="11"/>
      <c r="G305" s="11"/>
    </row>
    <row r="306">
      <c r="A306" s="86" t="s">
        <v>1086</v>
      </c>
      <c r="B306" s="86" t="s">
        <v>689</v>
      </c>
      <c r="C306" s="87" t="s">
        <v>708</v>
      </c>
      <c r="E306" s="92"/>
      <c r="F306" s="11"/>
      <c r="G306" s="11"/>
    </row>
    <row r="307">
      <c r="A307" s="86" t="s">
        <v>1088</v>
      </c>
      <c r="B307" s="86" t="s">
        <v>689</v>
      </c>
      <c r="C307" s="87" t="s">
        <v>708</v>
      </c>
      <c r="E307" s="92"/>
      <c r="F307" s="11"/>
      <c r="G307" s="11"/>
    </row>
    <row r="308">
      <c r="A308" s="86" t="s">
        <v>1089</v>
      </c>
      <c r="B308" s="86" t="s">
        <v>687</v>
      </c>
      <c r="C308" s="87" t="s">
        <v>708</v>
      </c>
      <c r="E308" s="92"/>
      <c r="F308" s="11"/>
      <c r="G308" s="11"/>
    </row>
    <row r="309">
      <c r="A309" s="86" t="s">
        <v>374</v>
      </c>
      <c r="B309" s="86" t="s">
        <v>685</v>
      </c>
      <c r="C309" s="87" t="s">
        <v>708</v>
      </c>
      <c r="E309" s="92"/>
      <c r="F309" s="11"/>
      <c r="G309" s="11"/>
    </row>
    <row r="310">
      <c r="A310" s="86" t="s">
        <v>1093</v>
      </c>
      <c r="B310" s="86" t="s">
        <v>676</v>
      </c>
      <c r="C310" s="87" t="s">
        <v>708</v>
      </c>
      <c r="E310" s="92"/>
      <c r="F310" s="11"/>
      <c r="G310" s="11"/>
    </row>
    <row r="311">
      <c r="A311" s="86" t="s">
        <v>1094</v>
      </c>
      <c r="B311" s="86" t="s">
        <v>691</v>
      </c>
      <c r="C311" s="87" t="s">
        <v>710</v>
      </c>
      <c r="E311" s="92"/>
      <c r="F311" s="11"/>
      <c r="G311" s="11"/>
    </row>
    <row r="312">
      <c r="A312" s="86" t="s">
        <v>1097</v>
      </c>
      <c r="B312" s="86" t="s">
        <v>689</v>
      </c>
      <c r="C312" s="87" t="s">
        <v>710</v>
      </c>
      <c r="E312" s="92"/>
      <c r="F312" s="11"/>
      <c r="G312" s="11"/>
    </row>
    <row r="313">
      <c r="A313" s="86" t="s">
        <v>1098</v>
      </c>
      <c r="B313" s="86" t="s">
        <v>689</v>
      </c>
      <c r="C313" s="87" t="s">
        <v>710</v>
      </c>
      <c r="E313" s="92"/>
      <c r="F313" s="11"/>
      <c r="G313" s="11"/>
    </row>
    <row r="314">
      <c r="A314" s="86" t="s">
        <v>1099</v>
      </c>
      <c r="B314" s="86" t="s">
        <v>687</v>
      </c>
      <c r="C314" s="87" t="s">
        <v>710</v>
      </c>
      <c r="E314" s="92"/>
      <c r="F314" s="11"/>
      <c r="G314" s="11"/>
    </row>
    <row r="315">
      <c r="A315" s="86" t="s">
        <v>392</v>
      </c>
      <c r="B315" s="86" t="s">
        <v>685</v>
      </c>
      <c r="C315" s="87" t="s">
        <v>710</v>
      </c>
      <c r="E315" s="92"/>
      <c r="F315" s="11"/>
      <c r="G315" s="11"/>
    </row>
    <row r="316">
      <c r="A316" s="86" t="s">
        <v>1100</v>
      </c>
      <c r="B316" s="86" t="s">
        <v>676</v>
      </c>
      <c r="C316" s="87" t="s">
        <v>710</v>
      </c>
      <c r="E316" s="92"/>
      <c r="F316" s="11"/>
      <c r="G316" s="11"/>
    </row>
    <row r="317">
      <c r="A317" s="86" t="s">
        <v>1102</v>
      </c>
      <c r="B317" s="86" t="s">
        <v>691</v>
      </c>
      <c r="C317" s="87" t="s">
        <v>712</v>
      </c>
      <c r="E317" s="92"/>
      <c r="F317" s="11"/>
      <c r="G317" s="11"/>
    </row>
    <row r="318">
      <c r="A318" s="86" t="s">
        <v>1104</v>
      </c>
      <c r="B318" s="86" t="s">
        <v>689</v>
      </c>
      <c r="C318" s="87" t="s">
        <v>712</v>
      </c>
      <c r="E318" s="92"/>
      <c r="F318" s="11"/>
      <c r="G318" s="11"/>
    </row>
    <row r="319">
      <c r="A319" s="86" t="s">
        <v>1105</v>
      </c>
      <c r="B319" s="86" t="s">
        <v>689</v>
      </c>
      <c r="C319" s="87" t="s">
        <v>712</v>
      </c>
      <c r="E319" s="92"/>
      <c r="F319" s="11"/>
      <c r="G319" s="11"/>
    </row>
    <row r="320">
      <c r="A320" s="86" t="s">
        <v>1106</v>
      </c>
      <c r="B320" s="86" t="s">
        <v>687</v>
      </c>
      <c r="C320" s="87" t="s">
        <v>712</v>
      </c>
      <c r="E320" s="92"/>
      <c r="F320" s="11"/>
      <c r="G320" s="11"/>
    </row>
    <row r="321">
      <c r="A321" s="86" t="s">
        <v>362</v>
      </c>
      <c r="B321" s="86" t="s">
        <v>685</v>
      </c>
      <c r="C321" s="87" t="s">
        <v>712</v>
      </c>
      <c r="E321" s="92"/>
      <c r="F321" s="11"/>
      <c r="G321" s="11"/>
    </row>
    <row r="322">
      <c r="A322" s="86" t="s">
        <v>1107</v>
      </c>
      <c r="B322" s="86" t="s">
        <v>676</v>
      </c>
      <c r="C322" s="87" t="s">
        <v>712</v>
      </c>
      <c r="E322" s="92"/>
      <c r="F322" s="11"/>
      <c r="G322" s="11"/>
    </row>
    <row r="323">
      <c r="A323" s="86" t="s">
        <v>1108</v>
      </c>
      <c r="B323" s="86" t="s">
        <v>709</v>
      </c>
      <c r="C323" s="87" t="s">
        <v>7</v>
      </c>
      <c r="E323" s="92"/>
      <c r="F323" s="11"/>
      <c r="G323" s="11"/>
    </row>
    <row r="324">
      <c r="A324" s="86" t="s">
        <v>1110</v>
      </c>
      <c r="B324" s="86" t="s">
        <v>689</v>
      </c>
      <c r="C324" s="87" t="s">
        <v>7</v>
      </c>
      <c r="E324" s="92"/>
      <c r="F324" s="11"/>
      <c r="G324" s="11"/>
    </row>
    <row r="325">
      <c r="A325" s="86" t="s">
        <v>1113</v>
      </c>
      <c r="B325" s="86" t="s">
        <v>687</v>
      </c>
      <c r="C325" s="87" t="s">
        <v>7</v>
      </c>
      <c r="E325" s="92"/>
      <c r="F325" s="11"/>
      <c r="G325" s="11"/>
    </row>
    <row r="326">
      <c r="A326" s="86" t="s">
        <v>1114</v>
      </c>
      <c r="B326" s="86" t="s">
        <v>687</v>
      </c>
      <c r="C326" s="87" t="s">
        <v>7</v>
      </c>
      <c r="E326" s="92"/>
      <c r="F326" s="11"/>
      <c r="G326" s="11"/>
    </row>
    <row r="327">
      <c r="A327" s="86" t="s">
        <v>1115</v>
      </c>
      <c r="B327" s="86" t="s">
        <v>709</v>
      </c>
      <c r="C327" s="87" t="s">
        <v>717</v>
      </c>
      <c r="E327" s="92"/>
      <c r="F327" s="11"/>
      <c r="G327" s="11"/>
    </row>
    <row r="328">
      <c r="A328" s="86" t="s">
        <v>1116</v>
      </c>
      <c r="B328" s="86" t="s">
        <v>689</v>
      </c>
      <c r="C328" s="87" t="s">
        <v>717</v>
      </c>
      <c r="E328" s="92"/>
      <c r="F328" s="11"/>
      <c r="G328" s="11"/>
    </row>
    <row r="329">
      <c r="A329" s="86" t="s">
        <v>1117</v>
      </c>
      <c r="B329" s="86" t="s">
        <v>687</v>
      </c>
      <c r="C329" s="87" t="s">
        <v>717</v>
      </c>
      <c r="E329" s="92"/>
      <c r="F329" s="11"/>
      <c r="G329" s="11"/>
    </row>
    <row r="330">
      <c r="A330" s="86" t="s">
        <v>1119</v>
      </c>
      <c r="B330" s="86" t="s">
        <v>683</v>
      </c>
      <c r="C330" s="87" t="s">
        <v>717</v>
      </c>
      <c r="E330" s="92"/>
      <c r="F330" s="11"/>
      <c r="G330" s="11"/>
    </row>
    <row r="331">
      <c r="A331" s="86" t="s">
        <v>1120</v>
      </c>
      <c r="B331" s="86" t="s">
        <v>691</v>
      </c>
      <c r="C331" s="87" t="s">
        <v>717</v>
      </c>
      <c r="E331" s="92"/>
      <c r="F331" s="11"/>
      <c r="G331" s="11"/>
    </row>
    <row r="332">
      <c r="A332" s="86" t="s">
        <v>1122</v>
      </c>
      <c r="B332" s="86" t="s">
        <v>689</v>
      </c>
      <c r="C332" s="87" t="s">
        <v>717</v>
      </c>
      <c r="E332" s="92"/>
      <c r="F332" s="11"/>
      <c r="G332" s="11"/>
    </row>
    <row r="333">
      <c r="A333" s="86" t="s">
        <v>1123</v>
      </c>
      <c r="B333" s="86" t="s">
        <v>687</v>
      </c>
      <c r="C333" s="87" t="s">
        <v>715</v>
      </c>
      <c r="E333" s="92"/>
      <c r="F333" s="11"/>
      <c r="G333" s="11"/>
    </row>
    <row r="334">
      <c r="A334" s="86" t="s">
        <v>1125</v>
      </c>
      <c r="B334" s="86" t="s">
        <v>685</v>
      </c>
      <c r="C334" s="87" t="s">
        <v>734</v>
      </c>
      <c r="E334" s="92"/>
      <c r="F334" s="11"/>
      <c r="G334" s="11"/>
    </row>
    <row r="335">
      <c r="A335" s="86" t="s">
        <v>1126</v>
      </c>
      <c r="B335" s="86" t="s">
        <v>691</v>
      </c>
      <c r="C335" s="87" t="s">
        <v>721</v>
      </c>
      <c r="E335" s="92"/>
      <c r="F335" s="11"/>
      <c r="G335" s="11"/>
    </row>
    <row r="336">
      <c r="A336" s="86" t="s">
        <v>1128</v>
      </c>
      <c r="B336" s="86" t="s">
        <v>689</v>
      </c>
      <c r="C336" s="87" t="s">
        <v>721</v>
      </c>
      <c r="E336" s="92"/>
      <c r="F336" s="11"/>
      <c r="G336" s="11"/>
    </row>
    <row r="337">
      <c r="A337" s="86" t="s">
        <v>1129</v>
      </c>
      <c r="B337" s="86" t="s">
        <v>687</v>
      </c>
      <c r="C337" s="87" t="s">
        <v>715</v>
      </c>
      <c r="E337" s="92"/>
      <c r="F337" s="11"/>
      <c r="G337" s="11"/>
    </row>
    <row r="338">
      <c r="A338" s="86" t="s">
        <v>1130</v>
      </c>
      <c r="B338" s="86" t="s">
        <v>685</v>
      </c>
      <c r="C338" s="87" t="s">
        <v>715</v>
      </c>
      <c r="E338" s="92"/>
      <c r="F338" s="11"/>
      <c r="G338" s="11"/>
    </row>
    <row r="339">
      <c r="A339" s="86" t="s">
        <v>546</v>
      </c>
      <c r="B339" s="86" t="s">
        <v>685</v>
      </c>
      <c r="C339" s="87" t="s">
        <v>717</v>
      </c>
      <c r="E339" s="92"/>
      <c r="F339" s="11"/>
      <c r="G339" s="11"/>
    </row>
    <row r="340">
      <c r="A340" s="86" t="s">
        <v>1131</v>
      </c>
      <c r="B340" s="86" t="s">
        <v>683</v>
      </c>
      <c r="C340" s="87" t="s">
        <v>717</v>
      </c>
      <c r="E340" s="92"/>
      <c r="F340" s="11"/>
      <c r="G340" s="11"/>
    </row>
    <row r="341">
      <c r="A341" s="86" t="s">
        <v>1132</v>
      </c>
      <c r="B341" s="86" t="s">
        <v>691</v>
      </c>
      <c r="C341" s="87" t="s">
        <v>723</v>
      </c>
      <c r="E341" s="92"/>
      <c r="F341" s="11"/>
      <c r="G341" s="11"/>
    </row>
    <row r="342">
      <c r="A342" s="86" t="s">
        <v>1133</v>
      </c>
      <c r="B342" s="86" t="s">
        <v>689</v>
      </c>
      <c r="C342" s="87" t="s">
        <v>723</v>
      </c>
      <c r="E342" s="92"/>
      <c r="F342" s="11"/>
      <c r="G342" s="11"/>
    </row>
    <row r="343">
      <c r="A343" s="86" t="s">
        <v>1134</v>
      </c>
      <c r="B343" s="86" t="s">
        <v>685</v>
      </c>
      <c r="C343" s="87" t="s">
        <v>723</v>
      </c>
      <c r="E343" s="92"/>
      <c r="F343" s="11"/>
      <c r="G343" s="11"/>
    </row>
    <row r="344">
      <c r="A344" s="86" t="s">
        <v>1135</v>
      </c>
      <c r="B344" s="86" t="s">
        <v>683</v>
      </c>
      <c r="C344" s="87" t="s">
        <v>723</v>
      </c>
      <c r="E344" s="92"/>
      <c r="F344" s="11"/>
      <c r="G344" s="11"/>
    </row>
    <row r="345">
      <c r="A345" s="86" t="s">
        <v>1136</v>
      </c>
      <c r="B345" s="86" t="s">
        <v>691</v>
      </c>
      <c r="C345" s="87" t="s">
        <v>723</v>
      </c>
      <c r="E345" s="92"/>
      <c r="F345" s="11"/>
      <c r="G345" s="11"/>
    </row>
    <row r="346">
      <c r="A346" s="86" t="s">
        <v>1138</v>
      </c>
      <c r="B346" s="86" t="s">
        <v>689</v>
      </c>
      <c r="C346" s="87" t="s">
        <v>723</v>
      </c>
      <c r="E346" s="92"/>
      <c r="F346" s="11"/>
      <c r="G346" s="11"/>
    </row>
    <row r="347">
      <c r="A347" s="86" t="s">
        <v>1140</v>
      </c>
      <c r="B347" s="86" t="s">
        <v>709</v>
      </c>
      <c r="C347" s="87" t="s">
        <v>7</v>
      </c>
      <c r="E347" s="92"/>
      <c r="F347" s="11"/>
      <c r="G347" s="11"/>
    </row>
    <row r="348">
      <c r="A348" s="86" t="s">
        <v>1141</v>
      </c>
      <c r="B348" s="86" t="s">
        <v>691</v>
      </c>
      <c r="C348" s="87" t="s">
        <v>7</v>
      </c>
      <c r="E348" s="92"/>
      <c r="F348" s="11"/>
      <c r="G348" s="11"/>
    </row>
    <row r="349">
      <c r="A349" s="86" t="s">
        <v>1142</v>
      </c>
      <c r="B349" s="86" t="s">
        <v>709</v>
      </c>
      <c r="C349" s="87" t="s">
        <v>7</v>
      </c>
      <c r="E349" s="92"/>
      <c r="F349" s="11"/>
      <c r="G349" s="11"/>
    </row>
    <row r="350">
      <c r="A350" s="86" t="s">
        <v>1145</v>
      </c>
      <c r="B350" s="86" t="s">
        <v>691</v>
      </c>
      <c r="C350" s="87" t="s">
        <v>7</v>
      </c>
      <c r="E350" s="92"/>
      <c r="F350" s="11"/>
      <c r="G350" s="11"/>
    </row>
    <row r="351">
      <c r="A351" s="86" t="s">
        <v>1146</v>
      </c>
      <c r="B351" s="86" t="s">
        <v>691</v>
      </c>
      <c r="C351" s="87" t="s">
        <v>7</v>
      </c>
      <c r="E351" s="92"/>
      <c r="F351" s="11"/>
      <c r="G351" s="11"/>
    </row>
    <row r="352">
      <c r="A352" s="86" t="s">
        <v>1147</v>
      </c>
      <c r="B352" s="86" t="s">
        <v>689</v>
      </c>
      <c r="C352" s="87" t="s">
        <v>7</v>
      </c>
      <c r="E352" s="92"/>
      <c r="F352" s="11"/>
      <c r="G352" s="11"/>
    </row>
    <row r="353">
      <c r="A353" s="86" t="s">
        <v>1148</v>
      </c>
      <c r="B353" s="87" t="s">
        <v>685</v>
      </c>
      <c r="C353" s="87" t="s">
        <v>728</v>
      </c>
      <c r="E353" s="92"/>
      <c r="F353" s="11"/>
      <c r="G353" s="11"/>
    </row>
    <row r="354">
      <c r="A354" s="86" t="s">
        <v>1150</v>
      </c>
      <c r="B354" s="87" t="s">
        <v>683</v>
      </c>
      <c r="C354" s="87" t="s">
        <v>728</v>
      </c>
      <c r="E354" s="92"/>
      <c r="F354" s="11"/>
      <c r="G354" s="11"/>
    </row>
    <row r="355">
      <c r="A355" s="86" t="s">
        <v>1151</v>
      </c>
      <c r="B355" s="86" t="s">
        <v>691</v>
      </c>
      <c r="C355" s="87" t="s">
        <v>732</v>
      </c>
      <c r="E355" s="92"/>
      <c r="F355" s="11"/>
      <c r="G355" s="11"/>
    </row>
    <row r="356">
      <c r="A356" s="86" t="s">
        <v>1152</v>
      </c>
      <c r="B356" s="86" t="s">
        <v>689</v>
      </c>
      <c r="C356" s="87" t="s">
        <v>732</v>
      </c>
      <c r="E356" s="92"/>
      <c r="F356" s="11"/>
      <c r="G356" s="11"/>
    </row>
    <row r="357">
      <c r="A357" s="86" t="s">
        <v>558</v>
      </c>
      <c r="B357" s="86" t="s">
        <v>685</v>
      </c>
      <c r="C357" s="87" t="s">
        <v>732</v>
      </c>
      <c r="E357" s="92"/>
      <c r="F357" s="11"/>
      <c r="G357" s="11"/>
    </row>
    <row r="358">
      <c r="A358" s="86" t="s">
        <v>1153</v>
      </c>
      <c r="B358" s="86" t="s">
        <v>683</v>
      </c>
      <c r="C358" s="87" t="s">
        <v>742</v>
      </c>
      <c r="E358" s="92"/>
      <c r="F358" s="11"/>
      <c r="G358" s="11"/>
    </row>
    <row r="359">
      <c r="A359" s="86" t="s">
        <v>1155</v>
      </c>
      <c r="B359" s="86" t="s">
        <v>691</v>
      </c>
      <c r="C359" s="87" t="s">
        <v>723</v>
      </c>
      <c r="E359" s="92"/>
      <c r="F359" s="11"/>
      <c r="G359" s="11"/>
    </row>
    <row r="360">
      <c r="A360" s="86" t="s">
        <v>1156</v>
      </c>
      <c r="B360" s="86" t="s">
        <v>689</v>
      </c>
      <c r="C360" s="87" t="s">
        <v>723</v>
      </c>
      <c r="E360" s="92"/>
      <c r="F360" s="11"/>
      <c r="G360" s="11"/>
    </row>
    <row r="361">
      <c r="A361" s="86" t="s">
        <v>1159</v>
      </c>
      <c r="B361" s="86" t="s">
        <v>689</v>
      </c>
      <c r="C361" s="87" t="s">
        <v>723</v>
      </c>
      <c r="E361" s="92"/>
      <c r="F361" s="11"/>
      <c r="G361" s="11"/>
    </row>
    <row r="362">
      <c r="A362" s="86" t="s">
        <v>1160</v>
      </c>
      <c r="B362" s="86" t="s">
        <v>687</v>
      </c>
      <c r="C362" s="87" t="s">
        <v>723</v>
      </c>
      <c r="E362" s="92"/>
      <c r="F362" s="11"/>
      <c r="G362" s="11"/>
    </row>
    <row r="363">
      <c r="A363" s="86" t="s">
        <v>161</v>
      </c>
      <c r="B363" s="86" t="s">
        <v>685</v>
      </c>
      <c r="C363" s="87" t="s">
        <v>723</v>
      </c>
      <c r="E363" s="92"/>
      <c r="F363" s="11"/>
      <c r="G363" s="11"/>
    </row>
    <row r="364">
      <c r="A364" s="86" t="s">
        <v>1162</v>
      </c>
      <c r="B364" s="86" t="s">
        <v>676</v>
      </c>
      <c r="C364" s="87" t="s">
        <v>723</v>
      </c>
      <c r="E364" s="92"/>
      <c r="F364" s="11"/>
      <c r="G364" s="11"/>
    </row>
    <row r="365">
      <c r="A365" s="86" t="s">
        <v>1163</v>
      </c>
      <c r="B365" s="86" t="s">
        <v>687</v>
      </c>
      <c r="C365" s="87" t="s">
        <v>708</v>
      </c>
      <c r="E365" s="92"/>
      <c r="F365" s="11"/>
      <c r="G365" s="11"/>
    </row>
    <row r="366">
      <c r="A366" s="86" t="s">
        <v>1165</v>
      </c>
      <c r="B366" s="86" t="s">
        <v>685</v>
      </c>
      <c r="C366" s="87" t="s">
        <v>708</v>
      </c>
      <c r="E366" s="92"/>
      <c r="F366" s="11"/>
      <c r="G366" s="11"/>
    </row>
    <row r="367">
      <c r="A367" s="86" t="s">
        <v>1166</v>
      </c>
      <c r="B367" s="86" t="s">
        <v>691</v>
      </c>
      <c r="C367" s="87" t="s">
        <v>712</v>
      </c>
      <c r="E367" s="92"/>
      <c r="F367" s="11"/>
      <c r="G367" s="11"/>
    </row>
    <row r="368">
      <c r="A368" s="86" t="s">
        <v>1169</v>
      </c>
      <c r="B368" s="86" t="s">
        <v>689</v>
      </c>
      <c r="C368" s="87" t="s">
        <v>712</v>
      </c>
      <c r="E368" s="92"/>
      <c r="F368" s="11"/>
      <c r="G368" s="11"/>
    </row>
    <row r="369">
      <c r="A369" s="86" t="s">
        <v>1170</v>
      </c>
      <c r="B369" s="86" t="s">
        <v>687</v>
      </c>
      <c r="C369" s="87" t="s">
        <v>712</v>
      </c>
      <c r="E369" s="92"/>
      <c r="F369" s="11"/>
      <c r="G369" s="11"/>
    </row>
    <row r="370">
      <c r="A370" s="86" t="s">
        <v>1172</v>
      </c>
      <c r="B370" s="86" t="s">
        <v>685</v>
      </c>
      <c r="C370" s="87" t="s">
        <v>712</v>
      </c>
      <c r="E370" s="92"/>
      <c r="F370" s="11"/>
      <c r="G370" s="11"/>
    </row>
    <row r="371">
      <c r="A371" s="86" t="s">
        <v>1174</v>
      </c>
      <c r="B371" s="86" t="s">
        <v>683</v>
      </c>
      <c r="C371" s="87" t="s">
        <v>736</v>
      </c>
      <c r="E371" s="92"/>
      <c r="F371" s="11"/>
      <c r="G371" s="11"/>
    </row>
    <row r="372">
      <c r="A372" s="86" t="s">
        <v>1176</v>
      </c>
      <c r="B372" s="86" t="s">
        <v>676</v>
      </c>
      <c r="C372" s="87" t="s">
        <v>736</v>
      </c>
      <c r="E372" s="92"/>
      <c r="F372" s="11"/>
      <c r="G372" s="11"/>
    </row>
    <row r="373">
      <c r="A373" s="86" t="s">
        <v>383</v>
      </c>
      <c r="B373" s="86" t="s">
        <v>687</v>
      </c>
      <c r="C373" s="87" t="s">
        <v>712</v>
      </c>
      <c r="E373" s="92"/>
      <c r="F373" s="11"/>
      <c r="G373" s="11"/>
    </row>
    <row r="374">
      <c r="A374" s="86" t="s">
        <v>1177</v>
      </c>
      <c r="B374" s="86" t="s">
        <v>676</v>
      </c>
      <c r="C374" s="87" t="s">
        <v>712</v>
      </c>
      <c r="E374" s="92"/>
      <c r="F374" s="11"/>
      <c r="G374" s="11"/>
    </row>
    <row r="375">
      <c r="A375" s="86" t="s">
        <v>1179</v>
      </c>
      <c r="B375" s="86" t="s">
        <v>691</v>
      </c>
      <c r="C375" s="87" t="s">
        <v>708</v>
      </c>
      <c r="E375" s="92"/>
      <c r="F375" s="11"/>
      <c r="G375" s="11"/>
    </row>
    <row r="376">
      <c r="A376" s="86" t="s">
        <v>1180</v>
      </c>
      <c r="B376" s="86" t="s">
        <v>689</v>
      </c>
      <c r="C376" s="87" t="s">
        <v>708</v>
      </c>
      <c r="E376" s="92"/>
      <c r="F376" s="11"/>
      <c r="G376" s="11"/>
    </row>
    <row r="377">
      <c r="A377" s="86" t="s">
        <v>1181</v>
      </c>
      <c r="B377" s="86" t="s">
        <v>689</v>
      </c>
      <c r="C377" s="87" t="s">
        <v>708</v>
      </c>
      <c r="E377" s="92"/>
      <c r="F377" s="11"/>
      <c r="G377" s="11"/>
    </row>
    <row r="378">
      <c r="A378" s="86" t="s">
        <v>1182</v>
      </c>
      <c r="B378" s="86" t="s">
        <v>687</v>
      </c>
      <c r="C378" s="87" t="s">
        <v>708</v>
      </c>
      <c r="E378" s="92"/>
      <c r="F378" s="11"/>
      <c r="G378" s="11"/>
    </row>
    <row r="379">
      <c r="A379" s="86" t="s">
        <v>1183</v>
      </c>
      <c r="B379" s="86" t="s">
        <v>687</v>
      </c>
      <c r="C379" s="87" t="s">
        <v>708</v>
      </c>
      <c r="E379" s="92"/>
      <c r="F379" s="11"/>
      <c r="G379" s="11"/>
    </row>
    <row r="380">
      <c r="A380" s="86" t="s">
        <v>1184</v>
      </c>
      <c r="B380" s="86" t="s">
        <v>685</v>
      </c>
      <c r="C380" s="87" t="s">
        <v>708</v>
      </c>
      <c r="E380" s="92"/>
      <c r="F380" s="11"/>
      <c r="G380" s="11"/>
    </row>
    <row r="381">
      <c r="A381" s="86" t="s">
        <v>1186</v>
      </c>
      <c r="B381" s="86" t="s">
        <v>691</v>
      </c>
      <c r="C381" s="87" t="s">
        <v>7</v>
      </c>
      <c r="E381" s="92"/>
      <c r="F381" s="11"/>
      <c r="G381" s="11"/>
    </row>
    <row r="382">
      <c r="A382" s="86" t="s">
        <v>1188</v>
      </c>
      <c r="B382" s="86" t="s">
        <v>689</v>
      </c>
      <c r="C382" s="87" t="s">
        <v>7</v>
      </c>
      <c r="E382" s="92"/>
      <c r="F382" s="11"/>
      <c r="G382" s="11"/>
    </row>
    <row r="383">
      <c r="A383" s="86" t="s">
        <v>1189</v>
      </c>
      <c r="B383" s="86" t="s">
        <v>709</v>
      </c>
      <c r="C383" s="87" t="s">
        <v>708</v>
      </c>
      <c r="E383" s="92"/>
      <c r="F383" s="11"/>
      <c r="G383" s="11"/>
    </row>
    <row r="384">
      <c r="A384" s="86" t="s">
        <v>1192</v>
      </c>
      <c r="B384" s="86" t="s">
        <v>689</v>
      </c>
      <c r="C384" s="87" t="s">
        <v>708</v>
      </c>
      <c r="E384" s="92"/>
      <c r="F384" s="11"/>
      <c r="G384" s="11"/>
    </row>
    <row r="385">
      <c r="A385" s="86" t="s">
        <v>1193</v>
      </c>
      <c r="B385" s="86" t="s">
        <v>689</v>
      </c>
      <c r="C385" s="87" t="s">
        <v>708</v>
      </c>
      <c r="E385" s="92"/>
      <c r="F385" s="11"/>
      <c r="G385" s="11"/>
    </row>
    <row r="386">
      <c r="A386" s="86" t="s">
        <v>1194</v>
      </c>
      <c r="B386" s="86" t="s">
        <v>687</v>
      </c>
      <c r="C386" s="87" t="s">
        <v>708</v>
      </c>
      <c r="E386" s="92"/>
      <c r="F386" s="11"/>
      <c r="G386" s="11"/>
    </row>
    <row r="387">
      <c r="A387" s="86" t="s">
        <v>1195</v>
      </c>
      <c r="B387" s="86" t="s">
        <v>689</v>
      </c>
      <c r="C387" s="87" t="s">
        <v>717</v>
      </c>
      <c r="E387" s="92"/>
      <c r="F387" s="11"/>
      <c r="G387" s="11"/>
    </row>
    <row r="388">
      <c r="A388" s="86" t="s">
        <v>1197</v>
      </c>
      <c r="B388" s="86" t="s">
        <v>685</v>
      </c>
      <c r="C388" s="87" t="s">
        <v>715</v>
      </c>
      <c r="E388" s="92"/>
      <c r="F388" s="11"/>
      <c r="G388" s="11"/>
    </row>
    <row r="389">
      <c r="A389" s="86" t="s">
        <v>1200</v>
      </c>
      <c r="B389" s="86" t="s">
        <v>691</v>
      </c>
      <c r="C389" s="87" t="s">
        <v>712</v>
      </c>
      <c r="E389" s="92"/>
      <c r="F389" s="11"/>
      <c r="G389" s="11"/>
    </row>
    <row r="390">
      <c r="A390" s="86" t="s">
        <v>1201</v>
      </c>
      <c r="B390" s="86" t="s">
        <v>689</v>
      </c>
      <c r="C390" s="87" t="s">
        <v>712</v>
      </c>
      <c r="E390" s="92"/>
      <c r="F390" s="11"/>
      <c r="G390" s="11"/>
    </row>
    <row r="391">
      <c r="A391" s="86" t="s">
        <v>1203</v>
      </c>
      <c r="B391" s="86" t="s">
        <v>687</v>
      </c>
      <c r="C391" s="87" t="s">
        <v>712</v>
      </c>
      <c r="E391" s="92"/>
      <c r="F391" s="11"/>
      <c r="G391" s="11"/>
    </row>
    <row r="392">
      <c r="A392" s="86" t="s">
        <v>1204</v>
      </c>
      <c r="B392" s="86" t="s">
        <v>683</v>
      </c>
      <c r="C392" s="87" t="s">
        <v>725</v>
      </c>
      <c r="E392" s="92"/>
      <c r="F392" s="11"/>
      <c r="G392" s="11"/>
    </row>
    <row r="393">
      <c r="A393" s="86" t="s">
        <v>360</v>
      </c>
      <c r="B393" s="86" t="s">
        <v>687</v>
      </c>
      <c r="C393" s="87" t="s">
        <v>732</v>
      </c>
      <c r="E393" s="92"/>
      <c r="F393" s="11"/>
      <c r="G393" s="11"/>
    </row>
    <row r="394">
      <c r="A394" s="86" t="s">
        <v>1205</v>
      </c>
      <c r="B394" s="86" t="s">
        <v>676</v>
      </c>
      <c r="C394" s="87" t="s">
        <v>732</v>
      </c>
      <c r="E394" s="92"/>
      <c r="F394" s="11"/>
      <c r="G394" s="11"/>
    </row>
    <row r="395">
      <c r="A395" s="86" t="s">
        <v>393</v>
      </c>
      <c r="B395" s="86" t="s">
        <v>687</v>
      </c>
      <c r="C395" s="87" t="s">
        <v>731</v>
      </c>
      <c r="E395" s="92"/>
      <c r="F395" s="11"/>
      <c r="G395" s="11"/>
    </row>
    <row r="396">
      <c r="A396" s="86" t="s">
        <v>1206</v>
      </c>
      <c r="B396" s="86" t="s">
        <v>676</v>
      </c>
      <c r="C396" s="87" t="s">
        <v>731</v>
      </c>
      <c r="E396" s="92"/>
      <c r="F396" s="11"/>
      <c r="G396" s="11"/>
    </row>
    <row r="397">
      <c r="A397" s="86" t="s">
        <v>1041</v>
      </c>
      <c r="B397" s="86" t="s">
        <v>689</v>
      </c>
      <c r="C397" s="87" t="s">
        <v>731</v>
      </c>
      <c r="E397" s="92"/>
      <c r="F397" s="11"/>
      <c r="G397" s="11"/>
    </row>
    <row r="398">
      <c r="A398" s="86" t="s">
        <v>1053</v>
      </c>
      <c r="B398" s="86" t="s">
        <v>685</v>
      </c>
      <c r="C398" s="87" t="s">
        <v>731</v>
      </c>
      <c r="E398" s="92"/>
      <c r="F398" s="11"/>
      <c r="G398" s="11"/>
    </row>
    <row r="399">
      <c r="A399" s="86" t="s">
        <v>388</v>
      </c>
      <c r="B399" s="86" t="s">
        <v>683</v>
      </c>
      <c r="C399" s="87" t="s">
        <v>732</v>
      </c>
      <c r="E399" s="92"/>
      <c r="F399" s="11"/>
      <c r="G399" s="11"/>
    </row>
    <row r="400">
      <c r="A400" s="86" t="s">
        <v>1207</v>
      </c>
      <c r="B400" s="86" t="s">
        <v>676</v>
      </c>
      <c r="C400" s="87" t="s">
        <v>732</v>
      </c>
      <c r="E400" s="92"/>
      <c r="F400" s="11"/>
      <c r="G400" s="11"/>
    </row>
    <row r="401">
      <c r="A401" s="86" t="s">
        <v>396</v>
      </c>
      <c r="B401" s="86" t="s">
        <v>685</v>
      </c>
      <c r="C401" s="87" t="s">
        <v>742</v>
      </c>
      <c r="E401" s="92"/>
      <c r="F401" s="11"/>
      <c r="G401" s="11"/>
    </row>
    <row r="402">
      <c r="A402" s="86" t="s">
        <v>1210</v>
      </c>
      <c r="B402" s="86" t="s">
        <v>654</v>
      </c>
      <c r="C402" s="87" t="s">
        <v>742</v>
      </c>
      <c r="E402" s="92"/>
      <c r="F402" s="11"/>
      <c r="G402" s="11"/>
    </row>
    <row r="403">
      <c r="A403" s="86" t="s">
        <v>1211</v>
      </c>
      <c r="B403" s="86" t="s">
        <v>682</v>
      </c>
      <c r="C403" s="86" t="s">
        <v>682</v>
      </c>
      <c r="E403" s="92"/>
      <c r="F403" s="11"/>
      <c r="G403" s="11"/>
    </row>
    <row r="404">
      <c r="A404" s="86" t="s">
        <v>1212</v>
      </c>
      <c r="B404" s="86" t="s">
        <v>682</v>
      </c>
      <c r="C404" s="86" t="s">
        <v>682</v>
      </c>
      <c r="E404" s="92"/>
      <c r="F404" s="11"/>
      <c r="G404" s="11"/>
    </row>
    <row r="405">
      <c r="A405" s="86" t="s">
        <v>407</v>
      </c>
      <c r="B405" s="86" t="s">
        <v>683</v>
      </c>
      <c r="C405" s="87" t="s">
        <v>732</v>
      </c>
      <c r="E405" s="92"/>
      <c r="F405" s="11"/>
      <c r="G405" s="11"/>
    </row>
    <row r="406">
      <c r="A406" s="86" t="s">
        <v>1213</v>
      </c>
      <c r="B406" s="86" t="s">
        <v>654</v>
      </c>
      <c r="C406" s="87" t="s">
        <v>732</v>
      </c>
      <c r="E406" s="92"/>
      <c r="F406" s="11"/>
      <c r="G406" s="11"/>
    </row>
    <row r="407">
      <c r="A407" s="86" t="s">
        <v>560</v>
      </c>
      <c r="B407" s="86" t="s">
        <v>685</v>
      </c>
      <c r="C407" s="87" t="s">
        <v>731</v>
      </c>
      <c r="E407" s="92"/>
      <c r="F407" s="11"/>
      <c r="G407" s="11"/>
    </row>
    <row r="408">
      <c r="A408" s="86" t="s">
        <v>1214</v>
      </c>
      <c r="B408" s="86" t="s">
        <v>683</v>
      </c>
      <c r="C408" s="87" t="s">
        <v>731</v>
      </c>
      <c r="E408" s="92"/>
      <c r="F408" s="11"/>
      <c r="G408" s="11"/>
    </row>
    <row r="409">
      <c r="A409" s="86" t="s">
        <v>1215</v>
      </c>
      <c r="B409" s="86" t="s">
        <v>709</v>
      </c>
      <c r="C409" s="87" t="s">
        <v>7</v>
      </c>
      <c r="E409" s="92"/>
      <c r="F409" s="11"/>
      <c r="G409" s="11"/>
    </row>
    <row r="410">
      <c r="A410" s="86" t="s">
        <v>1216</v>
      </c>
      <c r="B410" s="86" t="s">
        <v>689</v>
      </c>
      <c r="C410" s="87" t="s">
        <v>7</v>
      </c>
      <c r="E410" s="92"/>
      <c r="F410" s="11"/>
      <c r="G410" s="11"/>
    </row>
    <row r="411">
      <c r="A411" s="86" t="s">
        <v>1219</v>
      </c>
      <c r="B411" s="86" t="s">
        <v>685</v>
      </c>
      <c r="C411" s="87" t="s">
        <v>714</v>
      </c>
      <c r="E411" s="92"/>
      <c r="F411" s="11"/>
      <c r="G411" s="11"/>
    </row>
    <row r="412">
      <c r="A412" s="86" t="s">
        <v>1220</v>
      </c>
      <c r="B412" s="86" t="s">
        <v>683</v>
      </c>
      <c r="C412" s="87" t="s">
        <v>714</v>
      </c>
      <c r="E412" s="92"/>
      <c r="F412" s="11"/>
      <c r="G412" s="11"/>
    </row>
    <row r="413">
      <c r="A413" s="86" t="s">
        <v>1221</v>
      </c>
      <c r="B413" s="86" t="s">
        <v>689</v>
      </c>
      <c r="C413" s="87" t="s">
        <v>7</v>
      </c>
      <c r="E413" s="92"/>
      <c r="F413" s="11"/>
      <c r="G413" s="11"/>
    </row>
    <row r="414">
      <c r="A414" s="86" t="s">
        <v>1222</v>
      </c>
      <c r="B414" s="86" t="s">
        <v>687</v>
      </c>
      <c r="C414" s="87" t="s">
        <v>7</v>
      </c>
      <c r="E414" s="92"/>
      <c r="F414" s="11"/>
      <c r="G414" s="11"/>
    </row>
    <row r="415">
      <c r="A415" s="86" t="s">
        <v>1223</v>
      </c>
      <c r="B415" s="86" t="s">
        <v>689</v>
      </c>
      <c r="C415" s="87" t="s">
        <v>715</v>
      </c>
      <c r="E415" s="92"/>
      <c r="F415" s="11"/>
      <c r="G415" s="11"/>
    </row>
    <row r="416">
      <c r="A416" s="86" t="s">
        <v>1224</v>
      </c>
      <c r="B416" s="86" t="s">
        <v>687</v>
      </c>
      <c r="C416" s="87" t="s">
        <v>715</v>
      </c>
      <c r="E416" s="92"/>
      <c r="F416" s="11"/>
      <c r="G416" s="11"/>
    </row>
    <row r="417">
      <c r="A417" s="86" t="s">
        <v>390</v>
      </c>
      <c r="B417" s="86" t="s">
        <v>683</v>
      </c>
      <c r="C417" s="87" t="s">
        <v>725</v>
      </c>
      <c r="E417" s="92"/>
      <c r="F417" s="11"/>
      <c r="G417" s="11"/>
    </row>
    <row r="418">
      <c r="A418" s="86" t="s">
        <v>1225</v>
      </c>
      <c r="B418" s="86" t="s">
        <v>676</v>
      </c>
      <c r="C418" s="87" t="s">
        <v>725</v>
      </c>
      <c r="E418" s="92"/>
      <c r="F418" s="11"/>
      <c r="G418" s="11"/>
    </row>
    <row r="419">
      <c r="A419" s="86" t="s">
        <v>1226</v>
      </c>
      <c r="B419" s="86" t="s">
        <v>691</v>
      </c>
      <c r="C419" s="87" t="s">
        <v>728</v>
      </c>
      <c r="E419" s="92"/>
      <c r="F419" s="11"/>
      <c r="G419" s="11"/>
    </row>
    <row r="420">
      <c r="A420" s="86" t="s">
        <v>1227</v>
      </c>
      <c r="B420" s="86" t="s">
        <v>689</v>
      </c>
      <c r="C420" s="87" t="s">
        <v>728</v>
      </c>
      <c r="E420" s="92"/>
      <c r="F420" s="11"/>
      <c r="G420" s="11"/>
    </row>
    <row r="421">
      <c r="A421" s="86" t="s">
        <v>1228</v>
      </c>
      <c r="B421" s="86" t="s">
        <v>685</v>
      </c>
      <c r="C421" s="87" t="s">
        <v>728</v>
      </c>
      <c r="E421" s="92"/>
      <c r="F421" s="11"/>
      <c r="G421" s="11"/>
    </row>
    <row r="422">
      <c r="A422" s="86" t="s">
        <v>1230</v>
      </c>
      <c r="B422" s="86" t="s">
        <v>683</v>
      </c>
      <c r="C422" s="87" t="s">
        <v>728</v>
      </c>
      <c r="E422" s="92"/>
      <c r="F422" s="11"/>
      <c r="G422" s="11"/>
    </row>
    <row r="423">
      <c r="A423" s="86" t="s">
        <v>1231</v>
      </c>
      <c r="B423" s="86" t="s">
        <v>687</v>
      </c>
      <c r="C423" s="87" t="s">
        <v>721</v>
      </c>
      <c r="E423" s="92"/>
      <c r="F423" s="11"/>
      <c r="G423" s="11"/>
    </row>
    <row r="424">
      <c r="A424" s="86" t="s">
        <v>1232</v>
      </c>
      <c r="B424" s="87" t="s">
        <v>683</v>
      </c>
      <c r="C424" s="87" t="s">
        <v>721</v>
      </c>
      <c r="E424" s="92"/>
      <c r="F424" s="11"/>
      <c r="G424" s="11"/>
    </row>
    <row r="425">
      <c r="A425" s="86" t="s">
        <v>626</v>
      </c>
      <c r="B425" s="86" t="s">
        <v>683</v>
      </c>
      <c r="C425" s="87" t="s">
        <v>715</v>
      </c>
      <c r="E425" s="92"/>
      <c r="F425" s="11"/>
      <c r="G425" s="11"/>
    </row>
    <row r="426">
      <c r="A426" s="86" t="s">
        <v>1233</v>
      </c>
      <c r="B426" s="86" t="s">
        <v>660</v>
      </c>
      <c r="C426" s="87" t="s">
        <v>714</v>
      </c>
      <c r="E426" s="92"/>
      <c r="F426" s="11"/>
      <c r="G426" s="11"/>
    </row>
    <row r="427">
      <c r="A427" s="86" t="s">
        <v>1235</v>
      </c>
      <c r="B427" s="86" t="s">
        <v>689</v>
      </c>
      <c r="C427" s="87" t="s">
        <v>715</v>
      </c>
      <c r="E427" s="92"/>
      <c r="F427" s="11"/>
      <c r="G427" s="11"/>
    </row>
    <row r="428">
      <c r="A428" s="86" t="s">
        <v>1238</v>
      </c>
      <c r="B428" s="86" t="s">
        <v>687</v>
      </c>
      <c r="C428" s="87" t="s">
        <v>715</v>
      </c>
      <c r="E428" s="92"/>
      <c r="F428" s="11"/>
      <c r="G428" s="11"/>
    </row>
    <row r="429">
      <c r="A429" s="86" t="s">
        <v>1240</v>
      </c>
      <c r="B429" s="86" t="s">
        <v>685</v>
      </c>
      <c r="C429" s="87" t="s">
        <v>734</v>
      </c>
      <c r="E429" s="92"/>
      <c r="F429" s="11"/>
      <c r="G429" s="11"/>
    </row>
    <row r="430">
      <c r="A430" s="86" t="s">
        <v>869</v>
      </c>
      <c r="B430" s="86" t="s">
        <v>683</v>
      </c>
      <c r="C430" s="87" t="s">
        <v>734</v>
      </c>
      <c r="E430" s="92"/>
      <c r="F430" s="11"/>
      <c r="G430" s="11"/>
    </row>
    <row r="431">
      <c r="A431" s="86" t="s">
        <v>1241</v>
      </c>
      <c r="B431" s="86" t="s">
        <v>687</v>
      </c>
      <c r="C431" s="87" t="s">
        <v>731</v>
      </c>
      <c r="E431" s="92"/>
      <c r="F431" s="11"/>
      <c r="G431" s="11"/>
    </row>
    <row r="432">
      <c r="A432" s="86" t="s">
        <v>1028</v>
      </c>
      <c r="B432" s="86" t="s">
        <v>685</v>
      </c>
      <c r="C432" s="87" t="s">
        <v>731</v>
      </c>
      <c r="E432" s="92"/>
      <c r="F432" s="11"/>
      <c r="G432" s="11"/>
    </row>
    <row r="433">
      <c r="A433" s="86" t="s">
        <v>1243</v>
      </c>
      <c r="B433" s="86" t="s">
        <v>689</v>
      </c>
      <c r="C433" s="87" t="s">
        <v>7</v>
      </c>
      <c r="E433" s="92"/>
      <c r="F433" s="11"/>
      <c r="G433" s="11"/>
    </row>
    <row r="434">
      <c r="A434" s="86" t="s">
        <v>1246</v>
      </c>
      <c r="B434" s="86" t="s">
        <v>687</v>
      </c>
      <c r="C434" s="87" t="s">
        <v>7</v>
      </c>
      <c r="E434" s="92"/>
      <c r="F434" s="11"/>
      <c r="G434" s="11"/>
    </row>
    <row r="435">
      <c r="A435" s="86" t="s">
        <v>394</v>
      </c>
      <c r="B435" s="86" t="s">
        <v>683</v>
      </c>
      <c r="C435" s="87" t="s">
        <v>7</v>
      </c>
      <c r="E435" s="92"/>
      <c r="F435" s="11"/>
      <c r="G435" s="11"/>
    </row>
    <row r="436">
      <c r="A436" s="86" t="s">
        <v>1247</v>
      </c>
      <c r="B436" s="86" t="s">
        <v>676</v>
      </c>
      <c r="C436" s="87" t="s">
        <v>725</v>
      </c>
      <c r="E436" s="92"/>
      <c r="F436" s="11"/>
      <c r="G436" s="11"/>
    </row>
    <row r="437">
      <c r="A437" s="86" t="s">
        <v>1248</v>
      </c>
      <c r="B437" s="86" t="s">
        <v>691</v>
      </c>
      <c r="C437" s="87" t="s">
        <v>736</v>
      </c>
      <c r="E437" s="92"/>
      <c r="F437" s="11"/>
      <c r="G437" s="11"/>
    </row>
    <row r="438">
      <c r="A438" s="86" t="s">
        <v>1249</v>
      </c>
      <c r="B438" s="86" t="s">
        <v>689</v>
      </c>
      <c r="C438" s="87" t="s">
        <v>736</v>
      </c>
      <c r="E438" s="92"/>
      <c r="F438" s="11"/>
      <c r="G438" s="11"/>
    </row>
    <row r="439">
      <c r="A439" s="86" t="s">
        <v>372</v>
      </c>
      <c r="B439" s="86" t="s">
        <v>685</v>
      </c>
      <c r="C439" s="87" t="s">
        <v>710</v>
      </c>
      <c r="E439" s="92"/>
      <c r="F439" s="11"/>
      <c r="G439" s="11"/>
    </row>
    <row r="440">
      <c r="A440" s="86" t="s">
        <v>1251</v>
      </c>
      <c r="B440" s="86" t="s">
        <v>676</v>
      </c>
      <c r="C440" s="87" t="s">
        <v>736</v>
      </c>
      <c r="E440" s="92"/>
      <c r="F440" s="11"/>
      <c r="G440" s="11"/>
    </row>
    <row r="441">
      <c r="A441" s="86" t="s">
        <v>1252</v>
      </c>
      <c r="B441" s="86" t="s">
        <v>691</v>
      </c>
      <c r="C441" s="87" t="s">
        <v>739</v>
      </c>
      <c r="E441" s="92"/>
      <c r="F441" s="11"/>
      <c r="G441" s="11"/>
    </row>
    <row r="442">
      <c r="A442" s="86" t="s">
        <v>1254</v>
      </c>
      <c r="B442" s="86" t="s">
        <v>689</v>
      </c>
      <c r="C442" s="87" t="s">
        <v>739</v>
      </c>
      <c r="E442" s="92"/>
      <c r="F442" s="11"/>
      <c r="G442" s="11"/>
    </row>
    <row r="443">
      <c r="A443" s="86" t="s">
        <v>1255</v>
      </c>
      <c r="B443" s="86" t="s">
        <v>685</v>
      </c>
      <c r="C443" s="87" t="s">
        <v>725</v>
      </c>
      <c r="E443" s="92"/>
      <c r="F443" s="11"/>
      <c r="G443" s="11"/>
    </row>
    <row r="444">
      <c r="A444" s="86" t="s">
        <v>1257</v>
      </c>
      <c r="B444" s="86" t="s">
        <v>683</v>
      </c>
      <c r="C444" s="87" t="s">
        <v>725</v>
      </c>
      <c r="E444" s="92"/>
      <c r="F444" s="11"/>
      <c r="G444" s="11"/>
    </row>
    <row r="445">
      <c r="A445" s="86" t="s">
        <v>1258</v>
      </c>
      <c r="B445" s="86" t="s">
        <v>689</v>
      </c>
      <c r="C445" s="87" t="s">
        <v>736</v>
      </c>
      <c r="E445" s="92"/>
      <c r="F445" s="11"/>
      <c r="G445" s="11"/>
    </row>
    <row r="446">
      <c r="A446" s="86" t="s">
        <v>1259</v>
      </c>
      <c r="B446" s="86" t="s">
        <v>687</v>
      </c>
      <c r="C446" s="87" t="s">
        <v>736</v>
      </c>
      <c r="E446" s="92"/>
      <c r="F446" s="11"/>
      <c r="G446" s="11"/>
    </row>
    <row r="447">
      <c r="A447" s="86" t="s">
        <v>1260</v>
      </c>
      <c r="B447" s="86" t="s">
        <v>691</v>
      </c>
      <c r="C447" s="87" t="s">
        <v>712</v>
      </c>
      <c r="E447" s="92"/>
      <c r="F447" s="11"/>
      <c r="G447" s="11"/>
    </row>
    <row r="448">
      <c r="A448" s="86" t="s">
        <v>1262</v>
      </c>
      <c r="B448" s="86" t="s">
        <v>689</v>
      </c>
      <c r="C448" s="87" t="s">
        <v>712</v>
      </c>
      <c r="E448" s="92"/>
      <c r="F448" s="11"/>
      <c r="G448" s="11"/>
    </row>
    <row r="449">
      <c r="A449" s="86" t="s">
        <v>1263</v>
      </c>
      <c r="B449" s="86" t="s">
        <v>687</v>
      </c>
      <c r="C449" s="87" t="s">
        <v>712</v>
      </c>
      <c r="E449" s="92"/>
      <c r="F449" s="11"/>
      <c r="G449" s="11"/>
    </row>
    <row r="450">
      <c r="A450" s="86" t="s">
        <v>1264</v>
      </c>
      <c r="B450" s="86" t="s">
        <v>685</v>
      </c>
      <c r="C450" s="87" t="s">
        <v>712</v>
      </c>
      <c r="E450" s="92"/>
      <c r="F450" s="11"/>
      <c r="G450" s="11"/>
    </row>
    <row r="451">
      <c r="A451" s="86" t="s">
        <v>1265</v>
      </c>
      <c r="B451" s="86" t="s">
        <v>687</v>
      </c>
      <c r="C451" s="87" t="s">
        <v>739</v>
      </c>
      <c r="E451" s="92"/>
      <c r="F451" s="11"/>
      <c r="G451" s="11"/>
    </row>
    <row r="452">
      <c r="A452" s="86" t="s">
        <v>1266</v>
      </c>
      <c r="B452" s="86" t="s">
        <v>685</v>
      </c>
      <c r="C452" s="87" t="s">
        <v>739</v>
      </c>
      <c r="E452" s="92"/>
      <c r="F452" s="11"/>
      <c r="G452" s="11"/>
    </row>
    <row r="453">
      <c r="A453" s="86" t="s">
        <v>373</v>
      </c>
      <c r="B453" s="87" t="s">
        <v>685</v>
      </c>
      <c r="C453" s="87" t="s">
        <v>717</v>
      </c>
      <c r="E453" s="92"/>
      <c r="F453" s="11"/>
      <c r="G453" s="11"/>
    </row>
    <row r="454">
      <c r="A454" s="86" t="s">
        <v>1267</v>
      </c>
      <c r="B454" s="86" t="s">
        <v>676</v>
      </c>
      <c r="C454" s="87" t="s">
        <v>717</v>
      </c>
      <c r="E454" s="92"/>
      <c r="F454" s="11"/>
      <c r="G454" s="11"/>
    </row>
    <row r="455">
      <c r="A455" s="86" t="s">
        <v>401</v>
      </c>
      <c r="B455" s="86" t="s">
        <v>683</v>
      </c>
      <c r="C455" s="87" t="s">
        <v>714</v>
      </c>
      <c r="E455" s="92"/>
      <c r="F455" s="11"/>
      <c r="G455" s="11"/>
    </row>
    <row r="456">
      <c r="A456" s="86" t="s">
        <v>1270</v>
      </c>
      <c r="B456" s="86" t="s">
        <v>654</v>
      </c>
      <c r="C456" s="87" t="s">
        <v>714</v>
      </c>
      <c r="E456" s="92"/>
      <c r="F456" s="11"/>
      <c r="G456" s="11"/>
    </row>
    <row r="457">
      <c r="A457" s="86" t="s">
        <v>1271</v>
      </c>
      <c r="B457" s="86" t="s">
        <v>691</v>
      </c>
      <c r="C457" s="87" t="s">
        <v>710</v>
      </c>
      <c r="E457" s="92"/>
      <c r="F457" s="11"/>
      <c r="G457" s="11"/>
    </row>
    <row r="458">
      <c r="A458" s="86" t="s">
        <v>1033</v>
      </c>
      <c r="B458" s="86" t="s">
        <v>689</v>
      </c>
      <c r="C458" s="87" t="s">
        <v>710</v>
      </c>
      <c r="E458" s="92"/>
      <c r="F458" s="11"/>
      <c r="G458" s="11"/>
    </row>
    <row r="459">
      <c r="A459" s="86" t="s">
        <v>403</v>
      </c>
      <c r="B459" s="86" t="s">
        <v>683</v>
      </c>
      <c r="C459" s="87" t="s">
        <v>710</v>
      </c>
      <c r="E459" s="92"/>
      <c r="F459" s="11"/>
      <c r="G459" s="11"/>
    </row>
    <row r="460">
      <c r="A460" s="86" t="s">
        <v>1274</v>
      </c>
      <c r="B460" s="86" t="s">
        <v>654</v>
      </c>
      <c r="C460" s="87" t="s">
        <v>731</v>
      </c>
      <c r="E460" s="92"/>
      <c r="F460" s="11"/>
      <c r="G460" s="11"/>
    </row>
    <row r="461">
      <c r="A461" s="87" t="s">
        <v>1275</v>
      </c>
      <c r="B461" s="87" t="s">
        <v>660</v>
      </c>
      <c r="C461" s="87" t="s">
        <v>710</v>
      </c>
      <c r="E461" s="92"/>
      <c r="F461" s="11"/>
      <c r="G461" s="11"/>
    </row>
    <row r="462">
      <c r="A462" s="86" t="s">
        <v>405</v>
      </c>
      <c r="B462" s="86" t="s">
        <v>683</v>
      </c>
      <c r="C462" s="87" t="s">
        <v>712</v>
      </c>
      <c r="E462" s="92"/>
      <c r="F462" s="11"/>
      <c r="G462" s="11"/>
    </row>
    <row r="463">
      <c r="A463" s="86" t="s">
        <v>1276</v>
      </c>
      <c r="B463" s="86" t="s">
        <v>654</v>
      </c>
      <c r="C463" s="87" t="s">
        <v>712</v>
      </c>
      <c r="E463" s="92"/>
      <c r="F463" s="11"/>
      <c r="G463" s="11"/>
    </row>
    <row r="464">
      <c r="A464" s="86" t="s">
        <v>1277</v>
      </c>
      <c r="B464" s="86" t="s">
        <v>691</v>
      </c>
      <c r="C464" s="87" t="s">
        <v>7</v>
      </c>
      <c r="E464" s="92"/>
      <c r="F464" s="11"/>
      <c r="G464" s="11"/>
    </row>
    <row r="465">
      <c r="A465" s="86" t="s">
        <v>1278</v>
      </c>
      <c r="B465" s="86" t="s">
        <v>689</v>
      </c>
      <c r="C465" s="87" t="s">
        <v>7</v>
      </c>
      <c r="E465" s="92"/>
      <c r="F465" s="11"/>
      <c r="G465" s="11"/>
    </row>
    <row r="466">
      <c r="A466" s="86" t="s">
        <v>1280</v>
      </c>
      <c r="B466" s="86" t="s">
        <v>685</v>
      </c>
      <c r="C466" s="87" t="s">
        <v>725</v>
      </c>
      <c r="E466" s="92"/>
      <c r="F466" s="11"/>
      <c r="G466" s="11"/>
    </row>
    <row r="467">
      <c r="A467" s="86" t="s">
        <v>1281</v>
      </c>
      <c r="B467" s="86" t="s">
        <v>683</v>
      </c>
      <c r="C467" s="87" t="s">
        <v>725</v>
      </c>
      <c r="E467" s="92"/>
      <c r="F467" s="11"/>
      <c r="G467" s="11"/>
    </row>
    <row r="468">
      <c r="A468" s="86" t="s">
        <v>1284</v>
      </c>
      <c r="B468" s="86" t="s">
        <v>685</v>
      </c>
      <c r="C468" s="87" t="s">
        <v>732</v>
      </c>
      <c r="E468" s="92"/>
      <c r="F468" s="11"/>
      <c r="G468" s="11"/>
    </row>
    <row r="469">
      <c r="A469" s="86" t="s">
        <v>1285</v>
      </c>
      <c r="B469" s="86" t="s">
        <v>683</v>
      </c>
      <c r="C469" s="87" t="s">
        <v>732</v>
      </c>
      <c r="E469" s="92"/>
      <c r="F469" s="11"/>
      <c r="G469" s="11"/>
    </row>
    <row r="470">
      <c r="A470" s="86" t="s">
        <v>1287</v>
      </c>
      <c r="B470" s="86" t="s">
        <v>687</v>
      </c>
      <c r="C470" s="87" t="s">
        <v>7</v>
      </c>
      <c r="E470" s="92"/>
      <c r="F470" s="11"/>
      <c r="G470" s="11"/>
    </row>
    <row r="471">
      <c r="A471" s="86" t="s">
        <v>1288</v>
      </c>
      <c r="B471" s="86" t="s">
        <v>683</v>
      </c>
      <c r="C471" s="87" t="s">
        <v>7</v>
      </c>
      <c r="E471" s="92"/>
      <c r="F471" s="11"/>
      <c r="G471" s="11"/>
    </row>
    <row r="472">
      <c r="A472" s="86" t="s">
        <v>1289</v>
      </c>
      <c r="B472" s="86" t="s">
        <v>683</v>
      </c>
      <c r="C472" s="87" t="s">
        <v>731</v>
      </c>
      <c r="E472" s="92"/>
      <c r="F472" s="11"/>
      <c r="G472" s="11"/>
    </row>
    <row r="473">
      <c r="A473" s="86" t="s">
        <v>1290</v>
      </c>
      <c r="B473" s="86" t="s">
        <v>676</v>
      </c>
      <c r="C473" s="87" t="s">
        <v>682</v>
      </c>
      <c r="E473" s="92"/>
      <c r="F473" s="11"/>
      <c r="G473" s="11"/>
    </row>
    <row r="474">
      <c r="A474" s="86" t="s">
        <v>1291</v>
      </c>
      <c r="B474" s="86" t="s">
        <v>689</v>
      </c>
      <c r="C474" s="87" t="s">
        <v>734</v>
      </c>
      <c r="E474" s="92"/>
      <c r="F474" s="11"/>
      <c r="G474" s="11"/>
    </row>
    <row r="475">
      <c r="A475" s="86" t="s">
        <v>1292</v>
      </c>
      <c r="B475" s="86" t="s">
        <v>687</v>
      </c>
      <c r="C475" s="87" t="s">
        <v>734</v>
      </c>
      <c r="E475" s="92"/>
      <c r="F475" s="11"/>
      <c r="G475" s="11"/>
    </row>
    <row r="476">
      <c r="A476" s="86" t="s">
        <v>367</v>
      </c>
      <c r="B476" s="86" t="s">
        <v>687</v>
      </c>
      <c r="C476" s="87" t="s">
        <v>734</v>
      </c>
      <c r="E476" s="92"/>
      <c r="F476" s="11"/>
      <c r="G476" s="11"/>
    </row>
    <row r="477">
      <c r="A477" s="86" t="s">
        <v>1293</v>
      </c>
      <c r="B477" s="86" t="s">
        <v>676</v>
      </c>
      <c r="C477" s="87" t="s">
        <v>734</v>
      </c>
      <c r="E477" s="92"/>
      <c r="F477" s="11"/>
      <c r="G477" s="11"/>
    </row>
    <row r="478">
      <c r="A478" s="86" t="s">
        <v>1294</v>
      </c>
      <c r="B478" s="86" t="s">
        <v>691</v>
      </c>
      <c r="C478" s="87" t="s">
        <v>739</v>
      </c>
      <c r="E478" s="92"/>
      <c r="F478" s="11"/>
      <c r="G478" s="11"/>
    </row>
    <row r="479">
      <c r="A479" s="86" t="s">
        <v>1295</v>
      </c>
      <c r="B479" s="86" t="s">
        <v>689</v>
      </c>
      <c r="C479" s="87" t="s">
        <v>739</v>
      </c>
      <c r="E479" s="92"/>
      <c r="F479" s="11"/>
      <c r="G479" s="11"/>
    </row>
    <row r="480">
      <c r="A480" s="86" t="s">
        <v>1296</v>
      </c>
      <c r="B480" s="86" t="s">
        <v>691</v>
      </c>
      <c r="C480" s="87" t="s">
        <v>723</v>
      </c>
      <c r="E480" s="92"/>
      <c r="F480" s="11"/>
      <c r="G480" s="11"/>
    </row>
    <row r="481">
      <c r="A481" s="86" t="s">
        <v>1298</v>
      </c>
      <c r="B481" s="86" t="s">
        <v>689</v>
      </c>
      <c r="C481" s="87" t="s">
        <v>723</v>
      </c>
      <c r="E481" s="92"/>
      <c r="F481" s="11"/>
      <c r="G481" s="11"/>
    </row>
    <row r="482">
      <c r="A482" s="86" t="s">
        <v>1299</v>
      </c>
      <c r="B482" s="86" t="s">
        <v>691</v>
      </c>
      <c r="C482" s="87" t="s">
        <v>710</v>
      </c>
      <c r="E482" s="92"/>
      <c r="F482" s="11"/>
      <c r="G482" s="11"/>
    </row>
    <row r="483">
      <c r="A483" s="86" t="s">
        <v>1300</v>
      </c>
      <c r="B483" s="86" t="s">
        <v>689</v>
      </c>
      <c r="C483" s="87" t="s">
        <v>710</v>
      </c>
      <c r="E483" s="92"/>
      <c r="F483" s="11"/>
      <c r="G483" s="11"/>
    </row>
    <row r="484">
      <c r="A484" s="86" t="s">
        <v>375</v>
      </c>
      <c r="B484" s="86" t="s">
        <v>685</v>
      </c>
      <c r="C484" s="87" t="s">
        <v>7</v>
      </c>
      <c r="E484" s="92"/>
      <c r="F484" s="11"/>
      <c r="G484" s="11"/>
    </row>
    <row r="485">
      <c r="A485" s="86" t="s">
        <v>1301</v>
      </c>
      <c r="B485" s="86" t="s">
        <v>676</v>
      </c>
      <c r="C485" s="87" t="s">
        <v>736</v>
      </c>
      <c r="E485" s="92"/>
      <c r="F485" s="11"/>
      <c r="G485" s="11"/>
    </row>
    <row r="486">
      <c r="A486" s="86" t="s">
        <v>1302</v>
      </c>
      <c r="B486" s="86" t="s">
        <v>683</v>
      </c>
      <c r="C486" s="87" t="s">
        <v>7</v>
      </c>
      <c r="E486" s="92"/>
      <c r="F486" s="11"/>
      <c r="G486" s="11"/>
    </row>
    <row r="487">
      <c r="A487" s="86" t="s">
        <v>1305</v>
      </c>
      <c r="B487" s="86" t="s">
        <v>676</v>
      </c>
      <c r="C487" s="87" t="s">
        <v>7</v>
      </c>
      <c r="E487" s="92"/>
      <c r="F487" s="11"/>
      <c r="G487" s="11"/>
    </row>
    <row r="488">
      <c r="A488" s="86" t="s">
        <v>1306</v>
      </c>
      <c r="B488" s="86" t="s">
        <v>682</v>
      </c>
      <c r="C488" s="86" t="s">
        <v>682</v>
      </c>
      <c r="E488" s="92"/>
      <c r="F488" s="11"/>
      <c r="G488" s="11"/>
    </row>
    <row r="489">
      <c r="A489" s="86" t="s">
        <v>1307</v>
      </c>
      <c r="B489" s="86" t="s">
        <v>682</v>
      </c>
      <c r="C489" s="86" t="s">
        <v>682</v>
      </c>
      <c r="E489" s="92"/>
      <c r="F489" s="11"/>
      <c r="G489" s="11"/>
    </row>
    <row r="490">
      <c r="A490" s="86" t="s">
        <v>1308</v>
      </c>
      <c r="B490" s="86" t="s">
        <v>682</v>
      </c>
      <c r="C490" s="86" t="s">
        <v>682</v>
      </c>
      <c r="E490" s="92"/>
      <c r="F490" s="11"/>
      <c r="G490" s="11"/>
    </row>
    <row r="491">
      <c r="A491" s="86" t="s">
        <v>1309</v>
      </c>
      <c r="B491" s="86" t="s">
        <v>682</v>
      </c>
      <c r="C491" s="86" t="s">
        <v>682</v>
      </c>
      <c r="E491" s="92"/>
      <c r="F491" s="11"/>
      <c r="G491" s="11"/>
    </row>
    <row r="492">
      <c r="A492" s="86" t="s">
        <v>1310</v>
      </c>
      <c r="B492" s="86" t="s">
        <v>682</v>
      </c>
      <c r="C492" s="86" t="s">
        <v>682</v>
      </c>
      <c r="E492" s="92"/>
      <c r="F492" s="11"/>
      <c r="G492" s="11"/>
    </row>
    <row r="493">
      <c r="A493" s="86" t="s">
        <v>1311</v>
      </c>
      <c r="B493" s="86" t="s">
        <v>682</v>
      </c>
      <c r="C493" s="86" t="s">
        <v>682</v>
      </c>
      <c r="E493" s="92"/>
      <c r="F493" s="11"/>
      <c r="G493" s="11"/>
    </row>
    <row r="494">
      <c r="A494" s="86" t="s">
        <v>771</v>
      </c>
      <c r="B494" s="86" t="s">
        <v>691</v>
      </c>
      <c r="C494" s="87" t="s">
        <v>736</v>
      </c>
      <c r="E494" s="92"/>
      <c r="F494" s="11"/>
      <c r="G494" s="11"/>
    </row>
    <row r="495">
      <c r="A495" s="86" t="s">
        <v>1313</v>
      </c>
      <c r="B495" s="86" t="s">
        <v>689</v>
      </c>
      <c r="C495" s="87" t="s">
        <v>736</v>
      </c>
      <c r="E495" s="92"/>
      <c r="F495" s="11"/>
      <c r="G495" s="11"/>
    </row>
    <row r="496">
      <c r="A496" s="86" t="s">
        <v>399</v>
      </c>
      <c r="B496" s="86" t="s">
        <v>687</v>
      </c>
      <c r="C496" s="87" t="s">
        <v>736</v>
      </c>
      <c r="E496" s="92"/>
      <c r="F496" s="11"/>
      <c r="G496" s="11"/>
    </row>
    <row r="497">
      <c r="A497" s="86" t="s">
        <v>1314</v>
      </c>
      <c r="B497" s="86" t="s">
        <v>654</v>
      </c>
      <c r="C497" s="87" t="s">
        <v>725</v>
      </c>
      <c r="E497" s="92"/>
      <c r="F497" s="11"/>
      <c r="G497" s="11"/>
    </row>
    <row r="498">
      <c r="A498" s="86" t="s">
        <v>665</v>
      </c>
      <c r="B498" s="86" t="s">
        <v>683</v>
      </c>
      <c r="C498" s="87" t="s">
        <v>736</v>
      </c>
      <c r="E498" s="92"/>
      <c r="F498" s="11"/>
      <c r="G498" s="11"/>
    </row>
    <row r="499">
      <c r="A499" s="86" t="s">
        <v>1315</v>
      </c>
      <c r="B499" s="86" t="s">
        <v>663</v>
      </c>
      <c r="C499" s="87" t="s">
        <v>736</v>
      </c>
      <c r="E499" s="92"/>
      <c r="F499" s="11"/>
      <c r="G499" s="11"/>
    </row>
    <row r="500">
      <c r="A500" s="86" t="s">
        <v>1316</v>
      </c>
      <c r="B500" s="86" t="s">
        <v>682</v>
      </c>
      <c r="C500" s="86" t="s">
        <v>682</v>
      </c>
      <c r="E500" s="92"/>
      <c r="F500" s="11"/>
      <c r="G500" s="11"/>
    </row>
    <row r="501">
      <c r="A501" s="86" t="s">
        <v>1317</v>
      </c>
      <c r="B501" s="86" t="s">
        <v>682</v>
      </c>
      <c r="C501" s="86" t="s">
        <v>682</v>
      </c>
      <c r="E501" s="92"/>
      <c r="F501" s="11"/>
      <c r="G501" s="11"/>
    </row>
    <row r="502">
      <c r="A502" s="86" t="s">
        <v>1319</v>
      </c>
      <c r="B502" s="86" t="s">
        <v>682</v>
      </c>
      <c r="C502" s="86" t="s">
        <v>682</v>
      </c>
      <c r="E502" s="92"/>
      <c r="F502" s="11"/>
      <c r="G502" s="11"/>
    </row>
    <row r="503">
      <c r="A503" s="86" t="s">
        <v>1321</v>
      </c>
      <c r="B503" s="86" t="s">
        <v>682</v>
      </c>
      <c r="C503" s="86" t="s">
        <v>682</v>
      </c>
      <c r="E503" s="92"/>
      <c r="F503" s="11"/>
      <c r="G503" s="11"/>
    </row>
    <row r="504">
      <c r="A504" s="86" t="s">
        <v>1323</v>
      </c>
      <c r="B504" s="86" t="s">
        <v>682</v>
      </c>
      <c r="C504" s="86" t="s">
        <v>682</v>
      </c>
      <c r="E504" s="92"/>
      <c r="F504" s="11"/>
      <c r="G504" s="11"/>
    </row>
    <row r="505">
      <c r="A505" s="86" t="s">
        <v>1325</v>
      </c>
      <c r="B505" s="86" t="s">
        <v>682</v>
      </c>
      <c r="C505" s="86" t="s">
        <v>682</v>
      </c>
      <c r="E505" s="92"/>
      <c r="F505" s="11"/>
      <c r="G505" s="11"/>
    </row>
    <row r="506">
      <c r="A506" s="86" t="s">
        <v>1326</v>
      </c>
      <c r="B506" s="86" t="s">
        <v>689</v>
      </c>
      <c r="C506" s="87" t="s">
        <v>708</v>
      </c>
      <c r="E506" s="92"/>
      <c r="F506" s="11"/>
      <c r="G506" s="11"/>
    </row>
    <row r="507">
      <c r="A507" s="86" t="s">
        <v>1327</v>
      </c>
      <c r="B507" s="86" t="s">
        <v>687</v>
      </c>
      <c r="C507" s="87" t="s">
        <v>708</v>
      </c>
      <c r="E507" s="92"/>
      <c r="F507" s="11"/>
      <c r="G507" s="11"/>
    </row>
    <row r="508">
      <c r="A508" s="86" t="s">
        <v>1328</v>
      </c>
      <c r="B508" s="86" t="s">
        <v>687</v>
      </c>
      <c r="C508" s="87" t="s">
        <v>708</v>
      </c>
      <c r="E508" s="92"/>
      <c r="F508" s="11"/>
      <c r="G508" s="11"/>
    </row>
    <row r="509">
      <c r="A509" s="86" t="s">
        <v>1329</v>
      </c>
      <c r="B509" s="86" t="s">
        <v>685</v>
      </c>
      <c r="C509" s="87" t="s">
        <v>708</v>
      </c>
      <c r="E509" s="92"/>
      <c r="F509" s="11"/>
      <c r="G509" s="11"/>
    </row>
    <row r="510">
      <c r="A510" s="86" t="s">
        <v>594</v>
      </c>
      <c r="B510" s="86" t="s">
        <v>683</v>
      </c>
      <c r="C510" s="87" t="s">
        <v>708</v>
      </c>
      <c r="E510" s="92"/>
      <c r="F510" s="11"/>
      <c r="G510" s="11"/>
    </row>
    <row r="511">
      <c r="A511" s="86" t="s">
        <v>1331</v>
      </c>
      <c r="B511" s="86" t="s">
        <v>658</v>
      </c>
      <c r="C511" s="87" t="s">
        <v>708</v>
      </c>
      <c r="E511" s="92"/>
      <c r="F511" s="11"/>
      <c r="G511" s="11"/>
    </row>
    <row r="512">
      <c r="A512" s="86" t="s">
        <v>1332</v>
      </c>
      <c r="B512" s="86" t="s">
        <v>689</v>
      </c>
      <c r="C512" s="87" t="s">
        <v>710</v>
      </c>
      <c r="E512" s="92"/>
      <c r="F512" s="11"/>
      <c r="G512" s="11"/>
    </row>
    <row r="513">
      <c r="A513" s="86" t="s">
        <v>1333</v>
      </c>
      <c r="B513" s="86" t="s">
        <v>687</v>
      </c>
      <c r="C513" s="87" t="s">
        <v>710</v>
      </c>
      <c r="E513" s="92"/>
      <c r="F513" s="11"/>
      <c r="G513" s="11"/>
    </row>
    <row r="514">
      <c r="A514" s="86" t="s">
        <v>1334</v>
      </c>
      <c r="B514" s="86" t="s">
        <v>687</v>
      </c>
      <c r="C514" s="87" t="s">
        <v>734</v>
      </c>
      <c r="E514" s="92"/>
      <c r="F514" s="11"/>
      <c r="G514" s="11"/>
    </row>
    <row r="515">
      <c r="A515" s="86" t="s">
        <v>1335</v>
      </c>
      <c r="B515" s="86" t="s">
        <v>685</v>
      </c>
      <c r="C515" s="87" t="s">
        <v>734</v>
      </c>
      <c r="E515" s="92"/>
      <c r="F515" s="11"/>
      <c r="G515" s="11"/>
    </row>
    <row r="516">
      <c r="A516" s="86" t="s">
        <v>535</v>
      </c>
      <c r="B516" s="86" t="s">
        <v>683</v>
      </c>
      <c r="C516" s="87" t="s">
        <v>734</v>
      </c>
      <c r="E516" s="92"/>
      <c r="F516" s="11"/>
      <c r="G516" s="11"/>
    </row>
    <row r="517">
      <c r="A517" s="86" t="s">
        <v>1337</v>
      </c>
      <c r="B517" s="86" t="s">
        <v>658</v>
      </c>
      <c r="C517" s="87" t="s">
        <v>734</v>
      </c>
      <c r="E517" s="92"/>
      <c r="F517" s="11"/>
      <c r="G517" s="11"/>
    </row>
    <row r="518">
      <c r="A518" s="86" t="s">
        <v>1338</v>
      </c>
      <c r="B518" s="86" t="s">
        <v>689</v>
      </c>
      <c r="C518" s="87" t="s">
        <v>712</v>
      </c>
      <c r="E518" s="92"/>
      <c r="F518" s="11"/>
      <c r="G518" s="11"/>
    </row>
    <row r="519">
      <c r="A519" s="86" t="s">
        <v>1339</v>
      </c>
      <c r="B519" s="86" t="s">
        <v>687</v>
      </c>
      <c r="C519" s="87" t="s">
        <v>712</v>
      </c>
      <c r="E519" s="92"/>
      <c r="F519" s="11"/>
      <c r="G519" s="11"/>
    </row>
    <row r="520">
      <c r="A520" s="86" t="s">
        <v>1340</v>
      </c>
      <c r="B520" s="86" t="s">
        <v>687</v>
      </c>
      <c r="C520" s="87" t="s">
        <v>712</v>
      </c>
      <c r="E520" s="92"/>
      <c r="F520" s="11"/>
      <c r="G520" s="11"/>
    </row>
    <row r="521">
      <c r="A521" s="86" t="s">
        <v>1341</v>
      </c>
      <c r="B521" s="86" t="s">
        <v>685</v>
      </c>
      <c r="C521" s="87" t="s">
        <v>712</v>
      </c>
      <c r="E521" s="92"/>
      <c r="F521" s="11"/>
      <c r="G521" s="11"/>
    </row>
    <row r="522">
      <c r="A522" s="86" t="s">
        <v>597</v>
      </c>
      <c r="B522" s="86" t="s">
        <v>683</v>
      </c>
      <c r="C522" s="87" t="s">
        <v>712</v>
      </c>
      <c r="E522" s="92"/>
      <c r="F522" s="11"/>
      <c r="G522" s="11"/>
    </row>
    <row r="523">
      <c r="A523" s="86" t="s">
        <v>1342</v>
      </c>
      <c r="B523" s="86" t="s">
        <v>658</v>
      </c>
      <c r="C523" s="87" t="s">
        <v>725</v>
      </c>
      <c r="E523" s="92"/>
      <c r="F523" s="11"/>
      <c r="G523" s="11"/>
    </row>
    <row r="524">
      <c r="A524" s="86" t="s">
        <v>1022</v>
      </c>
      <c r="B524" s="86" t="s">
        <v>689</v>
      </c>
      <c r="C524" s="87" t="s">
        <v>731</v>
      </c>
      <c r="E524" s="92"/>
      <c r="F524" s="11"/>
      <c r="G524" s="11"/>
    </row>
    <row r="525">
      <c r="A525" s="86" t="s">
        <v>1345</v>
      </c>
      <c r="B525" s="86" t="s">
        <v>687</v>
      </c>
      <c r="C525" s="87" t="s">
        <v>731</v>
      </c>
      <c r="E525" s="92"/>
      <c r="F525" s="11"/>
      <c r="G525" s="11"/>
    </row>
    <row r="526">
      <c r="A526" s="86" t="s">
        <v>581</v>
      </c>
      <c r="B526" s="86" t="s">
        <v>683</v>
      </c>
      <c r="C526" s="87" t="s">
        <v>731</v>
      </c>
      <c r="E526" s="92"/>
      <c r="F526" s="11"/>
      <c r="G526" s="11"/>
    </row>
    <row r="527">
      <c r="A527" s="86" t="s">
        <v>1347</v>
      </c>
      <c r="B527" s="86" t="s">
        <v>658</v>
      </c>
      <c r="C527" s="87" t="s">
        <v>731</v>
      </c>
      <c r="E527" s="92"/>
      <c r="F527" s="11"/>
      <c r="G527" s="11"/>
    </row>
    <row r="528">
      <c r="A528" s="86" t="s">
        <v>1348</v>
      </c>
      <c r="B528" s="86" t="s">
        <v>689</v>
      </c>
      <c r="C528" s="87" t="s">
        <v>7</v>
      </c>
      <c r="E528" s="92"/>
      <c r="F528" s="11"/>
      <c r="G528" s="11"/>
    </row>
    <row r="529">
      <c r="A529" s="86" t="s">
        <v>1349</v>
      </c>
      <c r="B529" s="86" t="s">
        <v>687</v>
      </c>
      <c r="C529" s="87" t="s">
        <v>7</v>
      </c>
      <c r="E529" s="92"/>
      <c r="F529" s="11"/>
      <c r="G529" s="11"/>
    </row>
    <row r="530">
      <c r="A530" s="86" t="s">
        <v>1350</v>
      </c>
      <c r="B530" s="86" t="s">
        <v>687</v>
      </c>
      <c r="C530" s="87" t="s">
        <v>7</v>
      </c>
      <c r="E530" s="92"/>
      <c r="F530" s="11"/>
      <c r="G530" s="11"/>
    </row>
    <row r="531">
      <c r="A531" s="86" t="s">
        <v>1351</v>
      </c>
      <c r="B531" s="86" t="s">
        <v>683</v>
      </c>
      <c r="C531" s="87" t="s">
        <v>7</v>
      </c>
      <c r="E531" s="92"/>
      <c r="F531" s="11"/>
      <c r="G531" s="11"/>
    </row>
    <row r="532">
      <c r="A532" s="86" t="s">
        <v>856</v>
      </c>
      <c r="B532" s="86" t="s">
        <v>691</v>
      </c>
      <c r="C532" s="87" t="s">
        <v>715</v>
      </c>
      <c r="E532" s="92"/>
      <c r="F532" s="11"/>
      <c r="G532" s="11"/>
    </row>
    <row r="533">
      <c r="A533" s="86" t="s">
        <v>1353</v>
      </c>
      <c r="B533" s="86" t="s">
        <v>689</v>
      </c>
      <c r="C533" s="87" t="s">
        <v>715</v>
      </c>
      <c r="E533" s="92"/>
      <c r="F533" s="11"/>
      <c r="G533" s="11"/>
    </row>
    <row r="534">
      <c r="A534" s="86" t="s">
        <v>1356</v>
      </c>
      <c r="B534" s="86" t="s">
        <v>691</v>
      </c>
      <c r="C534" s="87" t="s">
        <v>715</v>
      </c>
      <c r="E534" s="92"/>
      <c r="F534" s="11"/>
      <c r="G534" s="11"/>
    </row>
    <row r="535">
      <c r="A535" s="86" t="s">
        <v>1358</v>
      </c>
      <c r="B535" s="86" t="s">
        <v>689</v>
      </c>
      <c r="C535" s="87" t="s">
        <v>715</v>
      </c>
      <c r="E535" s="92"/>
      <c r="F535" s="11"/>
      <c r="G535" s="11"/>
    </row>
    <row r="536">
      <c r="A536" s="86" t="s">
        <v>472</v>
      </c>
      <c r="B536" s="86" t="s">
        <v>685</v>
      </c>
      <c r="C536" s="87" t="s">
        <v>715</v>
      </c>
      <c r="E536" s="92"/>
      <c r="F536" s="11"/>
      <c r="G536" s="11"/>
    </row>
    <row r="537">
      <c r="A537" s="86" t="s">
        <v>1359</v>
      </c>
      <c r="B537" s="86" t="s">
        <v>676</v>
      </c>
      <c r="C537" s="87" t="s">
        <v>717</v>
      </c>
      <c r="E537" s="92"/>
      <c r="F537" s="11"/>
      <c r="G537" s="11"/>
    </row>
    <row r="538">
      <c r="A538" s="86" t="s">
        <v>1360</v>
      </c>
      <c r="B538" s="86" t="s">
        <v>691</v>
      </c>
      <c r="C538" s="87" t="s">
        <v>715</v>
      </c>
      <c r="E538" s="92"/>
      <c r="F538" s="11"/>
      <c r="G538" s="11"/>
    </row>
    <row r="539">
      <c r="A539" s="86" t="s">
        <v>1361</v>
      </c>
      <c r="B539" s="86" t="s">
        <v>689</v>
      </c>
      <c r="C539" s="87" t="s">
        <v>715</v>
      </c>
      <c r="E539" s="92"/>
      <c r="F539" s="11"/>
      <c r="G539" s="11"/>
    </row>
    <row r="540">
      <c r="A540" s="86" t="s">
        <v>432</v>
      </c>
      <c r="B540" s="86" t="s">
        <v>685</v>
      </c>
      <c r="C540" s="87" t="s">
        <v>732</v>
      </c>
      <c r="E540" s="92"/>
      <c r="F540" s="11"/>
      <c r="G540" s="11"/>
    </row>
    <row r="541">
      <c r="A541" s="86" t="s">
        <v>1362</v>
      </c>
      <c r="B541" s="86" t="s">
        <v>676</v>
      </c>
      <c r="C541" s="87" t="s">
        <v>721</v>
      </c>
      <c r="E541" s="92"/>
      <c r="F541" s="11"/>
      <c r="G541" s="11"/>
    </row>
    <row r="542">
      <c r="A542" s="86" t="s">
        <v>1364</v>
      </c>
      <c r="B542" s="86" t="s">
        <v>689</v>
      </c>
      <c r="C542" s="87" t="s">
        <v>712</v>
      </c>
      <c r="E542" s="92"/>
      <c r="F542" s="11"/>
      <c r="G542" s="11"/>
    </row>
    <row r="543">
      <c r="A543" s="86" t="s">
        <v>1366</v>
      </c>
      <c r="B543" s="86" t="s">
        <v>687</v>
      </c>
      <c r="C543" s="87" t="s">
        <v>712</v>
      </c>
      <c r="E543" s="92"/>
      <c r="F543" s="11"/>
      <c r="G543" s="11"/>
    </row>
    <row r="544">
      <c r="A544" s="86" t="s">
        <v>1367</v>
      </c>
      <c r="B544" s="86" t="s">
        <v>687</v>
      </c>
      <c r="C544" s="87" t="s">
        <v>712</v>
      </c>
      <c r="E544" s="92"/>
      <c r="F544" s="11"/>
      <c r="G544" s="11"/>
    </row>
    <row r="545">
      <c r="A545" s="86" t="s">
        <v>1368</v>
      </c>
      <c r="B545" s="86" t="s">
        <v>685</v>
      </c>
      <c r="C545" s="87" t="s">
        <v>712</v>
      </c>
      <c r="E545" s="92"/>
      <c r="F545" s="11"/>
      <c r="G545" s="11"/>
    </row>
    <row r="546">
      <c r="A546" s="86" t="s">
        <v>478</v>
      </c>
      <c r="B546" s="86" t="s">
        <v>683</v>
      </c>
      <c r="C546" s="87" t="s">
        <v>712</v>
      </c>
      <c r="E546" s="92"/>
      <c r="F546" s="11"/>
      <c r="G546" s="11"/>
    </row>
    <row r="547">
      <c r="A547" s="86" t="s">
        <v>1371</v>
      </c>
      <c r="B547" s="86" t="s">
        <v>676</v>
      </c>
      <c r="C547" s="87" t="s">
        <v>712</v>
      </c>
      <c r="E547" s="92"/>
      <c r="F547" s="11"/>
      <c r="G547" s="11"/>
    </row>
    <row r="548">
      <c r="A548" s="86" t="s">
        <v>1373</v>
      </c>
      <c r="B548" s="86" t="s">
        <v>689</v>
      </c>
      <c r="C548" s="87" t="s">
        <v>708</v>
      </c>
      <c r="E548" s="92"/>
      <c r="F548" s="11"/>
      <c r="G548" s="11"/>
    </row>
    <row r="549">
      <c r="A549" s="86" t="s">
        <v>1374</v>
      </c>
      <c r="B549" s="86" t="s">
        <v>687</v>
      </c>
      <c r="C549" s="87" t="s">
        <v>708</v>
      </c>
      <c r="E549" s="92"/>
      <c r="F549" s="11"/>
      <c r="G549" s="11"/>
    </row>
    <row r="550">
      <c r="A550" s="86" t="s">
        <v>1376</v>
      </c>
      <c r="B550" s="86" t="s">
        <v>683</v>
      </c>
      <c r="C550" s="87" t="s">
        <v>731</v>
      </c>
      <c r="E550" s="92"/>
      <c r="F550" s="11"/>
      <c r="G550" s="11"/>
    </row>
    <row r="551">
      <c r="A551" s="86" t="s">
        <v>1377</v>
      </c>
      <c r="B551" s="86" t="s">
        <v>685</v>
      </c>
      <c r="C551" s="87" t="s">
        <v>731</v>
      </c>
      <c r="E551" s="92"/>
      <c r="F551" s="11"/>
      <c r="G551" s="11"/>
    </row>
    <row r="552">
      <c r="A552" s="86" t="s">
        <v>494</v>
      </c>
      <c r="B552" s="86" t="s">
        <v>683</v>
      </c>
      <c r="C552" s="87" t="s">
        <v>731</v>
      </c>
      <c r="E552" s="92"/>
      <c r="F552" s="11"/>
      <c r="G552" s="11"/>
    </row>
    <row r="553">
      <c r="A553" s="86" t="s">
        <v>1378</v>
      </c>
      <c r="B553" s="86" t="s">
        <v>676</v>
      </c>
      <c r="C553" s="87" t="s">
        <v>708</v>
      </c>
      <c r="E553" s="92"/>
      <c r="F553" s="11"/>
      <c r="G553" s="11"/>
    </row>
    <row r="554">
      <c r="A554" s="86" t="s">
        <v>1379</v>
      </c>
      <c r="B554" s="86" t="s">
        <v>689</v>
      </c>
      <c r="C554" s="87" t="s">
        <v>717</v>
      </c>
      <c r="E554" s="92"/>
      <c r="F554" s="11"/>
      <c r="G554" s="11"/>
    </row>
    <row r="555">
      <c r="A555" s="86" t="s">
        <v>1380</v>
      </c>
      <c r="B555" s="86" t="s">
        <v>687</v>
      </c>
      <c r="C555" s="87" t="s">
        <v>717</v>
      </c>
      <c r="E555" s="92"/>
      <c r="F555" s="11"/>
      <c r="G555" s="11"/>
    </row>
    <row r="556">
      <c r="A556" s="86" t="s">
        <v>424</v>
      </c>
      <c r="B556" s="86" t="s">
        <v>683</v>
      </c>
      <c r="C556" s="87" t="s">
        <v>717</v>
      </c>
      <c r="E556" s="92"/>
      <c r="F556" s="11"/>
      <c r="G556" s="11"/>
    </row>
    <row r="557">
      <c r="A557" s="86" t="s">
        <v>1384</v>
      </c>
      <c r="B557" s="86" t="s">
        <v>654</v>
      </c>
      <c r="C557" s="87" t="s">
        <v>717</v>
      </c>
      <c r="E557" s="92"/>
      <c r="F557" s="11"/>
      <c r="G557" s="11"/>
    </row>
    <row r="558">
      <c r="A558" s="86" t="s">
        <v>1385</v>
      </c>
      <c r="B558" s="86" t="s">
        <v>689</v>
      </c>
      <c r="C558" s="87" t="s">
        <v>712</v>
      </c>
      <c r="E558" s="92"/>
      <c r="F558" s="11"/>
      <c r="G558" s="11"/>
    </row>
    <row r="559">
      <c r="A559" s="86" t="s">
        <v>1386</v>
      </c>
      <c r="B559" s="86" t="s">
        <v>687</v>
      </c>
      <c r="C559" s="87" t="s">
        <v>712</v>
      </c>
      <c r="E559" s="92"/>
      <c r="F559" s="11"/>
      <c r="G559" s="11"/>
    </row>
    <row r="560">
      <c r="A560" s="86" t="s">
        <v>431</v>
      </c>
      <c r="B560" s="86" t="s">
        <v>683</v>
      </c>
      <c r="C560" s="87" t="s">
        <v>7</v>
      </c>
      <c r="E560" s="92"/>
      <c r="F560" s="11"/>
      <c r="G560" s="11"/>
    </row>
    <row r="561">
      <c r="A561" s="86" t="s">
        <v>1387</v>
      </c>
      <c r="B561" s="86" t="s">
        <v>676</v>
      </c>
      <c r="C561" s="87" t="s">
        <v>717</v>
      </c>
      <c r="E561" s="92"/>
      <c r="F561" s="11"/>
      <c r="G561" s="11"/>
    </row>
    <row r="562">
      <c r="A562" s="86" t="s">
        <v>1388</v>
      </c>
      <c r="B562" s="86" t="s">
        <v>689</v>
      </c>
      <c r="C562" s="87" t="s">
        <v>732</v>
      </c>
      <c r="E562" s="92"/>
      <c r="F562" s="11"/>
      <c r="G562" s="11"/>
    </row>
    <row r="563">
      <c r="A563" s="86" t="s">
        <v>1389</v>
      </c>
      <c r="B563" s="86" t="s">
        <v>687</v>
      </c>
      <c r="C563" s="87" t="s">
        <v>732</v>
      </c>
      <c r="E563" s="92"/>
      <c r="F563" s="11"/>
      <c r="G563" s="11"/>
    </row>
    <row r="564">
      <c r="A564" s="86" t="s">
        <v>1390</v>
      </c>
      <c r="B564" s="86" t="s">
        <v>687</v>
      </c>
      <c r="C564" s="87" t="s">
        <v>732</v>
      </c>
      <c r="E564" s="92"/>
      <c r="F564" s="11"/>
      <c r="G564" s="11"/>
    </row>
    <row r="565">
      <c r="A565" s="86" t="s">
        <v>1393</v>
      </c>
      <c r="B565" s="86" t="s">
        <v>685</v>
      </c>
      <c r="C565" s="87" t="s">
        <v>732</v>
      </c>
      <c r="E565" s="92"/>
      <c r="F565" s="11"/>
      <c r="G565" s="11"/>
    </row>
    <row r="566">
      <c r="A566" s="86" t="s">
        <v>574</v>
      </c>
      <c r="B566" s="86" t="s">
        <v>683</v>
      </c>
      <c r="C566" s="87" t="s">
        <v>728</v>
      </c>
      <c r="E566" s="92"/>
      <c r="F566" s="11"/>
      <c r="G566" s="11"/>
    </row>
    <row r="567">
      <c r="A567" s="86" t="s">
        <v>1394</v>
      </c>
      <c r="B567" s="86" t="s">
        <v>658</v>
      </c>
      <c r="C567" s="87" t="s">
        <v>728</v>
      </c>
      <c r="E567" s="92"/>
      <c r="F567" s="11"/>
      <c r="G567" s="11"/>
    </row>
    <row r="568">
      <c r="A568" s="86" t="s">
        <v>1395</v>
      </c>
      <c r="B568" s="86" t="s">
        <v>689</v>
      </c>
      <c r="C568" s="87" t="s">
        <v>712</v>
      </c>
      <c r="E568" s="92"/>
      <c r="F568" s="11"/>
      <c r="G568" s="11"/>
    </row>
    <row r="569">
      <c r="A569" s="86" t="s">
        <v>1396</v>
      </c>
      <c r="B569" s="86" t="s">
        <v>687</v>
      </c>
      <c r="C569" s="87" t="s">
        <v>712</v>
      </c>
      <c r="E569" s="92"/>
      <c r="F569" s="11"/>
      <c r="G569" s="11"/>
    </row>
    <row r="570">
      <c r="A570" s="86" t="s">
        <v>501</v>
      </c>
      <c r="B570" s="86" t="s">
        <v>685</v>
      </c>
      <c r="C570" s="87" t="s">
        <v>717</v>
      </c>
      <c r="E570" s="92"/>
      <c r="F570" s="11"/>
      <c r="G570" s="11"/>
    </row>
    <row r="571">
      <c r="A571" s="86" t="s">
        <v>1397</v>
      </c>
      <c r="B571" s="86" t="s">
        <v>676</v>
      </c>
      <c r="C571" s="87" t="s">
        <v>717</v>
      </c>
      <c r="E571" s="92"/>
      <c r="F571" s="11"/>
      <c r="G571" s="11"/>
    </row>
    <row r="572">
      <c r="A572" s="86" t="s">
        <v>1398</v>
      </c>
      <c r="B572" s="87" t="s">
        <v>689</v>
      </c>
      <c r="C572" s="87" t="s">
        <v>708</v>
      </c>
      <c r="E572" s="92"/>
      <c r="F572" s="11"/>
      <c r="G572" s="11"/>
    </row>
    <row r="573">
      <c r="A573" s="86" t="s">
        <v>1400</v>
      </c>
      <c r="B573" s="87" t="s">
        <v>687</v>
      </c>
      <c r="C573" s="87" t="s">
        <v>708</v>
      </c>
      <c r="E573" s="92"/>
      <c r="F573" s="11"/>
      <c r="G573" s="11"/>
    </row>
    <row r="574">
      <c r="A574" s="86" t="s">
        <v>426</v>
      </c>
      <c r="B574" s="86" t="s">
        <v>683</v>
      </c>
      <c r="C574" s="87" t="s">
        <v>708</v>
      </c>
      <c r="E574" s="92"/>
      <c r="F574" s="11"/>
      <c r="G574" s="11"/>
    </row>
    <row r="575">
      <c r="A575" s="86" t="s">
        <v>1401</v>
      </c>
      <c r="B575" s="86" t="s">
        <v>676</v>
      </c>
      <c r="C575" s="87" t="s">
        <v>708</v>
      </c>
      <c r="E575" s="92"/>
      <c r="F575" s="11"/>
      <c r="G575" s="11"/>
    </row>
    <row r="576">
      <c r="A576" s="86" t="s">
        <v>1402</v>
      </c>
      <c r="B576" s="86" t="s">
        <v>689</v>
      </c>
      <c r="C576" s="87" t="s">
        <v>734</v>
      </c>
      <c r="E576" s="92"/>
      <c r="F576" s="11"/>
      <c r="G576" s="11"/>
    </row>
    <row r="577">
      <c r="A577" s="86" t="s">
        <v>1403</v>
      </c>
      <c r="B577" s="86" t="s">
        <v>687</v>
      </c>
      <c r="C577" s="87" t="s">
        <v>734</v>
      </c>
      <c r="E577" s="92"/>
      <c r="F577" s="11"/>
      <c r="G577" s="11"/>
    </row>
    <row r="578">
      <c r="A578" s="86" t="s">
        <v>1404</v>
      </c>
      <c r="B578" s="86" t="s">
        <v>687</v>
      </c>
      <c r="C578" s="87" t="s">
        <v>7</v>
      </c>
      <c r="E578" s="92"/>
      <c r="F578" s="11"/>
      <c r="G578" s="11"/>
    </row>
    <row r="579">
      <c r="A579" s="86" t="s">
        <v>1405</v>
      </c>
      <c r="B579" s="86" t="s">
        <v>685</v>
      </c>
      <c r="C579" s="87" t="s">
        <v>7</v>
      </c>
      <c r="E579" s="92"/>
      <c r="F579" s="11"/>
      <c r="G579" s="11"/>
    </row>
    <row r="580">
      <c r="A580" s="86" t="s">
        <v>664</v>
      </c>
      <c r="B580" s="86" t="s">
        <v>683</v>
      </c>
      <c r="C580" s="87" t="s">
        <v>7</v>
      </c>
      <c r="E580" s="92"/>
      <c r="F580" s="11"/>
      <c r="G580" s="11"/>
    </row>
    <row r="581">
      <c r="A581" s="86" t="s">
        <v>1406</v>
      </c>
      <c r="B581" s="86" t="s">
        <v>663</v>
      </c>
      <c r="C581" s="87" t="s">
        <v>7</v>
      </c>
      <c r="E581" s="92"/>
      <c r="F581" s="11"/>
      <c r="G581" s="11"/>
    </row>
    <row r="582">
      <c r="A582" s="86" t="s">
        <v>1407</v>
      </c>
      <c r="B582" s="86" t="s">
        <v>689</v>
      </c>
      <c r="C582" s="87" t="s">
        <v>725</v>
      </c>
      <c r="E582" s="92"/>
      <c r="F582" s="11"/>
      <c r="G582" s="11"/>
    </row>
    <row r="583">
      <c r="A583" s="86" t="s">
        <v>1409</v>
      </c>
      <c r="B583" s="86" t="s">
        <v>687</v>
      </c>
      <c r="C583" s="87" t="s">
        <v>725</v>
      </c>
      <c r="E583" s="92"/>
      <c r="F583" s="11"/>
      <c r="G583" s="11"/>
    </row>
    <row r="584">
      <c r="A584" s="86" t="s">
        <v>496</v>
      </c>
      <c r="B584" s="86" t="s">
        <v>683</v>
      </c>
      <c r="C584" s="87" t="s">
        <v>7</v>
      </c>
      <c r="E584" s="92"/>
      <c r="F584" s="11"/>
      <c r="G584" s="11"/>
    </row>
    <row r="585">
      <c r="A585" s="86" t="s">
        <v>1411</v>
      </c>
      <c r="B585" s="86" t="s">
        <v>676</v>
      </c>
      <c r="C585" s="87" t="s">
        <v>717</v>
      </c>
      <c r="E585" s="92"/>
      <c r="F585" s="11"/>
      <c r="G585" s="11"/>
    </row>
    <row r="586">
      <c r="A586" s="86" t="s">
        <v>523</v>
      </c>
      <c r="B586" s="86" t="s">
        <v>683</v>
      </c>
      <c r="C586" s="87" t="s">
        <v>742</v>
      </c>
      <c r="E586" s="92"/>
      <c r="F586" s="11"/>
      <c r="G586" s="11"/>
    </row>
    <row r="587">
      <c r="A587" s="86" t="s">
        <v>1413</v>
      </c>
      <c r="B587" s="86" t="s">
        <v>676</v>
      </c>
      <c r="C587" s="87" t="s">
        <v>742</v>
      </c>
      <c r="E587" s="92"/>
      <c r="F587" s="11"/>
      <c r="G587" s="11"/>
    </row>
    <row r="588">
      <c r="A588" s="86" t="s">
        <v>1414</v>
      </c>
      <c r="B588" s="86" t="s">
        <v>689</v>
      </c>
      <c r="C588" s="87" t="s">
        <v>7</v>
      </c>
      <c r="E588" s="92"/>
      <c r="F588" s="11"/>
      <c r="G588" s="11"/>
    </row>
    <row r="589">
      <c r="A589" s="86" t="s">
        <v>1415</v>
      </c>
      <c r="B589" s="86" t="s">
        <v>687</v>
      </c>
      <c r="C589" s="87" t="s">
        <v>7</v>
      </c>
      <c r="E589" s="92"/>
      <c r="F589" s="11"/>
      <c r="G589" s="11"/>
    </row>
    <row r="590">
      <c r="A590" s="86" t="s">
        <v>1416</v>
      </c>
      <c r="B590" s="86" t="s">
        <v>687</v>
      </c>
      <c r="C590" s="87" t="s">
        <v>7</v>
      </c>
      <c r="E590" s="92"/>
      <c r="F590" s="11"/>
      <c r="G590" s="11"/>
    </row>
    <row r="591">
      <c r="A591" s="86" t="s">
        <v>1417</v>
      </c>
      <c r="B591" s="86" t="s">
        <v>685</v>
      </c>
      <c r="C591" s="87" t="s">
        <v>7</v>
      </c>
      <c r="E591" s="92"/>
      <c r="F591" s="11"/>
      <c r="G591" s="11"/>
    </row>
    <row r="592">
      <c r="A592" s="86" t="s">
        <v>548</v>
      </c>
      <c r="B592" s="86" t="s">
        <v>683</v>
      </c>
      <c r="C592" s="87" t="s">
        <v>7</v>
      </c>
      <c r="E592" s="92"/>
      <c r="F592" s="11"/>
      <c r="G592" s="11"/>
    </row>
    <row r="593">
      <c r="A593" s="86" t="s">
        <v>1419</v>
      </c>
      <c r="B593" s="86" t="s">
        <v>658</v>
      </c>
      <c r="C593" s="87" t="s">
        <v>739</v>
      </c>
      <c r="E593" s="92"/>
      <c r="F593" s="11"/>
      <c r="G593" s="11"/>
    </row>
    <row r="594">
      <c r="A594" s="86" t="s">
        <v>1336</v>
      </c>
      <c r="B594" s="87" t="s">
        <v>687</v>
      </c>
      <c r="C594" s="87" t="s">
        <v>734</v>
      </c>
      <c r="E594" s="92"/>
      <c r="F594" s="11"/>
      <c r="G594" s="11"/>
    </row>
    <row r="595">
      <c r="A595" s="86" t="s">
        <v>1420</v>
      </c>
      <c r="B595" s="87" t="s">
        <v>685</v>
      </c>
      <c r="C595" s="87" t="s">
        <v>734</v>
      </c>
      <c r="E595" s="92"/>
      <c r="F595" s="11"/>
      <c r="G595" s="11"/>
    </row>
    <row r="596">
      <c r="A596" s="86" t="s">
        <v>428</v>
      </c>
      <c r="B596" s="86" t="s">
        <v>683</v>
      </c>
      <c r="C596" s="87" t="s">
        <v>734</v>
      </c>
      <c r="E596" s="92"/>
      <c r="F596" s="11"/>
      <c r="G596" s="11"/>
    </row>
    <row r="597">
      <c r="A597" s="86" t="s">
        <v>1421</v>
      </c>
      <c r="B597" s="86" t="s">
        <v>676</v>
      </c>
      <c r="C597" s="87" t="s">
        <v>734</v>
      </c>
      <c r="E597" s="92"/>
      <c r="F597" s="11"/>
      <c r="G597" s="11"/>
    </row>
    <row r="598">
      <c r="A598" s="86" t="s">
        <v>1273</v>
      </c>
      <c r="B598" s="86" t="s">
        <v>687</v>
      </c>
      <c r="C598" s="87" t="s">
        <v>7</v>
      </c>
      <c r="E598" s="92"/>
      <c r="F598" s="11"/>
      <c r="G598" s="11"/>
    </row>
    <row r="599">
      <c r="A599" s="86" t="s">
        <v>1422</v>
      </c>
      <c r="B599" s="86" t="s">
        <v>685</v>
      </c>
      <c r="C599" s="87" t="s">
        <v>7</v>
      </c>
      <c r="E599" s="92"/>
      <c r="F599" s="11"/>
      <c r="G599" s="11"/>
    </row>
    <row r="600">
      <c r="A600" s="86" t="s">
        <v>1423</v>
      </c>
      <c r="B600" s="86" t="s">
        <v>687</v>
      </c>
      <c r="C600" s="87" t="s">
        <v>736</v>
      </c>
      <c r="E600" s="92"/>
      <c r="F600" s="11"/>
      <c r="G600" s="11"/>
    </row>
    <row r="601">
      <c r="A601" s="86" t="s">
        <v>1424</v>
      </c>
      <c r="B601" s="86" t="s">
        <v>685</v>
      </c>
      <c r="C601" s="87" t="s">
        <v>736</v>
      </c>
      <c r="E601" s="92"/>
      <c r="F601" s="11"/>
      <c r="G601" s="11"/>
    </row>
    <row r="602">
      <c r="A602" s="86" t="s">
        <v>1426</v>
      </c>
      <c r="B602" s="86" t="s">
        <v>689</v>
      </c>
      <c r="C602" s="87" t="s">
        <v>7</v>
      </c>
      <c r="E602" s="92"/>
      <c r="F602" s="11"/>
      <c r="G602" s="11"/>
    </row>
    <row r="603">
      <c r="A603" s="86" t="s">
        <v>1427</v>
      </c>
      <c r="B603" s="86" t="s">
        <v>687</v>
      </c>
      <c r="C603" s="87" t="s">
        <v>7</v>
      </c>
      <c r="E603" s="92"/>
      <c r="F603" s="11"/>
      <c r="G603" s="11"/>
    </row>
    <row r="604">
      <c r="A604" s="86" t="s">
        <v>525</v>
      </c>
      <c r="B604" s="86" t="s">
        <v>685</v>
      </c>
      <c r="C604" s="87" t="s">
        <v>728</v>
      </c>
      <c r="E604" s="92"/>
      <c r="F604" s="11"/>
      <c r="G604" s="11"/>
    </row>
    <row r="605">
      <c r="A605" s="86" t="s">
        <v>1430</v>
      </c>
      <c r="B605" s="86" t="s">
        <v>676</v>
      </c>
      <c r="C605" s="87" t="s">
        <v>728</v>
      </c>
      <c r="E605" s="92"/>
      <c r="F605" s="11"/>
      <c r="G605" s="11"/>
    </row>
    <row r="606">
      <c r="A606" s="86" t="s">
        <v>636</v>
      </c>
      <c r="B606" s="86" t="s">
        <v>683</v>
      </c>
      <c r="C606" s="87" t="s">
        <v>742</v>
      </c>
      <c r="E606" s="92"/>
      <c r="F606" s="11"/>
      <c r="G606" s="11"/>
    </row>
    <row r="607">
      <c r="A607" s="86" t="s">
        <v>1431</v>
      </c>
      <c r="B607" s="86" t="s">
        <v>676</v>
      </c>
      <c r="C607" s="87" t="s">
        <v>731</v>
      </c>
      <c r="E607" s="92"/>
      <c r="F607" s="11"/>
      <c r="G607" s="11"/>
    </row>
    <row r="608">
      <c r="A608" s="86" t="s">
        <v>510</v>
      </c>
      <c r="B608" s="86" t="s">
        <v>683</v>
      </c>
      <c r="C608" s="87" t="s">
        <v>714</v>
      </c>
      <c r="E608" s="92"/>
      <c r="F608" s="11"/>
      <c r="G608" s="11"/>
    </row>
    <row r="609">
      <c r="A609" s="86" t="s">
        <v>1432</v>
      </c>
      <c r="B609" s="86" t="s">
        <v>676</v>
      </c>
      <c r="C609" s="87" t="s">
        <v>714</v>
      </c>
      <c r="E609" s="92"/>
      <c r="F609" s="11"/>
      <c r="G609" s="11"/>
    </row>
    <row r="610">
      <c r="A610" s="86" t="s">
        <v>1433</v>
      </c>
      <c r="B610" s="86" t="s">
        <v>689</v>
      </c>
      <c r="C610" s="87" t="s">
        <v>714</v>
      </c>
      <c r="E610" s="92"/>
      <c r="F610" s="11"/>
      <c r="G610" s="11"/>
    </row>
    <row r="611">
      <c r="A611" s="86" t="s">
        <v>1434</v>
      </c>
      <c r="B611" s="86" t="s">
        <v>687</v>
      </c>
      <c r="C611" s="87" t="s">
        <v>714</v>
      </c>
      <c r="E611" s="92"/>
      <c r="F611" s="11"/>
      <c r="G611" s="11"/>
    </row>
    <row r="612">
      <c r="A612" s="86" t="s">
        <v>1435</v>
      </c>
      <c r="B612" s="86" t="s">
        <v>687</v>
      </c>
      <c r="C612" s="87" t="s">
        <v>714</v>
      </c>
      <c r="E612" s="92"/>
      <c r="F612" s="11"/>
      <c r="G612" s="11"/>
    </row>
    <row r="613">
      <c r="A613" s="86" t="s">
        <v>1436</v>
      </c>
      <c r="B613" s="86" t="s">
        <v>685</v>
      </c>
      <c r="C613" s="87" t="s">
        <v>714</v>
      </c>
      <c r="E613" s="92"/>
      <c r="F613" s="11"/>
      <c r="G613" s="11"/>
    </row>
    <row r="614">
      <c r="A614" s="86" t="s">
        <v>420</v>
      </c>
      <c r="B614" s="86" t="s">
        <v>683</v>
      </c>
      <c r="C614" s="87" t="s">
        <v>714</v>
      </c>
      <c r="E614" s="92"/>
      <c r="F614" s="11"/>
      <c r="G614" s="11"/>
    </row>
    <row r="615">
      <c r="A615" s="86" t="s">
        <v>1437</v>
      </c>
      <c r="B615" s="86" t="s">
        <v>654</v>
      </c>
      <c r="C615" s="87" t="s">
        <v>714</v>
      </c>
      <c r="E615" s="92"/>
      <c r="F615" s="11"/>
      <c r="G615" s="11"/>
    </row>
    <row r="616">
      <c r="A616" s="86" t="s">
        <v>1438</v>
      </c>
      <c r="B616" s="86" t="s">
        <v>689</v>
      </c>
      <c r="C616" s="87" t="s">
        <v>734</v>
      </c>
      <c r="E616" s="92"/>
      <c r="F616" s="11"/>
      <c r="G616" s="11"/>
    </row>
    <row r="617">
      <c r="A617" s="86" t="s">
        <v>1439</v>
      </c>
      <c r="B617" s="86" t="s">
        <v>687</v>
      </c>
      <c r="C617" s="87" t="s">
        <v>734</v>
      </c>
      <c r="E617" s="92"/>
      <c r="F617" s="11"/>
      <c r="G617" s="11"/>
    </row>
    <row r="618">
      <c r="A618" s="86" t="s">
        <v>517</v>
      </c>
      <c r="B618" s="86" t="s">
        <v>683</v>
      </c>
      <c r="C618" s="87" t="s">
        <v>732</v>
      </c>
      <c r="E618" s="92"/>
      <c r="F618" s="11"/>
      <c r="G618" s="11"/>
    </row>
    <row r="619">
      <c r="A619" s="86" t="s">
        <v>1441</v>
      </c>
      <c r="B619" s="86" t="s">
        <v>676</v>
      </c>
      <c r="C619" s="87" t="s">
        <v>734</v>
      </c>
      <c r="E619" s="92"/>
      <c r="F619" s="11"/>
      <c r="G619" s="11"/>
    </row>
    <row r="620">
      <c r="A620" s="86" t="s">
        <v>1191</v>
      </c>
      <c r="B620" s="86" t="s">
        <v>689</v>
      </c>
      <c r="C620" s="87" t="s">
        <v>723</v>
      </c>
      <c r="E620" s="92"/>
      <c r="F620" s="11"/>
      <c r="G620" s="11"/>
    </row>
    <row r="621">
      <c r="A621" s="86" t="s">
        <v>1443</v>
      </c>
      <c r="B621" s="86" t="s">
        <v>687</v>
      </c>
      <c r="C621" s="87" t="s">
        <v>723</v>
      </c>
      <c r="E621" s="92"/>
      <c r="F621" s="11"/>
      <c r="G621" s="11"/>
    </row>
    <row r="622">
      <c r="A622" s="86" t="s">
        <v>561</v>
      </c>
      <c r="B622" s="86" t="s">
        <v>683</v>
      </c>
      <c r="C622" s="87" t="s">
        <v>723</v>
      </c>
      <c r="E622" s="92"/>
      <c r="F622" s="11"/>
      <c r="G622" s="11"/>
    </row>
    <row r="623">
      <c r="A623" s="86" t="s">
        <v>1445</v>
      </c>
      <c r="B623" s="86" t="s">
        <v>658</v>
      </c>
      <c r="C623" s="87" t="s">
        <v>723</v>
      </c>
      <c r="E623" s="92"/>
      <c r="F623" s="11"/>
      <c r="G623" s="11"/>
    </row>
    <row r="624">
      <c r="A624" s="86" t="s">
        <v>1447</v>
      </c>
      <c r="B624" s="86" t="s">
        <v>687</v>
      </c>
      <c r="C624" s="87" t="s">
        <v>723</v>
      </c>
      <c r="E624" s="92"/>
      <c r="F624" s="11"/>
      <c r="G624" s="11"/>
    </row>
    <row r="625">
      <c r="A625" s="86" t="s">
        <v>1448</v>
      </c>
      <c r="B625" s="86" t="s">
        <v>685</v>
      </c>
      <c r="C625" s="87" t="s">
        <v>723</v>
      </c>
      <c r="E625" s="92"/>
      <c r="F625" s="11"/>
      <c r="G625" s="11"/>
    </row>
    <row r="626">
      <c r="A626" s="86" t="s">
        <v>1449</v>
      </c>
      <c r="B626" s="86" t="s">
        <v>687</v>
      </c>
      <c r="C626" s="87" t="s">
        <v>723</v>
      </c>
      <c r="E626" s="92"/>
      <c r="F626" s="11"/>
      <c r="G626" s="11"/>
    </row>
    <row r="627">
      <c r="A627" s="86" t="s">
        <v>1450</v>
      </c>
      <c r="B627" s="86" t="s">
        <v>685</v>
      </c>
      <c r="C627" s="87" t="s">
        <v>723</v>
      </c>
      <c r="E627" s="92"/>
      <c r="F627" s="11"/>
      <c r="G627" s="11"/>
    </row>
    <row r="628">
      <c r="A628" s="86" t="s">
        <v>1451</v>
      </c>
      <c r="B628" s="86" t="s">
        <v>685</v>
      </c>
      <c r="C628" s="87" t="s">
        <v>682</v>
      </c>
      <c r="E628" s="92"/>
      <c r="F628" s="11"/>
      <c r="G628" s="11"/>
    </row>
    <row r="629">
      <c r="A629" s="86" t="s">
        <v>1452</v>
      </c>
      <c r="B629" s="86" t="s">
        <v>683</v>
      </c>
      <c r="C629" s="87" t="s">
        <v>682</v>
      </c>
      <c r="E629" s="92"/>
      <c r="F629" s="11"/>
      <c r="G629" s="11"/>
    </row>
    <row r="630">
      <c r="A630" s="86" t="s">
        <v>1453</v>
      </c>
      <c r="B630" s="86" t="s">
        <v>685</v>
      </c>
      <c r="C630" s="87" t="s">
        <v>682</v>
      </c>
      <c r="E630" s="92"/>
      <c r="F630" s="11"/>
      <c r="G630" s="11"/>
    </row>
    <row r="631">
      <c r="A631" s="86" t="s">
        <v>1454</v>
      </c>
      <c r="B631" s="86" t="s">
        <v>683</v>
      </c>
      <c r="C631" s="87" t="s">
        <v>682</v>
      </c>
      <c r="E631" s="92"/>
      <c r="F631" s="11"/>
      <c r="G631" s="11"/>
    </row>
    <row r="632">
      <c r="A632" s="86" t="s">
        <v>430</v>
      </c>
      <c r="B632" s="86" t="s">
        <v>685</v>
      </c>
      <c r="C632" s="87" t="s">
        <v>708</v>
      </c>
      <c r="E632" s="92"/>
      <c r="F632" s="11"/>
      <c r="G632" s="11"/>
    </row>
    <row r="633">
      <c r="A633" s="86" t="s">
        <v>1455</v>
      </c>
      <c r="B633" s="86" t="s">
        <v>676</v>
      </c>
      <c r="C633" s="87" t="s">
        <v>708</v>
      </c>
      <c r="E633" s="92"/>
      <c r="F633" s="11"/>
      <c r="G633" s="11"/>
    </row>
    <row r="634">
      <c r="A634" s="86" t="s">
        <v>1457</v>
      </c>
      <c r="B634" s="86" t="s">
        <v>687</v>
      </c>
      <c r="C634" s="87" t="s">
        <v>682</v>
      </c>
      <c r="E634" s="92"/>
      <c r="F634" s="11"/>
      <c r="G634" s="11"/>
    </row>
    <row r="635">
      <c r="A635" s="86" t="s">
        <v>1458</v>
      </c>
      <c r="B635" s="86" t="s">
        <v>685</v>
      </c>
      <c r="C635" s="87" t="s">
        <v>682</v>
      </c>
      <c r="E635" s="92"/>
      <c r="F635" s="11"/>
      <c r="G635" s="11"/>
    </row>
    <row r="636">
      <c r="A636" s="86" t="s">
        <v>542</v>
      </c>
      <c r="B636" s="86" t="s">
        <v>683</v>
      </c>
      <c r="C636" s="87" t="s">
        <v>721</v>
      </c>
      <c r="E636" s="92"/>
      <c r="F636" s="11"/>
      <c r="G636" s="11"/>
    </row>
    <row r="637">
      <c r="A637" s="86" t="s">
        <v>1460</v>
      </c>
      <c r="B637" s="86" t="s">
        <v>658</v>
      </c>
      <c r="C637" s="87" t="s">
        <v>721</v>
      </c>
      <c r="E637" s="92"/>
      <c r="F637" s="11"/>
      <c r="G637" s="11"/>
    </row>
    <row r="638">
      <c r="A638" s="86" t="s">
        <v>1461</v>
      </c>
      <c r="B638" s="86" t="s">
        <v>687</v>
      </c>
      <c r="C638" s="87" t="s">
        <v>712</v>
      </c>
      <c r="E638" s="92"/>
      <c r="F638" s="11"/>
      <c r="G638" s="11"/>
    </row>
    <row r="639">
      <c r="A639" s="86" t="s">
        <v>1462</v>
      </c>
      <c r="B639" s="86" t="s">
        <v>685</v>
      </c>
      <c r="C639" s="87" t="s">
        <v>712</v>
      </c>
      <c r="E639" s="92"/>
      <c r="F639" s="11"/>
      <c r="G639" s="11"/>
    </row>
    <row r="640">
      <c r="A640" s="86" t="s">
        <v>421</v>
      </c>
      <c r="B640" s="86" t="s">
        <v>683</v>
      </c>
      <c r="C640" s="87" t="s">
        <v>712</v>
      </c>
      <c r="E640" s="92"/>
      <c r="F640" s="11"/>
      <c r="G640" s="11"/>
    </row>
    <row r="641">
      <c r="A641" s="86" t="s">
        <v>1463</v>
      </c>
      <c r="B641" s="86" t="s">
        <v>654</v>
      </c>
      <c r="C641" s="87" t="s">
        <v>712</v>
      </c>
      <c r="E641" s="92"/>
      <c r="F641" s="11"/>
      <c r="G641" s="11"/>
    </row>
    <row r="642">
      <c r="A642" s="86" t="s">
        <v>1464</v>
      </c>
      <c r="B642" s="86" t="s">
        <v>687</v>
      </c>
      <c r="C642" s="87" t="s">
        <v>712</v>
      </c>
      <c r="E642" s="92"/>
      <c r="F642" s="11"/>
      <c r="G642" s="11"/>
    </row>
    <row r="643">
      <c r="A643" s="86" t="s">
        <v>1465</v>
      </c>
      <c r="B643" s="86" t="s">
        <v>685</v>
      </c>
      <c r="C643" s="87" t="s">
        <v>712</v>
      </c>
      <c r="E643" s="92"/>
      <c r="F643" s="11"/>
      <c r="G643" s="11"/>
    </row>
    <row r="644">
      <c r="A644" s="86" t="s">
        <v>507</v>
      </c>
      <c r="B644" s="86" t="s">
        <v>683</v>
      </c>
      <c r="C644" s="87" t="s">
        <v>712</v>
      </c>
      <c r="E644" s="92"/>
      <c r="F644" s="11"/>
      <c r="G644" s="11"/>
    </row>
    <row r="645">
      <c r="A645" s="86" t="s">
        <v>1467</v>
      </c>
      <c r="B645" s="86" t="s">
        <v>676</v>
      </c>
      <c r="C645" s="87" t="s">
        <v>712</v>
      </c>
      <c r="E645" s="92"/>
      <c r="F645" s="11"/>
      <c r="G645" s="11"/>
    </row>
    <row r="646">
      <c r="A646" s="86" t="s">
        <v>1468</v>
      </c>
      <c r="B646" s="86" t="s">
        <v>689</v>
      </c>
      <c r="C646" s="87" t="s">
        <v>710</v>
      </c>
      <c r="E646" s="92"/>
      <c r="F646" s="11"/>
      <c r="G646" s="11"/>
    </row>
    <row r="647">
      <c r="A647" s="86" t="s">
        <v>1470</v>
      </c>
      <c r="B647" s="86" t="s">
        <v>687</v>
      </c>
      <c r="C647" s="87" t="s">
        <v>710</v>
      </c>
      <c r="E647" s="92"/>
      <c r="F647" s="11"/>
      <c r="G647" s="11"/>
    </row>
    <row r="648">
      <c r="A648" s="86" t="s">
        <v>436</v>
      </c>
      <c r="B648" s="86" t="s">
        <v>683</v>
      </c>
      <c r="C648" s="87" t="s">
        <v>710</v>
      </c>
      <c r="E648" s="92"/>
      <c r="F648" s="11"/>
      <c r="G648" s="11"/>
    </row>
    <row r="649">
      <c r="A649" s="86" t="s">
        <v>1471</v>
      </c>
      <c r="B649" s="86" t="s">
        <v>676</v>
      </c>
      <c r="C649" s="87" t="s">
        <v>725</v>
      </c>
      <c r="E649" s="92"/>
      <c r="F649" s="11"/>
      <c r="G649" s="11"/>
    </row>
    <row r="650">
      <c r="A650" s="86" t="s">
        <v>566</v>
      </c>
      <c r="B650" s="86" t="s">
        <v>683</v>
      </c>
      <c r="C650" s="87" t="s">
        <v>710</v>
      </c>
      <c r="E650" s="92"/>
      <c r="F650" s="11"/>
      <c r="G650" s="11"/>
    </row>
    <row r="651">
      <c r="A651" s="86" t="s">
        <v>1472</v>
      </c>
      <c r="B651" s="86" t="s">
        <v>658</v>
      </c>
      <c r="C651" s="87" t="s">
        <v>710</v>
      </c>
      <c r="E651" s="92"/>
      <c r="F651" s="11"/>
      <c r="G651" s="11"/>
    </row>
    <row r="652">
      <c r="A652" s="86" t="s">
        <v>1473</v>
      </c>
      <c r="B652" s="86" t="s">
        <v>689</v>
      </c>
      <c r="C652" s="87" t="s">
        <v>732</v>
      </c>
      <c r="E652" s="92"/>
      <c r="F652" s="11"/>
      <c r="G652" s="11"/>
    </row>
    <row r="653">
      <c r="A653" s="86" t="s">
        <v>1476</v>
      </c>
      <c r="B653" s="86" t="s">
        <v>687</v>
      </c>
      <c r="C653" s="87" t="s">
        <v>732</v>
      </c>
      <c r="E653" s="92"/>
      <c r="F653" s="11"/>
      <c r="G653" s="11"/>
    </row>
    <row r="654">
      <c r="A654" s="86" t="s">
        <v>530</v>
      </c>
      <c r="B654" s="86" t="s">
        <v>685</v>
      </c>
      <c r="C654" s="87" t="s">
        <v>732</v>
      </c>
      <c r="E654" s="92"/>
      <c r="F654" s="11"/>
      <c r="G654" s="11"/>
    </row>
    <row r="655">
      <c r="A655" s="86" t="s">
        <v>1477</v>
      </c>
      <c r="B655" s="86" t="s">
        <v>676</v>
      </c>
      <c r="C655" s="87" t="s">
        <v>732</v>
      </c>
      <c r="E655" s="92"/>
      <c r="F655" s="11"/>
      <c r="G655" s="11"/>
    </row>
    <row r="656">
      <c r="A656" s="86" t="s">
        <v>1478</v>
      </c>
      <c r="B656" s="86" t="s">
        <v>687</v>
      </c>
      <c r="C656" s="87" t="s">
        <v>732</v>
      </c>
      <c r="E656" s="92"/>
      <c r="F656" s="11"/>
      <c r="G656" s="11"/>
    </row>
    <row r="657">
      <c r="A657" s="86" t="s">
        <v>1479</v>
      </c>
      <c r="B657" s="86" t="s">
        <v>685</v>
      </c>
      <c r="C657" s="87" t="s">
        <v>732</v>
      </c>
      <c r="E657" s="92"/>
      <c r="F657" s="11"/>
      <c r="G657" s="11"/>
    </row>
    <row r="658">
      <c r="A658" s="86" t="s">
        <v>1480</v>
      </c>
      <c r="B658" s="86" t="s">
        <v>689</v>
      </c>
      <c r="C658" s="87" t="s">
        <v>725</v>
      </c>
      <c r="E658" s="92"/>
      <c r="F658" s="11"/>
      <c r="G658" s="11"/>
    </row>
    <row r="659">
      <c r="A659" s="86" t="s">
        <v>1481</v>
      </c>
      <c r="B659" s="86" t="s">
        <v>687</v>
      </c>
      <c r="C659" s="87" t="s">
        <v>725</v>
      </c>
      <c r="E659" s="92"/>
      <c r="F659" s="11"/>
      <c r="G659" s="11"/>
    </row>
    <row r="660">
      <c r="A660" s="86" t="s">
        <v>1482</v>
      </c>
      <c r="B660" s="86" t="s">
        <v>687</v>
      </c>
      <c r="C660" s="87" t="s">
        <v>725</v>
      </c>
      <c r="E660" s="92"/>
      <c r="F660" s="11"/>
      <c r="G660" s="11"/>
    </row>
    <row r="661">
      <c r="A661" s="86" t="s">
        <v>1483</v>
      </c>
      <c r="B661" s="86" t="s">
        <v>685</v>
      </c>
      <c r="C661" s="87" t="s">
        <v>725</v>
      </c>
      <c r="E661" s="92"/>
      <c r="F661" s="11"/>
      <c r="G661" s="11"/>
    </row>
    <row r="662">
      <c r="A662" s="86" t="s">
        <v>615</v>
      </c>
      <c r="B662" s="86" t="s">
        <v>683</v>
      </c>
      <c r="C662" s="87" t="s">
        <v>725</v>
      </c>
      <c r="E662" s="92"/>
      <c r="F662" s="11"/>
      <c r="G662" s="11"/>
    </row>
    <row r="663">
      <c r="A663" s="86" t="s">
        <v>1486</v>
      </c>
      <c r="B663" s="86" t="s">
        <v>660</v>
      </c>
      <c r="C663" s="87" t="s">
        <v>725</v>
      </c>
      <c r="E663" s="92"/>
      <c r="F663" s="11"/>
      <c r="G663" s="11"/>
    </row>
    <row r="664">
      <c r="A664" s="86" t="s">
        <v>1487</v>
      </c>
      <c r="B664" s="86" t="s">
        <v>689</v>
      </c>
      <c r="C664" s="87" t="s">
        <v>708</v>
      </c>
      <c r="E664" s="92"/>
      <c r="F664" s="11"/>
      <c r="G664" s="11"/>
    </row>
    <row r="665">
      <c r="A665" s="86" t="s">
        <v>1489</v>
      </c>
      <c r="B665" s="86" t="s">
        <v>687</v>
      </c>
      <c r="C665" s="87" t="s">
        <v>708</v>
      </c>
      <c r="E665" s="92"/>
      <c r="F665" s="11"/>
      <c r="G665" s="11"/>
    </row>
    <row r="666">
      <c r="A666" s="86" t="s">
        <v>482</v>
      </c>
      <c r="B666" s="86" t="s">
        <v>683</v>
      </c>
      <c r="C666" s="87" t="s">
        <v>731</v>
      </c>
      <c r="E666" s="92"/>
      <c r="F666" s="11"/>
      <c r="G666" s="11"/>
    </row>
    <row r="667">
      <c r="A667" s="86" t="s">
        <v>1490</v>
      </c>
      <c r="B667" s="86" t="s">
        <v>676</v>
      </c>
      <c r="C667" s="87" t="s">
        <v>731</v>
      </c>
      <c r="E667" s="92"/>
      <c r="F667" s="11"/>
      <c r="G667" s="11"/>
    </row>
    <row r="668">
      <c r="A668" s="86" t="s">
        <v>1491</v>
      </c>
      <c r="B668" s="86" t="s">
        <v>689</v>
      </c>
      <c r="C668" s="87" t="s">
        <v>717</v>
      </c>
      <c r="E668" s="92"/>
      <c r="F668" s="11"/>
      <c r="G668" s="11"/>
    </row>
    <row r="669">
      <c r="A669" s="86" t="s">
        <v>1492</v>
      </c>
      <c r="B669" s="86" t="s">
        <v>687</v>
      </c>
      <c r="C669" s="87" t="s">
        <v>717</v>
      </c>
      <c r="E669" s="92"/>
      <c r="F669" s="11"/>
      <c r="G669" s="11"/>
    </row>
    <row r="670">
      <c r="A670" s="86" t="s">
        <v>423</v>
      </c>
      <c r="B670" s="86" t="s">
        <v>683</v>
      </c>
      <c r="C670" s="87" t="s">
        <v>717</v>
      </c>
      <c r="E670" s="92"/>
      <c r="F670" s="11"/>
      <c r="G670" s="11"/>
    </row>
    <row r="671">
      <c r="A671" s="86" t="s">
        <v>1493</v>
      </c>
      <c r="B671" s="86" t="s">
        <v>654</v>
      </c>
      <c r="C671" s="87" t="s">
        <v>745</v>
      </c>
      <c r="E671" s="92"/>
      <c r="F671" s="11"/>
      <c r="G671" s="11"/>
    </row>
    <row r="672">
      <c r="A672" s="86" t="s">
        <v>457</v>
      </c>
      <c r="B672" s="86" t="s">
        <v>683</v>
      </c>
      <c r="C672" s="87" t="s">
        <v>7</v>
      </c>
      <c r="E672" s="92"/>
      <c r="F672" s="11"/>
      <c r="G672" s="11"/>
    </row>
    <row r="673">
      <c r="A673" s="86" t="s">
        <v>1495</v>
      </c>
      <c r="B673" s="86" t="s">
        <v>676</v>
      </c>
      <c r="C673" s="87" t="s">
        <v>7</v>
      </c>
      <c r="E673" s="92"/>
      <c r="F673" s="11"/>
      <c r="G673" s="11"/>
    </row>
    <row r="674">
      <c r="A674" s="86" t="s">
        <v>419</v>
      </c>
      <c r="B674" s="86" t="s">
        <v>683</v>
      </c>
      <c r="C674" s="87" t="s">
        <v>721</v>
      </c>
      <c r="E674" s="92"/>
      <c r="F674" s="11"/>
      <c r="G674" s="11"/>
    </row>
    <row r="675">
      <c r="A675" s="86" t="s">
        <v>1497</v>
      </c>
      <c r="B675" s="86" t="s">
        <v>654</v>
      </c>
      <c r="C675" s="87" t="s">
        <v>721</v>
      </c>
      <c r="E675" s="92"/>
      <c r="F675" s="11"/>
      <c r="G675" s="11"/>
    </row>
    <row r="676">
      <c r="A676" s="86" t="s">
        <v>512</v>
      </c>
      <c r="B676" s="86" t="s">
        <v>683</v>
      </c>
      <c r="C676" s="87" t="s">
        <v>736</v>
      </c>
      <c r="E676" s="92"/>
      <c r="F676" s="11"/>
      <c r="G676" s="11"/>
    </row>
    <row r="677">
      <c r="A677" s="86" t="s">
        <v>1499</v>
      </c>
      <c r="B677" s="86" t="s">
        <v>676</v>
      </c>
      <c r="C677" s="87" t="s">
        <v>736</v>
      </c>
      <c r="E677" s="92"/>
      <c r="F677" s="11"/>
      <c r="G677" s="11"/>
    </row>
    <row r="678">
      <c r="A678" s="86" t="s">
        <v>433</v>
      </c>
      <c r="B678" s="86" t="s">
        <v>683</v>
      </c>
      <c r="C678" s="87" t="s">
        <v>736</v>
      </c>
      <c r="E678" s="92"/>
      <c r="F678" s="11"/>
      <c r="G678" s="11"/>
    </row>
    <row r="679">
      <c r="A679" s="86" t="s">
        <v>1501</v>
      </c>
      <c r="B679" s="86" t="s">
        <v>676</v>
      </c>
      <c r="C679" s="87" t="s">
        <v>736</v>
      </c>
      <c r="E679" s="92"/>
      <c r="F679" s="11"/>
      <c r="G679" s="11"/>
    </row>
    <row r="680">
      <c r="A680" s="86" t="s">
        <v>1502</v>
      </c>
      <c r="B680" s="86" t="s">
        <v>689</v>
      </c>
      <c r="C680" s="87" t="s">
        <v>712</v>
      </c>
      <c r="E680" s="92"/>
      <c r="F680" s="11"/>
      <c r="G680" s="11"/>
    </row>
    <row r="681">
      <c r="A681" s="86" t="s">
        <v>1503</v>
      </c>
      <c r="B681" s="86" t="s">
        <v>687</v>
      </c>
      <c r="C681" s="87" t="s">
        <v>712</v>
      </c>
      <c r="E681" s="92"/>
      <c r="F681" s="11"/>
      <c r="G681" s="11"/>
    </row>
    <row r="682">
      <c r="A682" s="86" t="s">
        <v>521</v>
      </c>
      <c r="B682" s="86" t="s">
        <v>683</v>
      </c>
      <c r="C682" s="87" t="s">
        <v>725</v>
      </c>
      <c r="E682" s="92"/>
      <c r="F682" s="11"/>
      <c r="G682" s="11"/>
    </row>
    <row r="683">
      <c r="A683" s="86" t="s">
        <v>1504</v>
      </c>
      <c r="B683" s="86" t="s">
        <v>676</v>
      </c>
      <c r="C683" s="87" t="s">
        <v>725</v>
      </c>
      <c r="E683" s="92"/>
      <c r="F683" s="11"/>
      <c r="G683" s="11"/>
    </row>
    <row r="684">
      <c r="A684" s="86" t="s">
        <v>1505</v>
      </c>
      <c r="B684" s="86" t="s">
        <v>689</v>
      </c>
      <c r="C684" s="87" t="s">
        <v>731</v>
      </c>
      <c r="E684" s="92"/>
      <c r="F684" s="11"/>
      <c r="G684" s="11"/>
    </row>
    <row r="685">
      <c r="A685" s="86" t="s">
        <v>1506</v>
      </c>
      <c r="B685" s="86" t="s">
        <v>687</v>
      </c>
      <c r="C685" s="87" t="s">
        <v>731</v>
      </c>
      <c r="E685" s="92"/>
      <c r="F685" s="11"/>
      <c r="G685" s="11"/>
    </row>
    <row r="686">
      <c r="A686" s="86" t="s">
        <v>495</v>
      </c>
      <c r="B686" s="86" t="s">
        <v>683</v>
      </c>
      <c r="C686" s="87" t="s">
        <v>731</v>
      </c>
      <c r="E686" s="92"/>
      <c r="F686" s="11"/>
      <c r="G686" s="11"/>
    </row>
    <row r="687">
      <c r="A687" s="86" t="s">
        <v>1507</v>
      </c>
      <c r="B687" s="86" t="s">
        <v>676</v>
      </c>
      <c r="C687" s="87" t="s">
        <v>731</v>
      </c>
      <c r="E687" s="92"/>
      <c r="F687" s="11"/>
      <c r="G687" s="11"/>
    </row>
    <row r="688">
      <c r="A688" s="86" t="s">
        <v>1508</v>
      </c>
      <c r="B688" s="86" t="s">
        <v>689</v>
      </c>
      <c r="C688" s="87" t="s">
        <v>732</v>
      </c>
      <c r="E688" s="92"/>
      <c r="F688" s="11"/>
      <c r="G688" s="11"/>
    </row>
    <row r="689">
      <c r="A689" s="86" t="s">
        <v>1509</v>
      </c>
      <c r="B689" s="86" t="s">
        <v>687</v>
      </c>
      <c r="C689" s="87" t="s">
        <v>732</v>
      </c>
      <c r="E689" s="92"/>
      <c r="F689" s="11"/>
      <c r="G689" s="11"/>
    </row>
    <row r="690">
      <c r="A690" s="86" t="s">
        <v>427</v>
      </c>
      <c r="B690" s="86" t="s">
        <v>683</v>
      </c>
      <c r="C690" s="87" t="s">
        <v>725</v>
      </c>
      <c r="E690" s="92"/>
      <c r="F690" s="11"/>
      <c r="G690" s="11"/>
    </row>
    <row r="691">
      <c r="A691" s="86" t="s">
        <v>1510</v>
      </c>
      <c r="B691" s="86" t="s">
        <v>676</v>
      </c>
      <c r="C691" s="87" t="s">
        <v>725</v>
      </c>
      <c r="E691" s="92"/>
      <c r="F691" s="11"/>
      <c r="G691" s="11"/>
    </row>
    <row r="692">
      <c r="A692" s="86" t="s">
        <v>1511</v>
      </c>
      <c r="B692" s="87" t="s">
        <v>682</v>
      </c>
      <c r="C692" s="87" t="s">
        <v>682</v>
      </c>
      <c r="E692" s="92"/>
      <c r="F692" s="11"/>
      <c r="G692" s="11"/>
    </row>
    <row r="693">
      <c r="A693" s="86" t="s">
        <v>1512</v>
      </c>
      <c r="B693" s="87" t="s">
        <v>682</v>
      </c>
      <c r="C693" s="87" t="s">
        <v>682</v>
      </c>
      <c r="E693" s="92"/>
      <c r="F693" s="11"/>
      <c r="G693" s="11"/>
    </row>
    <row r="694">
      <c r="A694" s="86" t="s">
        <v>429</v>
      </c>
      <c r="B694" s="86" t="s">
        <v>683</v>
      </c>
      <c r="C694" s="87" t="s">
        <v>708</v>
      </c>
      <c r="E694" s="92"/>
      <c r="F694" s="11"/>
      <c r="G694" s="11"/>
    </row>
    <row r="695">
      <c r="A695" s="86" t="s">
        <v>1514</v>
      </c>
      <c r="B695" s="86" t="s">
        <v>676</v>
      </c>
      <c r="C695" s="87" t="s">
        <v>708</v>
      </c>
      <c r="E695" s="92"/>
      <c r="F695" s="11"/>
      <c r="G695" s="11"/>
    </row>
    <row r="696">
      <c r="A696" s="86" t="s">
        <v>1515</v>
      </c>
      <c r="B696" s="87" t="s">
        <v>689</v>
      </c>
      <c r="C696" s="87" t="s">
        <v>736</v>
      </c>
      <c r="E696" s="92"/>
      <c r="F696" s="11"/>
      <c r="G696" s="11"/>
    </row>
    <row r="697">
      <c r="A697" s="86" t="s">
        <v>1516</v>
      </c>
      <c r="B697" s="87" t="s">
        <v>687</v>
      </c>
      <c r="C697" s="87" t="s">
        <v>736</v>
      </c>
      <c r="E697" s="92"/>
      <c r="F697" s="11"/>
      <c r="G697" s="11"/>
    </row>
    <row r="698">
      <c r="A698" s="86" t="s">
        <v>422</v>
      </c>
      <c r="B698" s="87" t="s">
        <v>683</v>
      </c>
      <c r="C698" s="87" t="s">
        <v>736</v>
      </c>
      <c r="E698" s="92"/>
      <c r="F698" s="11"/>
      <c r="G698" s="11"/>
    </row>
    <row r="699">
      <c r="A699" s="86" t="s">
        <v>1518</v>
      </c>
      <c r="B699" s="87" t="s">
        <v>654</v>
      </c>
      <c r="C699" s="87" t="s">
        <v>736</v>
      </c>
      <c r="E699" s="92"/>
      <c r="F699" s="11"/>
      <c r="G699" s="11"/>
    </row>
    <row r="700">
      <c r="A700" s="86" t="s">
        <v>1519</v>
      </c>
      <c r="B700" s="86" t="s">
        <v>689</v>
      </c>
      <c r="C700" s="87" t="s">
        <v>712</v>
      </c>
      <c r="E700" s="92"/>
      <c r="F700" s="11"/>
      <c r="G700" s="11"/>
    </row>
    <row r="701">
      <c r="A701" s="86" t="s">
        <v>1520</v>
      </c>
      <c r="B701" s="86" t="s">
        <v>687</v>
      </c>
      <c r="C701" s="87" t="s">
        <v>712</v>
      </c>
      <c r="E701" s="92"/>
      <c r="F701" s="11"/>
      <c r="G701" s="11"/>
    </row>
    <row r="702">
      <c r="A702" s="86" t="s">
        <v>587</v>
      </c>
      <c r="B702" s="86" t="s">
        <v>683</v>
      </c>
      <c r="C702" s="87" t="s">
        <v>712</v>
      </c>
      <c r="E702" s="92"/>
      <c r="F702" s="11"/>
      <c r="G702" s="11"/>
    </row>
    <row r="703">
      <c r="A703" s="86" t="s">
        <v>1522</v>
      </c>
      <c r="B703" s="86" t="s">
        <v>658</v>
      </c>
      <c r="C703" s="87" t="s">
        <v>712</v>
      </c>
      <c r="E703" s="92"/>
      <c r="F703" s="11"/>
      <c r="G703" s="11"/>
    </row>
    <row r="704">
      <c r="A704" s="86" t="s">
        <v>1523</v>
      </c>
      <c r="B704" s="86" t="s">
        <v>682</v>
      </c>
      <c r="C704" s="87" t="s">
        <v>682</v>
      </c>
      <c r="E704" s="92"/>
      <c r="F704" s="11"/>
      <c r="G704" s="11"/>
    </row>
    <row r="705">
      <c r="A705" s="86" t="s">
        <v>1524</v>
      </c>
      <c r="B705" s="86" t="s">
        <v>682</v>
      </c>
      <c r="C705" s="87" t="s">
        <v>682</v>
      </c>
      <c r="E705" s="92"/>
      <c r="F705" s="11"/>
      <c r="G705" s="11"/>
    </row>
    <row r="706">
      <c r="A706" s="86" t="s">
        <v>446</v>
      </c>
      <c r="B706" s="86" t="s">
        <v>685</v>
      </c>
      <c r="C706" s="87" t="s">
        <v>731</v>
      </c>
      <c r="E706" s="92"/>
      <c r="F706" s="11"/>
      <c r="G706" s="11"/>
    </row>
    <row r="707">
      <c r="A707" s="86" t="s">
        <v>1525</v>
      </c>
      <c r="B707" s="86" t="s">
        <v>676</v>
      </c>
      <c r="C707" s="87" t="s">
        <v>731</v>
      </c>
      <c r="E707" s="92"/>
      <c r="F707" s="11"/>
      <c r="G707" s="11"/>
    </row>
    <row r="708">
      <c r="A708" s="86" t="s">
        <v>1527</v>
      </c>
      <c r="B708" s="86" t="s">
        <v>689</v>
      </c>
      <c r="C708" s="87" t="s">
        <v>742</v>
      </c>
      <c r="E708" s="92"/>
      <c r="F708" s="11"/>
      <c r="G708" s="11"/>
    </row>
    <row r="709">
      <c r="A709" s="86" t="s">
        <v>1528</v>
      </c>
      <c r="B709" s="86" t="s">
        <v>687</v>
      </c>
      <c r="C709" s="87" t="s">
        <v>742</v>
      </c>
      <c r="E709" s="92"/>
      <c r="F709" s="11"/>
      <c r="G709" s="11"/>
    </row>
    <row r="710">
      <c r="A710" s="86" t="s">
        <v>435</v>
      </c>
      <c r="B710" s="86" t="s">
        <v>683</v>
      </c>
      <c r="C710" s="87" t="s">
        <v>742</v>
      </c>
      <c r="E710" s="92"/>
      <c r="F710" s="11"/>
      <c r="G710" s="11"/>
    </row>
    <row r="711">
      <c r="A711" s="86" t="s">
        <v>1531</v>
      </c>
      <c r="B711" s="86" t="s">
        <v>676</v>
      </c>
      <c r="C711" s="87" t="s">
        <v>742</v>
      </c>
      <c r="E711" s="92"/>
      <c r="F711" s="11"/>
      <c r="G711" s="11"/>
    </row>
    <row r="712">
      <c r="A712" s="86" t="s">
        <v>1533</v>
      </c>
      <c r="B712" s="86" t="s">
        <v>689</v>
      </c>
      <c r="C712" s="87" t="s">
        <v>742</v>
      </c>
      <c r="E712" s="92"/>
      <c r="F712" s="11"/>
      <c r="G712" s="11"/>
    </row>
    <row r="713">
      <c r="A713" s="86" t="s">
        <v>1534</v>
      </c>
      <c r="B713" s="86" t="s">
        <v>687</v>
      </c>
      <c r="C713" s="87" t="s">
        <v>742</v>
      </c>
      <c r="E713" s="92"/>
      <c r="F713" s="11"/>
      <c r="G713" s="11"/>
    </row>
    <row r="714">
      <c r="A714" s="86" t="s">
        <v>450</v>
      </c>
      <c r="B714" s="86" t="s">
        <v>683</v>
      </c>
      <c r="C714" s="87" t="s">
        <v>742</v>
      </c>
      <c r="E714" s="92"/>
      <c r="F714" s="11"/>
      <c r="G714" s="11"/>
    </row>
    <row r="715">
      <c r="A715" s="86" t="s">
        <v>1535</v>
      </c>
      <c r="B715" s="86" t="s">
        <v>676</v>
      </c>
      <c r="C715" s="87" t="s">
        <v>742</v>
      </c>
      <c r="E715" s="92"/>
      <c r="F715" s="11"/>
      <c r="G715" s="11"/>
    </row>
    <row r="716">
      <c r="A716" s="86" t="s">
        <v>553</v>
      </c>
      <c r="B716" s="86" t="s">
        <v>683</v>
      </c>
      <c r="C716" s="87" t="s">
        <v>708</v>
      </c>
      <c r="E716" s="92"/>
      <c r="F716" s="11"/>
      <c r="G716" s="11"/>
    </row>
    <row r="717">
      <c r="A717" s="86" t="s">
        <v>1537</v>
      </c>
      <c r="B717" s="86" t="s">
        <v>658</v>
      </c>
      <c r="C717" s="87" t="s">
        <v>717</v>
      </c>
      <c r="E717" s="92"/>
      <c r="F717" s="11"/>
      <c r="G717" s="11"/>
    </row>
    <row r="718">
      <c r="A718" s="86" t="s">
        <v>487</v>
      </c>
      <c r="B718" s="86" t="s">
        <v>685</v>
      </c>
      <c r="C718" s="87" t="s">
        <v>732</v>
      </c>
      <c r="E718" s="92"/>
      <c r="F718" s="11"/>
      <c r="G718" s="11"/>
    </row>
    <row r="719">
      <c r="A719" s="86" t="s">
        <v>1538</v>
      </c>
      <c r="B719" s="86" t="s">
        <v>676</v>
      </c>
      <c r="C719" s="87" t="s">
        <v>732</v>
      </c>
      <c r="E719" s="92"/>
      <c r="F719" s="11"/>
      <c r="G719" s="11"/>
    </row>
    <row r="720">
      <c r="A720" s="86" t="s">
        <v>609</v>
      </c>
      <c r="B720" s="86" t="s">
        <v>683</v>
      </c>
      <c r="C720" s="87" t="s">
        <v>731</v>
      </c>
      <c r="E720" s="92"/>
      <c r="F720" s="11"/>
      <c r="G720" s="11"/>
    </row>
    <row r="721">
      <c r="A721" s="86" t="s">
        <v>1539</v>
      </c>
      <c r="B721" s="86" t="s">
        <v>660</v>
      </c>
      <c r="C721" s="87" t="s">
        <v>731</v>
      </c>
      <c r="E721" s="92"/>
      <c r="F721" s="11"/>
      <c r="G721" s="11"/>
    </row>
    <row r="722">
      <c r="A722" s="86" t="s">
        <v>1540</v>
      </c>
      <c r="B722" s="86" t="s">
        <v>689</v>
      </c>
      <c r="C722" s="87" t="s">
        <v>732</v>
      </c>
      <c r="E722" s="92"/>
      <c r="F722" s="11"/>
      <c r="G722" s="11"/>
    </row>
    <row r="723">
      <c r="A723" s="86" t="s">
        <v>1541</v>
      </c>
      <c r="B723" s="86" t="s">
        <v>687</v>
      </c>
      <c r="C723" s="87" t="s">
        <v>732</v>
      </c>
      <c r="E723" s="92"/>
      <c r="F723" s="11"/>
      <c r="G723" s="11"/>
    </row>
    <row r="724">
      <c r="A724" s="86" t="s">
        <v>1542</v>
      </c>
      <c r="B724" s="86" t="s">
        <v>689</v>
      </c>
      <c r="C724" s="87" t="s">
        <v>739</v>
      </c>
      <c r="E724" s="92"/>
      <c r="F724" s="11"/>
      <c r="G724" s="11"/>
    </row>
    <row r="725">
      <c r="A725" s="86" t="s">
        <v>1543</v>
      </c>
      <c r="B725" s="86" t="s">
        <v>687</v>
      </c>
      <c r="C725" s="87" t="s">
        <v>739</v>
      </c>
      <c r="E725" s="92"/>
      <c r="F725" s="11"/>
      <c r="G725" s="11"/>
    </row>
    <row r="726">
      <c r="A726" s="86" t="s">
        <v>603</v>
      </c>
      <c r="B726" s="86" t="s">
        <v>683</v>
      </c>
      <c r="C726" s="87" t="s">
        <v>739</v>
      </c>
      <c r="E726" s="92"/>
      <c r="F726" s="11"/>
      <c r="G726" s="11"/>
    </row>
    <row r="727">
      <c r="A727" s="86" t="s">
        <v>1546</v>
      </c>
      <c r="B727" s="86" t="s">
        <v>658</v>
      </c>
      <c r="C727" s="87" t="s">
        <v>739</v>
      </c>
      <c r="E727" s="92"/>
      <c r="F727" s="11"/>
      <c r="G727" s="11"/>
    </row>
    <row r="728">
      <c r="A728" s="86" t="s">
        <v>1547</v>
      </c>
      <c r="B728" s="86" t="s">
        <v>689</v>
      </c>
      <c r="C728" s="87" t="s">
        <v>739</v>
      </c>
      <c r="E728" s="92"/>
      <c r="F728" s="11"/>
      <c r="G728" s="11"/>
    </row>
    <row r="729">
      <c r="A729" s="86" t="s">
        <v>1548</v>
      </c>
      <c r="B729" s="86" t="s">
        <v>687</v>
      </c>
      <c r="C729" s="87" t="s">
        <v>739</v>
      </c>
      <c r="E729" s="92"/>
      <c r="F729" s="11"/>
      <c r="G729" s="11"/>
    </row>
    <row r="730">
      <c r="A730" s="86" t="s">
        <v>1549</v>
      </c>
      <c r="B730" s="86" t="s">
        <v>687</v>
      </c>
      <c r="C730" s="87" t="s">
        <v>739</v>
      </c>
      <c r="E730" s="92"/>
      <c r="F730" s="11"/>
      <c r="G730" s="11"/>
    </row>
    <row r="731">
      <c r="A731" s="86" t="s">
        <v>1551</v>
      </c>
      <c r="B731" s="86" t="s">
        <v>685</v>
      </c>
      <c r="C731" s="87" t="s">
        <v>739</v>
      </c>
      <c r="E731" s="92"/>
      <c r="F731" s="11"/>
      <c r="G731" s="11"/>
    </row>
    <row r="732">
      <c r="A732" s="86" t="s">
        <v>417</v>
      </c>
      <c r="B732" s="86" t="s">
        <v>683</v>
      </c>
      <c r="C732" s="87" t="s">
        <v>739</v>
      </c>
      <c r="E732" s="92"/>
      <c r="F732" s="11"/>
      <c r="G732" s="11"/>
    </row>
    <row r="733">
      <c r="A733" s="86" t="s">
        <v>1552</v>
      </c>
      <c r="B733" s="86" t="s">
        <v>654</v>
      </c>
      <c r="C733" s="87" t="s">
        <v>739</v>
      </c>
      <c r="E733" s="92"/>
      <c r="F733" s="11"/>
      <c r="G733" s="11"/>
    </row>
    <row r="734">
      <c r="A734" s="86" t="s">
        <v>434</v>
      </c>
      <c r="B734" s="86" t="s">
        <v>685</v>
      </c>
      <c r="C734" s="87" t="s">
        <v>712</v>
      </c>
      <c r="E734" s="92"/>
      <c r="F734" s="11"/>
      <c r="G734" s="11"/>
    </row>
    <row r="735">
      <c r="A735" s="86" t="s">
        <v>1553</v>
      </c>
      <c r="B735" s="87" t="s">
        <v>683</v>
      </c>
      <c r="C735" s="87" t="s">
        <v>712</v>
      </c>
      <c r="E735" s="92"/>
      <c r="F735" s="11"/>
      <c r="G735" s="11"/>
    </row>
    <row r="736">
      <c r="A736" s="86" t="s">
        <v>425</v>
      </c>
      <c r="B736" s="86" t="s">
        <v>685</v>
      </c>
      <c r="C736" s="87" t="s">
        <v>712</v>
      </c>
      <c r="E736" s="92"/>
      <c r="F736" s="11"/>
      <c r="G736" s="11"/>
    </row>
    <row r="737">
      <c r="A737" s="86" t="s">
        <v>1554</v>
      </c>
      <c r="B737" s="86" t="s">
        <v>676</v>
      </c>
      <c r="C737" s="87" t="s">
        <v>712</v>
      </c>
      <c r="E737" s="92"/>
      <c r="F737" s="11"/>
      <c r="G737" s="11"/>
    </row>
    <row r="738">
      <c r="A738" s="86" t="s">
        <v>492</v>
      </c>
      <c r="B738" s="86" t="s">
        <v>685</v>
      </c>
      <c r="C738" s="87" t="s">
        <v>712</v>
      </c>
      <c r="E738" s="92"/>
      <c r="F738" s="11"/>
      <c r="G738" s="11"/>
    </row>
    <row r="739">
      <c r="A739" s="86" t="s">
        <v>1556</v>
      </c>
      <c r="B739" s="86" t="s">
        <v>676</v>
      </c>
      <c r="C739" s="87" t="s">
        <v>712</v>
      </c>
      <c r="E739" s="92"/>
      <c r="F739" s="11"/>
      <c r="G739" s="11"/>
    </row>
    <row r="740">
      <c r="A740" s="86" t="s">
        <v>497</v>
      </c>
      <c r="B740" s="86" t="s">
        <v>685</v>
      </c>
      <c r="C740" s="87" t="s">
        <v>712</v>
      </c>
      <c r="E740" s="92"/>
      <c r="F740" s="11"/>
      <c r="G740" s="11"/>
    </row>
    <row r="741">
      <c r="A741" s="86" t="s">
        <v>1557</v>
      </c>
      <c r="B741" s="86" t="s">
        <v>676</v>
      </c>
      <c r="C741" s="87" t="s">
        <v>712</v>
      </c>
      <c r="E741" s="92"/>
      <c r="F741" s="11"/>
      <c r="G741" s="11"/>
    </row>
    <row r="742">
      <c r="A742" s="86" t="s">
        <v>1559</v>
      </c>
      <c r="B742" s="86" t="s">
        <v>685</v>
      </c>
      <c r="C742" s="87" t="s">
        <v>712</v>
      </c>
      <c r="E742" s="92"/>
      <c r="F742" s="11"/>
      <c r="G742" s="11"/>
    </row>
    <row r="743">
      <c r="A743" s="86" t="s">
        <v>1562</v>
      </c>
      <c r="B743" s="86" t="s">
        <v>683</v>
      </c>
      <c r="C743" s="87" t="s">
        <v>712</v>
      </c>
      <c r="E743" s="92"/>
      <c r="F743" s="11"/>
      <c r="G743" s="11"/>
    </row>
    <row r="744">
      <c r="A744" s="86" t="s">
        <v>1096</v>
      </c>
      <c r="B744" s="86" t="s">
        <v>689</v>
      </c>
      <c r="C744" s="87" t="s">
        <v>745</v>
      </c>
      <c r="E744" s="92"/>
      <c r="F744" s="11"/>
      <c r="G744" s="11"/>
    </row>
    <row r="745">
      <c r="A745" s="86" t="s">
        <v>1563</v>
      </c>
      <c r="B745" s="86" t="s">
        <v>687</v>
      </c>
      <c r="C745" s="87" t="s">
        <v>745</v>
      </c>
      <c r="E745" s="92"/>
      <c r="F745" s="11"/>
      <c r="G745" s="11"/>
    </row>
    <row r="746">
      <c r="A746" s="86" t="s">
        <v>1564</v>
      </c>
      <c r="B746" s="86" t="s">
        <v>687</v>
      </c>
      <c r="C746" s="87" t="s">
        <v>745</v>
      </c>
      <c r="E746" s="92"/>
      <c r="F746" s="11"/>
      <c r="G746" s="11"/>
    </row>
    <row r="747">
      <c r="A747" s="86" t="s">
        <v>1565</v>
      </c>
      <c r="B747" s="86" t="s">
        <v>685</v>
      </c>
      <c r="C747" s="87" t="s">
        <v>745</v>
      </c>
      <c r="E747" s="92"/>
      <c r="F747" s="11"/>
      <c r="G747" s="11"/>
    </row>
    <row r="748">
      <c r="A748" s="86" t="s">
        <v>579</v>
      </c>
      <c r="B748" s="86" t="s">
        <v>683</v>
      </c>
      <c r="C748" s="87" t="s">
        <v>745</v>
      </c>
      <c r="E748" s="92"/>
      <c r="F748" s="11"/>
      <c r="G748" s="11"/>
    </row>
    <row r="749">
      <c r="A749" s="86" t="s">
        <v>1566</v>
      </c>
      <c r="B749" s="86" t="s">
        <v>658</v>
      </c>
      <c r="C749" s="87" t="s">
        <v>745</v>
      </c>
      <c r="E749" s="92"/>
      <c r="F749" s="11"/>
      <c r="G749" s="11"/>
    </row>
    <row r="750">
      <c r="A750" s="86" t="s">
        <v>1567</v>
      </c>
      <c r="B750" s="86" t="s">
        <v>689</v>
      </c>
      <c r="C750" s="87" t="s">
        <v>714</v>
      </c>
      <c r="E750" s="92"/>
      <c r="F750" s="11"/>
      <c r="G750" s="11"/>
    </row>
    <row r="751">
      <c r="A751" s="86" t="s">
        <v>1569</v>
      </c>
      <c r="B751" s="86" t="s">
        <v>687</v>
      </c>
      <c r="C751" s="87" t="s">
        <v>714</v>
      </c>
      <c r="E751" s="92"/>
      <c r="F751" s="11"/>
      <c r="G751" s="11"/>
    </row>
    <row r="752">
      <c r="A752" s="86" t="s">
        <v>466</v>
      </c>
      <c r="B752" s="86" t="s">
        <v>687</v>
      </c>
      <c r="C752" s="87" t="s">
        <v>714</v>
      </c>
      <c r="E752" s="92"/>
      <c r="F752" s="11"/>
      <c r="G752" s="11"/>
    </row>
    <row r="753">
      <c r="A753" s="86" t="s">
        <v>1572</v>
      </c>
      <c r="B753" s="86" t="s">
        <v>676</v>
      </c>
      <c r="C753" s="87" t="s">
        <v>714</v>
      </c>
      <c r="E753" s="92"/>
      <c r="F753" s="11"/>
      <c r="G753" s="11"/>
    </row>
    <row r="754">
      <c r="A754" s="86" t="s">
        <v>538</v>
      </c>
      <c r="B754" s="86" t="s">
        <v>683</v>
      </c>
      <c r="C754" s="87" t="s">
        <v>714</v>
      </c>
      <c r="E754" s="92"/>
      <c r="F754" s="11"/>
      <c r="G754" s="11"/>
    </row>
    <row r="755">
      <c r="A755" s="86" t="s">
        <v>1574</v>
      </c>
      <c r="B755" s="86" t="s">
        <v>658</v>
      </c>
      <c r="C755" s="87" t="s">
        <v>714</v>
      </c>
      <c r="E755" s="92"/>
      <c r="F755" s="11"/>
      <c r="G755" s="11"/>
    </row>
    <row r="756">
      <c r="A756" s="86" t="s">
        <v>1575</v>
      </c>
      <c r="B756" s="86" t="s">
        <v>682</v>
      </c>
      <c r="C756" s="87" t="s">
        <v>682</v>
      </c>
      <c r="E756" s="92"/>
      <c r="F756" s="11"/>
      <c r="G756" s="11"/>
    </row>
    <row r="757">
      <c r="A757" s="86" t="s">
        <v>1576</v>
      </c>
      <c r="B757" s="86" t="s">
        <v>682</v>
      </c>
      <c r="C757" s="87" t="s">
        <v>682</v>
      </c>
      <c r="E757" s="92"/>
      <c r="F757" s="11"/>
      <c r="G757" s="11"/>
    </row>
    <row r="758">
      <c r="A758" s="86" t="s">
        <v>1577</v>
      </c>
      <c r="B758" s="86" t="s">
        <v>682</v>
      </c>
      <c r="C758" s="87" t="s">
        <v>682</v>
      </c>
      <c r="E758" s="92"/>
      <c r="F758" s="11"/>
      <c r="G758" s="11"/>
    </row>
    <row r="759">
      <c r="A759" s="86" t="s">
        <v>1578</v>
      </c>
      <c r="B759" s="86" t="s">
        <v>682</v>
      </c>
      <c r="C759" s="87" t="s">
        <v>682</v>
      </c>
      <c r="E759" s="92"/>
      <c r="F759" s="11"/>
      <c r="G759" s="11"/>
    </row>
    <row r="760">
      <c r="A760" s="86" t="s">
        <v>1579</v>
      </c>
      <c r="B760" s="86" t="s">
        <v>682</v>
      </c>
      <c r="C760" s="87" t="s">
        <v>682</v>
      </c>
      <c r="E760" s="92"/>
      <c r="F760" s="11"/>
      <c r="G760" s="11"/>
    </row>
    <row r="761">
      <c r="A761" s="86" t="s">
        <v>1580</v>
      </c>
      <c r="B761" s="86" t="s">
        <v>682</v>
      </c>
      <c r="C761" s="87" t="s">
        <v>682</v>
      </c>
      <c r="E761" s="92"/>
      <c r="F761" s="11"/>
      <c r="G761" s="11"/>
    </row>
    <row r="762">
      <c r="A762" s="86" t="s">
        <v>1581</v>
      </c>
      <c r="B762" s="86" t="s">
        <v>682</v>
      </c>
      <c r="C762" s="87" t="s">
        <v>682</v>
      </c>
      <c r="E762" s="92"/>
      <c r="F762" s="11"/>
      <c r="G762" s="11"/>
    </row>
    <row r="763">
      <c r="A763" s="86" t="s">
        <v>1584</v>
      </c>
      <c r="B763" s="86" t="s">
        <v>682</v>
      </c>
      <c r="C763" s="87" t="s">
        <v>682</v>
      </c>
      <c r="E763" s="92"/>
      <c r="F763" s="11"/>
      <c r="G763" s="11"/>
    </row>
    <row r="764">
      <c r="A764" s="86" t="s">
        <v>1585</v>
      </c>
      <c r="B764" s="86" t="s">
        <v>682</v>
      </c>
      <c r="C764" s="87" t="s">
        <v>682</v>
      </c>
      <c r="E764" s="92"/>
      <c r="F764" s="11"/>
      <c r="G764" s="11"/>
    </row>
    <row r="765">
      <c r="A765" s="86" t="s">
        <v>1586</v>
      </c>
      <c r="B765" s="86" t="s">
        <v>682</v>
      </c>
      <c r="C765" s="87" t="s">
        <v>682</v>
      </c>
      <c r="E765" s="92"/>
      <c r="F765" s="11"/>
      <c r="G765" s="11"/>
    </row>
    <row r="766">
      <c r="A766" s="86" t="s">
        <v>1587</v>
      </c>
      <c r="B766" s="86" t="s">
        <v>682</v>
      </c>
      <c r="C766" s="87" t="s">
        <v>682</v>
      </c>
      <c r="E766" s="92"/>
      <c r="F766" s="11"/>
      <c r="G766" s="11"/>
    </row>
    <row r="767">
      <c r="A767" s="86" t="s">
        <v>1588</v>
      </c>
      <c r="B767" s="86" t="s">
        <v>682</v>
      </c>
      <c r="C767" s="87" t="s">
        <v>682</v>
      </c>
      <c r="E767" s="92"/>
      <c r="F767" s="11"/>
      <c r="G767" s="11"/>
    </row>
    <row r="768">
      <c r="A768" s="86" t="s">
        <v>1589</v>
      </c>
      <c r="B768" s="86" t="s">
        <v>682</v>
      </c>
      <c r="C768" s="87" t="s">
        <v>682</v>
      </c>
      <c r="E768" s="92"/>
      <c r="F768" s="11"/>
      <c r="G768" s="11"/>
    </row>
    <row r="769">
      <c r="A769" s="86" t="s">
        <v>1590</v>
      </c>
      <c r="B769" s="86" t="s">
        <v>682</v>
      </c>
      <c r="C769" s="87" t="s">
        <v>682</v>
      </c>
      <c r="E769" s="92"/>
      <c r="F769" s="11"/>
      <c r="G769" s="11"/>
    </row>
    <row r="770">
      <c r="A770" s="86" t="s">
        <v>1591</v>
      </c>
      <c r="B770" s="86" t="s">
        <v>682</v>
      </c>
      <c r="C770" s="87" t="s">
        <v>682</v>
      </c>
      <c r="E770" s="92"/>
      <c r="F770" s="11"/>
      <c r="G770" s="11"/>
    </row>
    <row r="771">
      <c r="A771" s="86" t="s">
        <v>1592</v>
      </c>
      <c r="B771" s="86" t="s">
        <v>682</v>
      </c>
      <c r="C771" s="87" t="s">
        <v>682</v>
      </c>
      <c r="E771" s="92"/>
      <c r="F771" s="11"/>
      <c r="G771" s="11"/>
    </row>
    <row r="772">
      <c r="A772" s="86" t="s">
        <v>1593</v>
      </c>
      <c r="B772" s="86" t="s">
        <v>682</v>
      </c>
      <c r="C772" s="87" t="s">
        <v>682</v>
      </c>
      <c r="E772" s="92"/>
      <c r="F772" s="11"/>
      <c r="G772" s="11"/>
    </row>
    <row r="773">
      <c r="A773" s="86" t="s">
        <v>1594</v>
      </c>
      <c r="B773" s="86" t="s">
        <v>682</v>
      </c>
      <c r="C773" s="87" t="s">
        <v>682</v>
      </c>
      <c r="E773" s="92"/>
      <c r="F773" s="11"/>
      <c r="G773" s="11"/>
    </row>
    <row r="774">
      <c r="A774" s="86" t="s">
        <v>1597</v>
      </c>
      <c r="B774" s="86" t="s">
        <v>682</v>
      </c>
      <c r="C774" s="87" t="s">
        <v>682</v>
      </c>
      <c r="E774" s="92"/>
      <c r="F774" s="11"/>
      <c r="G774" s="11"/>
    </row>
    <row r="775">
      <c r="A775" s="86" t="s">
        <v>1598</v>
      </c>
      <c r="B775" s="86" t="s">
        <v>682</v>
      </c>
      <c r="C775" s="87" t="s">
        <v>682</v>
      </c>
      <c r="E775" s="92"/>
      <c r="F775" s="11"/>
      <c r="G775" s="11"/>
    </row>
    <row r="776">
      <c r="A776" s="87" t="s">
        <v>1599</v>
      </c>
      <c r="B776" s="87" t="s">
        <v>691</v>
      </c>
      <c r="C776" s="87" t="s">
        <v>708</v>
      </c>
      <c r="E776" s="92"/>
      <c r="F776" s="11"/>
      <c r="G776" s="11"/>
    </row>
    <row r="777">
      <c r="A777" s="87" t="s">
        <v>1600</v>
      </c>
      <c r="B777" s="87" t="s">
        <v>687</v>
      </c>
      <c r="C777" s="87" t="s">
        <v>708</v>
      </c>
      <c r="E777" s="92"/>
      <c r="F777" s="11"/>
      <c r="G777" s="11"/>
    </row>
    <row r="778">
      <c r="A778" s="87" t="s">
        <v>1601</v>
      </c>
      <c r="B778" s="87" t="s">
        <v>687</v>
      </c>
      <c r="C778" s="87" t="s">
        <v>708</v>
      </c>
      <c r="E778" s="92"/>
      <c r="F778" s="11"/>
      <c r="G778" s="11"/>
    </row>
    <row r="779">
      <c r="A779" s="87" t="s">
        <v>1602</v>
      </c>
      <c r="B779" s="87" t="s">
        <v>685</v>
      </c>
      <c r="C779" s="87" t="s">
        <v>708</v>
      </c>
      <c r="E779" s="92"/>
      <c r="F779" s="11"/>
      <c r="G779" s="11"/>
    </row>
    <row r="780">
      <c r="A780" s="87" t="s">
        <v>412</v>
      </c>
      <c r="B780" s="87" t="s">
        <v>676</v>
      </c>
      <c r="C780" s="87" t="s">
        <v>725</v>
      </c>
      <c r="E780" s="92"/>
      <c r="F780" s="11"/>
      <c r="G780" s="11"/>
    </row>
    <row r="781">
      <c r="A781" s="87" t="s">
        <v>1603</v>
      </c>
      <c r="B781" s="87" t="s">
        <v>654</v>
      </c>
      <c r="C781" s="87" t="s">
        <v>725</v>
      </c>
      <c r="E781" s="92"/>
      <c r="F781" s="11"/>
      <c r="G781" s="11"/>
    </row>
    <row r="782">
      <c r="A782" s="87" t="s">
        <v>1604</v>
      </c>
      <c r="B782" s="87" t="s">
        <v>691</v>
      </c>
      <c r="C782" s="87" t="s">
        <v>710</v>
      </c>
      <c r="E782" s="92"/>
      <c r="F782" s="11"/>
      <c r="G782" s="11"/>
    </row>
    <row r="783">
      <c r="A783" s="87" t="s">
        <v>1605</v>
      </c>
      <c r="B783" s="87" t="s">
        <v>687</v>
      </c>
      <c r="C783" s="87" t="s">
        <v>710</v>
      </c>
      <c r="E783" s="92"/>
      <c r="F783" s="11"/>
      <c r="G783" s="11"/>
    </row>
    <row r="784">
      <c r="A784" s="87" t="s">
        <v>1606</v>
      </c>
      <c r="B784" s="87" t="s">
        <v>687</v>
      </c>
      <c r="C784" s="87" t="s">
        <v>710</v>
      </c>
      <c r="E784" s="92"/>
      <c r="F784" s="11"/>
      <c r="G784" s="11"/>
    </row>
    <row r="785">
      <c r="A785" s="87" t="s">
        <v>1607</v>
      </c>
      <c r="B785" s="87" t="s">
        <v>685</v>
      </c>
      <c r="C785" s="87" t="s">
        <v>710</v>
      </c>
      <c r="E785" s="92"/>
      <c r="F785" s="11"/>
      <c r="G785" s="11"/>
    </row>
    <row r="786">
      <c r="A786" s="87" t="s">
        <v>655</v>
      </c>
      <c r="B786" s="87" t="s">
        <v>676</v>
      </c>
      <c r="C786" s="87" t="s">
        <v>710</v>
      </c>
      <c r="E786" s="92"/>
      <c r="F786" s="11"/>
      <c r="G786" s="11"/>
    </row>
    <row r="787">
      <c r="A787" s="87" t="s">
        <v>1609</v>
      </c>
      <c r="B787" s="87" t="s">
        <v>654</v>
      </c>
      <c r="C787" s="87" t="s">
        <v>710</v>
      </c>
      <c r="E787" s="92"/>
      <c r="F787" s="11"/>
      <c r="G787" s="11"/>
    </row>
    <row r="788">
      <c r="A788" s="87" t="s">
        <v>1610</v>
      </c>
      <c r="B788" s="87" t="s">
        <v>682</v>
      </c>
      <c r="C788" s="87" t="s">
        <v>723</v>
      </c>
      <c r="E788" s="92"/>
      <c r="F788" s="11"/>
      <c r="G788" s="11"/>
    </row>
    <row r="789">
      <c r="A789" s="87" t="s">
        <v>1611</v>
      </c>
      <c r="B789" s="87" t="s">
        <v>682</v>
      </c>
      <c r="C789" s="87" t="s">
        <v>723</v>
      </c>
      <c r="E789" s="92"/>
      <c r="F789" s="11"/>
      <c r="G789" s="11"/>
    </row>
    <row r="790">
      <c r="A790" s="87" t="s">
        <v>1612</v>
      </c>
      <c r="B790" s="87" t="s">
        <v>682</v>
      </c>
      <c r="C790" s="87" t="s">
        <v>723</v>
      </c>
      <c r="E790" s="92"/>
      <c r="F790" s="11"/>
      <c r="G790" s="11"/>
    </row>
    <row r="791">
      <c r="A791" s="87" t="s">
        <v>1613</v>
      </c>
      <c r="B791" s="87" t="s">
        <v>682</v>
      </c>
      <c r="C791" s="87" t="s">
        <v>723</v>
      </c>
      <c r="E791" s="92"/>
      <c r="F791" s="11"/>
      <c r="G791" s="11"/>
    </row>
    <row r="792">
      <c r="A792" s="87" t="s">
        <v>409</v>
      </c>
      <c r="B792" s="87" t="s">
        <v>676</v>
      </c>
      <c r="C792" s="87" t="s">
        <v>723</v>
      </c>
      <c r="E792" s="92"/>
      <c r="F792" s="11"/>
      <c r="G792" s="11"/>
    </row>
    <row r="793">
      <c r="A793" s="87" t="s">
        <v>1614</v>
      </c>
      <c r="B793" s="87" t="s">
        <v>654</v>
      </c>
      <c r="C793" s="87" t="s">
        <v>723</v>
      </c>
      <c r="E793" s="92"/>
      <c r="F793" s="11"/>
      <c r="G793" s="11"/>
    </row>
    <row r="794">
      <c r="A794" s="87" t="s">
        <v>1615</v>
      </c>
      <c r="B794" s="87" t="s">
        <v>687</v>
      </c>
      <c r="C794" s="87" t="s">
        <v>736</v>
      </c>
      <c r="E794" s="92"/>
      <c r="F794" s="11"/>
      <c r="G794" s="11"/>
    </row>
    <row r="795">
      <c r="A795" s="87" t="s">
        <v>1616</v>
      </c>
      <c r="B795" s="87" t="s">
        <v>685</v>
      </c>
      <c r="C795" s="87" t="s">
        <v>736</v>
      </c>
      <c r="E795" s="92"/>
      <c r="F795" s="11"/>
      <c r="G795" s="11"/>
    </row>
    <row r="796">
      <c r="A796" s="87" t="s">
        <v>657</v>
      </c>
      <c r="B796" s="87" t="s">
        <v>676</v>
      </c>
      <c r="C796" s="87" t="s">
        <v>736</v>
      </c>
      <c r="E796" s="92"/>
      <c r="F796" s="11"/>
      <c r="G796" s="11"/>
    </row>
    <row r="797">
      <c r="A797" s="87" t="s">
        <v>1618</v>
      </c>
      <c r="B797" s="87" t="s">
        <v>658</v>
      </c>
      <c r="C797" s="87" t="s">
        <v>736</v>
      </c>
      <c r="E797" s="92"/>
      <c r="F797" s="11"/>
      <c r="G797" s="11"/>
    </row>
    <row r="798">
      <c r="A798" s="87" t="s">
        <v>656</v>
      </c>
      <c r="B798" s="87" t="s">
        <v>683</v>
      </c>
      <c r="C798" s="87" t="s">
        <v>723</v>
      </c>
      <c r="E798" s="92"/>
      <c r="F798" s="11"/>
      <c r="G798" s="11"/>
    </row>
    <row r="799">
      <c r="A799" s="87" t="s">
        <v>1621</v>
      </c>
      <c r="B799" s="87" t="s">
        <v>654</v>
      </c>
      <c r="C799" s="87" t="s">
        <v>723</v>
      </c>
      <c r="E799" s="92"/>
      <c r="F799" s="11"/>
      <c r="G799" s="11"/>
    </row>
    <row r="800">
      <c r="A800" s="87" t="s">
        <v>1623</v>
      </c>
      <c r="B800" s="87" t="s">
        <v>682</v>
      </c>
      <c r="C800" s="87" t="s">
        <v>734</v>
      </c>
      <c r="E800" s="92"/>
      <c r="F800" s="11"/>
      <c r="G800" s="11"/>
    </row>
    <row r="801">
      <c r="A801" s="87" t="s">
        <v>1624</v>
      </c>
      <c r="B801" s="87" t="s">
        <v>682</v>
      </c>
      <c r="C801" s="87" t="s">
        <v>734</v>
      </c>
      <c r="E801" s="92"/>
      <c r="F801" s="11"/>
      <c r="G801" s="11"/>
    </row>
    <row r="802">
      <c r="A802" s="87" t="s">
        <v>1625</v>
      </c>
      <c r="B802" s="87" t="s">
        <v>687</v>
      </c>
      <c r="C802" s="87" t="s">
        <v>734</v>
      </c>
      <c r="E802" s="92"/>
      <c r="F802" s="11"/>
      <c r="G802" s="11"/>
    </row>
    <row r="803">
      <c r="A803" s="87" t="s">
        <v>1626</v>
      </c>
      <c r="B803" s="87" t="s">
        <v>685</v>
      </c>
      <c r="C803" s="87" t="s">
        <v>734</v>
      </c>
      <c r="E803" s="92"/>
      <c r="F803" s="11"/>
      <c r="G803" s="11"/>
    </row>
    <row r="804">
      <c r="A804" s="87" t="s">
        <v>629</v>
      </c>
      <c r="B804" s="87" t="s">
        <v>683</v>
      </c>
      <c r="C804" s="87" t="s">
        <v>714</v>
      </c>
      <c r="E804" s="92"/>
      <c r="F804" s="11"/>
      <c r="G804" s="11"/>
    </row>
    <row r="805">
      <c r="A805" s="87" t="s">
        <v>1628</v>
      </c>
      <c r="B805" s="87" t="s">
        <v>660</v>
      </c>
      <c r="C805" s="87" t="s">
        <v>734</v>
      </c>
      <c r="E805" s="92"/>
      <c r="F805" s="11"/>
      <c r="G805" s="11"/>
    </row>
    <row r="806">
      <c r="A806" s="87" t="s">
        <v>1629</v>
      </c>
      <c r="B806" s="87" t="s">
        <v>682</v>
      </c>
      <c r="C806" s="87" t="s">
        <v>682</v>
      </c>
      <c r="E806" s="92"/>
      <c r="F806" s="11"/>
      <c r="G806" s="11"/>
    </row>
    <row r="807">
      <c r="A807" s="87" t="s">
        <v>1630</v>
      </c>
      <c r="B807" s="87" t="s">
        <v>682</v>
      </c>
      <c r="C807" s="87" t="s">
        <v>682</v>
      </c>
      <c r="E807" s="92"/>
      <c r="F807" s="11"/>
      <c r="G807" s="11"/>
    </row>
    <row r="808">
      <c r="A808" s="87" t="s">
        <v>411</v>
      </c>
      <c r="B808" s="86" t="s">
        <v>683</v>
      </c>
      <c r="C808" s="87" t="s">
        <v>721</v>
      </c>
      <c r="E808" s="92"/>
      <c r="F808" s="11"/>
      <c r="G808" s="11"/>
    </row>
    <row r="809">
      <c r="A809" s="87" t="s">
        <v>1631</v>
      </c>
      <c r="B809" s="86" t="s">
        <v>654</v>
      </c>
      <c r="C809" s="87" t="s">
        <v>721</v>
      </c>
      <c r="E809" s="92"/>
      <c r="F809" s="11"/>
      <c r="G809" s="11"/>
    </row>
    <row r="810">
      <c r="A810" s="87" t="s">
        <v>1632</v>
      </c>
      <c r="B810" s="87" t="s">
        <v>683</v>
      </c>
      <c r="C810" s="87" t="s">
        <v>708</v>
      </c>
      <c r="E810" s="92"/>
      <c r="F810" s="11"/>
      <c r="G810" s="11"/>
    </row>
    <row r="811">
      <c r="A811" s="87" t="s">
        <v>1633</v>
      </c>
      <c r="B811" s="87" t="s">
        <v>660</v>
      </c>
      <c r="C811" s="87" t="s">
        <v>739</v>
      </c>
      <c r="E811" s="92"/>
      <c r="F811" s="11"/>
      <c r="G811" s="11"/>
    </row>
    <row r="812">
      <c r="A812" s="87" t="s">
        <v>630</v>
      </c>
      <c r="B812" s="87" t="s">
        <v>676</v>
      </c>
      <c r="C812" s="87" t="s">
        <v>736</v>
      </c>
      <c r="E812" s="92"/>
      <c r="F812" s="11"/>
      <c r="G812" s="11"/>
    </row>
    <row r="813">
      <c r="A813" s="87" t="s">
        <v>1635</v>
      </c>
      <c r="B813" s="87" t="s">
        <v>660</v>
      </c>
      <c r="C813" s="87" t="s">
        <v>736</v>
      </c>
      <c r="E813" s="92"/>
      <c r="F813" s="11"/>
      <c r="G813" s="11"/>
    </row>
    <row r="814">
      <c r="A814" s="87" t="s">
        <v>413</v>
      </c>
      <c r="B814" s="87" t="s">
        <v>676</v>
      </c>
      <c r="C814" s="87" t="s">
        <v>708</v>
      </c>
      <c r="E814" s="92"/>
      <c r="F814" s="11"/>
      <c r="G814" s="11"/>
    </row>
    <row r="815">
      <c r="A815" s="87" t="s">
        <v>1637</v>
      </c>
      <c r="B815" s="87" t="s">
        <v>654</v>
      </c>
      <c r="C815" s="87" t="s">
        <v>708</v>
      </c>
      <c r="E815" s="92"/>
      <c r="F815" s="11"/>
      <c r="G815" s="11"/>
    </row>
    <row r="816">
      <c r="A816" s="87" t="s">
        <v>659</v>
      </c>
      <c r="B816" s="87" t="s">
        <v>683</v>
      </c>
      <c r="C816" s="87" t="s">
        <v>708</v>
      </c>
      <c r="E816" s="92"/>
      <c r="F816" s="11"/>
      <c r="G816" s="11"/>
    </row>
    <row r="817">
      <c r="A817" s="87" t="s">
        <v>1638</v>
      </c>
      <c r="B817" s="87" t="s">
        <v>660</v>
      </c>
      <c r="C817" s="87" t="s">
        <v>708</v>
      </c>
      <c r="E817" s="92"/>
      <c r="F817" s="11"/>
      <c r="G817" s="11"/>
    </row>
    <row r="818">
      <c r="A818" s="87" t="s">
        <v>633</v>
      </c>
      <c r="B818" s="87" t="s">
        <v>683</v>
      </c>
      <c r="C818" s="87" t="s">
        <v>739</v>
      </c>
      <c r="E818" s="92"/>
      <c r="F818" s="11"/>
      <c r="G818" s="11"/>
    </row>
    <row r="819">
      <c r="A819" s="87" t="s">
        <v>1640</v>
      </c>
      <c r="B819" s="87" t="s">
        <v>660</v>
      </c>
      <c r="C819" s="87" t="s">
        <v>739</v>
      </c>
      <c r="E819" s="92"/>
      <c r="F819" s="11"/>
      <c r="G819" s="11"/>
    </row>
    <row r="820">
      <c r="A820" s="87" t="s">
        <v>653</v>
      </c>
      <c r="B820" s="87" t="s">
        <v>676</v>
      </c>
      <c r="C820" s="87" t="s">
        <v>717</v>
      </c>
      <c r="E820" s="92"/>
      <c r="F820" s="11"/>
      <c r="G820" s="11"/>
    </row>
    <row r="821">
      <c r="A821" s="87" t="s">
        <v>1641</v>
      </c>
      <c r="B821" s="87" t="s">
        <v>654</v>
      </c>
      <c r="C821" s="87" t="s">
        <v>717</v>
      </c>
      <c r="E821" s="92"/>
      <c r="F821" s="11"/>
      <c r="G821" s="11"/>
    </row>
    <row r="822">
      <c r="A822" s="87" t="s">
        <v>408</v>
      </c>
      <c r="B822" s="87" t="s">
        <v>676</v>
      </c>
      <c r="C822" s="87" t="s">
        <v>742</v>
      </c>
      <c r="E822" s="92"/>
      <c r="F822" s="11"/>
      <c r="G822" s="11"/>
    </row>
    <row r="823">
      <c r="A823" s="87" t="s">
        <v>1642</v>
      </c>
      <c r="B823" s="87" t="s">
        <v>654</v>
      </c>
      <c r="C823" s="87" t="s">
        <v>742</v>
      </c>
      <c r="E823" s="92"/>
      <c r="F823" s="11"/>
      <c r="G823" s="11"/>
    </row>
    <row r="824">
      <c r="A824" s="87" t="s">
        <v>1643</v>
      </c>
      <c r="B824" s="87" t="s">
        <v>683</v>
      </c>
      <c r="C824" s="87"/>
      <c r="E824" s="92"/>
      <c r="F824" s="11"/>
      <c r="G824" s="11"/>
    </row>
    <row r="825">
      <c r="A825" s="87" t="s">
        <v>1645</v>
      </c>
      <c r="B825" s="86"/>
      <c r="C825" s="87"/>
      <c r="E825" s="92"/>
      <c r="F825" s="11"/>
      <c r="G825" s="11"/>
    </row>
    <row r="826">
      <c r="A826" s="87" t="s">
        <v>1648</v>
      </c>
      <c r="B826" s="87" t="s">
        <v>683</v>
      </c>
      <c r="C826" s="87" t="s">
        <v>715</v>
      </c>
      <c r="E826" s="92"/>
      <c r="F826" s="11"/>
      <c r="G826" s="11"/>
    </row>
    <row r="827">
      <c r="A827" s="87" t="s">
        <v>1649</v>
      </c>
      <c r="B827" s="87" t="s">
        <v>683</v>
      </c>
      <c r="C827" s="87" t="s">
        <v>715</v>
      </c>
      <c r="E827" s="92"/>
      <c r="F827" s="11"/>
      <c r="G827" s="11"/>
    </row>
    <row r="828">
      <c r="A828" s="87" t="s">
        <v>1650</v>
      </c>
      <c r="B828" s="87" t="s">
        <v>691</v>
      </c>
      <c r="C828" s="87" t="s">
        <v>721</v>
      </c>
      <c r="E828" s="92"/>
      <c r="F828" s="11"/>
      <c r="G828" s="11"/>
    </row>
    <row r="829">
      <c r="A829" s="87" t="s">
        <v>1651</v>
      </c>
      <c r="B829" s="87" t="s">
        <v>687</v>
      </c>
      <c r="C829" s="87" t="s">
        <v>721</v>
      </c>
      <c r="E829" s="92"/>
      <c r="F829" s="11"/>
      <c r="G829" s="11"/>
    </row>
    <row r="830">
      <c r="A830" s="87" t="s">
        <v>635</v>
      </c>
      <c r="B830" s="87" t="s">
        <v>676</v>
      </c>
      <c r="C830" s="87" t="s">
        <v>721</v>
      </c>
      <c r="E830" s="92"/>
      <c r="F830" s="11"/>
      <c r="G830" s="11"/>
    </row>
    <row r="831">
      <c r="A831" s="87" t="s">
        <v>1652</v>
      </c>
      <c r="B831" s="87" t="s">
        <v>660</v>
      </c>
      <c r="C831" s="87" t="s">
        <v>721</v>
      </c>
      <c r="E831" s="92"/>
      <c r="F831" s="11"/>
      <c r="G831" s="11"/>
    </row>
    <row r="832">
      <c r="A832" s="87" t="s">
        <v>1653</v>
      </c>
      <c r="B832" s="87" t="s">
        <v>683</v>
      </c>
      <c r="C832" s="87" t="s">
        <v>745</v>
      </c>
      <c r="E832" s="92"/>
      <c r="F832" s="11"/>
      <c r="G832" s="11"/>
    </row>
    <row r="833">
      <c r="A833" s="87" t="s">
        <v>1654</v>
      </c>
      <c r="B833" s="87" t="s">
        <v>676</v>
      </c>
      <c r="C833" s="87" t="s">
        <v>745</v>
      </c>
      <c r="E833" s="92"/>
      <c r="F833" s="11"/>
      <c r="G833" s="11"/>
    </row>
    <row r="834">
      <c r="A834" s="87" t="s">
        <v>1656</v>
      </c>
      <c r="B834" s="86" t="s">
        <v>689</v>
      </c>
      <c r="C834" s="87" t="s">
        <v>731</v>
      </c>
      <c r="E834" s="92"/>
      <c r="F834" s="11"/>
      <c r="G834" s="11"/>
    </row>
    <row r="835">
      <c r="A835" s="87" t="s">
        <v>1657</v>
      </c>
      <c r="B835" s="86" t="s">
        <v>689</v>
      </c>
      <c r="C835" s="87" t="s">
        <v>731</v>
      </c>
      <c r="E835" s="92"/>
      <c r="F835" s="11"/>
      <c r="G835" s="11"/>
    </row>
    <row r="836">
      <c r="A836" s="87" t="s">
        <v>1658</v>
      </c>
      <c r="B836" s="86" t="s">
        <v>683</v>
      </c>
      <c r="C836" s="87" t="s">
        <v>731</v>
      </c>
      <c r="E836" s="92"/>
      <c r="F836" s="11"/>
      <c r="G836" s="11"/>
    </row>
    <row r="837">
      <c r="A837" s="87" t="s">
        <v>1660</v>
      </c>
      <c r="B837" s="86" t="s">
        <v>683</v>
      </c>
      <c r="C837" s="87" t="s">
        <v>731</v>
      </c>
      <c r="E837" s="92"/>
      <c r="F837" s="11"/>
      <c r="G837" s="11"/>
    </row>
    <row r="838">
      <c r="A838" s="87" t="s">
        <v>416</v>
      </c>
      <c r="B838" s="86" t="s">
        <v>683</v>
      </c>
      <c r="C838" s="87" t="s">
        <v>731</v>
      </c>
      <c r="E838" s="92"/>
      <c r="F838" s="11"/>
      <c r="G838" s="11"/>
    </row>
    <row r="839">
      <c r="A839" s="87" t="s">
        <v>1661</v>
      </c>
      <c r="B839" s="86" t="s">
        <v>654</v>
      </c>
      <c r="C839" s="87" t="s">
        <v>731</v>
      </c>
      <c r="E839" s="92"/>
      <c r="F839" s="11"/>
      <c r="G839" s="11"/>
    </row>
    <row r="840">
      <c r="A840" s="87" t="s">
        <v>777</v>
      </c>
      <c r="B840" s="86" t="s">
        <v>691</v>
      </c>
      <c r="C840" s="87" t="s">
        <v>728</v>
      </c>
      <c r="E840" s="92"/>
      <c r="F840" s="11"/>
      <c r="G840" s="11"/>
    </row>
    <row r="841">
      <c r="A841" s="87" t="s">
        <v>1662</v>
      </c>
      <c r="B841" s="86" t="s">
        <v>689</v>
      </c>
      <c r="C841" s="87" t="s">
        <v>728</v>
      </c>
      <c r="E841" s="92"/>
      <c r="F841" s="11"/>
      <c r="G841" s="11"/>
    </row>
    <row r="842">
      <c r="A842" s="87" t="s">
        <v>1663</v>
      </c>
      <c r="B842" s="86" t="s">
        <v>689</v>
      </c>
      <c r="C842" s="87" t="s">
        <v>728</v>
      </c>
      <c r="E842" s="92"/>
      <c r="F842" s="11"/>
      <c r="G842" s="11"/>
    </row>
    <row r="843">
      <c r="A843" s="87" t="s">
        <v>1665</v>
      </c>
      <c r="B843" s="86" t="s">
        <v>687</v>
      </c>
      <c r="C843" s="87" t="s">
        <v>728</v>
      </c>
      <c r="E843" s="92"/>
      <c r="F843" s="11"/>
      <c r="G843" s="11"/>
    </row>
    <row r="844">
      <c r="A844" s="87" t="s">
        <v>415</v>
      </c>
      <c r="B844" s="86" t="s">
        <v>683</v>
      </c>
      <c r="C844" s="87" t="s">
        <v>728</v>
      </c>
      <c r="E844" s="92"/>
      <c r="F844" s="11"/>
      <c r="G844" s="11"/>
    </row>
    <row r="845">
      <c r="A845" s="87" t="s">
        <v>1667</v>
      </c>
      <c r="B845" s="86" t="s">
        <v>654</v>
      </c>
      <c r="C845" s="87" t="s">
        <v>728</v>
      </c>
      <c r="E845" s="92"/>
      <c r="F845" s="11"/>
      <c r="G845" s="11"/>
    </row>
    <row r="846">
      <c r="A846" s="87" t="s">
        <v>1668</v>
      </c>
      <c r="B846" s="87" t="s">
        <v>687</v>
      </c>
      <c r="C846" s="87" t="s">
        <v>708</v>
      </c>
      <c r="E846" s="92"/>
      <c r="F846" s="11"/>
      <c r="G846" s="11"/>
    </row>
    <row r="847">
      <c r="A847" s="87" t="s">
        <v>1669</v>
      </c>
      <c r="B847" s="87" t="s">
        <v>685</v>
      </c>
      <c r="C847" s="87" t="s">
        <v>708</v>
      </c>
      <c r="E847" s="92"/>
      <c r="F847" s="11"/>
      <c r="G847" s="11"/>
    </row>
    <row r="848">
      <c r="A848" s="87" t="s">
        <v>1670</v>
      </c>
      <c r="B848" s="87" t="s">
        <v>676</v>
      </c>
      <c r="C848" s="87" t="s">
        <v>708</v>
      </c>
      <c r="E848" s="92"/>
      <c r="F848" s="11"/>
      <c r="G848" s="11"/>
    </row>
    <row r="849">
      <c r="A849" s="87" t="s">
        <v>1671</v>
      </c>
      <c r="B849" s="87" t="s">
        <v>654</v>
      </c>
      <c r="C849" s="87" t="s">
        <v>708</v>
      </c>
      <c r="E849" s="92"/>
      <c r="F849" s="11"/>
      <c r="G849" s="11"/>
    </row>
    <row r="850">
      <c r="A850" s="87" t="s">
        <v>1672</v>
      </c>
      <c r="B850" s="87" t="s">
        <v>683</v>
      </c>
      <c r="C850" s="87" t="s">
        <v>721</v>
      </c>
      <c r="E850" s="92"/>
      <c r="F850" s="11"/>
      <c r="G850" s="11"/>
    </row>
    <row r="851">
      <c r="A851" s="87" t="s">
        <v>1673</v>
      </c>
      <c r="B851" s="87" t="s">
        <v>683</v>
      </c>
      <c r="C851" s="87" t="s">
        <v>721</v>
      </c>
      <c r="E851" s="92"/>
      <c r="F851" s="11"/>
      <c r="G851" s="11"/>
    </row>
    <row r="852">
      <c r="A852" s="87" t="s">
        <v>632</v>
      </c>
      <c r="B852" s="87" t="s">
        <v>683</v>
      </c>
      <c r="C852" s="87" t="s">
        <v>728</v>
      </c>
      <c r="E852" s="92"/>
      <c r="F852" s="11"/>
      <c r="G852" s="11"/>
    </row>
    <row r="853">
      <c r="A853" s="87" t="s">
        <v>1674</v>
      </c>
      <c r="B853" s="86" t="s">
        <v>660</v>
      </c>
      <c r="C853" s="87" t="s">
        <v>728</v>
      </c>
      <c r="E853" s="92"/>
      <c r="F853" s="11"/>
      <c r="G853" s="11"/>
    </row>
    <row r="854">
      <c r="A854" s="87" t="s">
        <v>410</v>
      </c>
      <c r="B854" s="86" t="s">
        <v>683</v>
      </c>
      <c r="C854" s="87" t="s">
        <v>728</v>
      </c>
      <c r="E854" s="92"/>
      <c r="F854" s="11"/>
      <c r="G854" s="11"/>
    </row>
    <row r="855">
      <c r="A855" s="87" t="s">
        <v>1676</v>
      </c>
      <c r="B855" s="86" t="s">
        <v>654</v>
      </c>
      <c r="C855" s="87" t="s">
        <v>728</v>
      </c>
      <c r="E855" s="92"/>
      <c r="F855" s="11"/>
      <c r="G855" s="11"/>
    </row>
    <row r="856">
      <c r="A856" s="86"/>
      <c r="B856" s="86"/>
      <c r="C856" s="87"/>
      <c r="E856" s="92"/>
      <c r="F856" s="11"/>
      <c r="G856" s="11"/>
    </row>
    <row r="857">
      <c r="A857" s="86"/>
      <c r="B857" s="86"/>
      <c r="C857" s="87"/>
      <c r="E857" s="92"/>
      <c r="F857" s="11"/>
      <c r="G857" s="11"/>
    </row>
    <row r="858">
      <c r="A858" s="86"/>
      <c r="B858" s="86"/>
      <c r="C858" s="87"/>
      <c r="E858" s="92"/>
      <c r="F858" s="11"/>
      <c r="G858" s="11"/>
    </row>
    <row r="859">
      <c r="A859" s="86"/>
      <c r="B859" s="86"/>
      <c r="C859" s="87"/>
      <c r="E859" s="92"/>
      <c r="F859" s="11"/>
      <c r="G859" s="11"/>
    </row>
    <row r="860">
      <c r="A860" s="86"/>
      <c r="B860" s="86"/>
      <c r="C860" s="87"/>
      <c r="E860" s="92"/>
      <c r="F860" s="11"/>
      <c r="G860" s="11"/>
    </row>
    <row r="861">
      <c r="A861" s="86"/>
      <c r="B861" s="86"/>
      <c r="C861" s="87"/>
      <c r="E861" s="92"/>
      <c r="F861" s="11"/>
      <c r="G861" s="11"/>
    </row>
    <row r="862">
      <c r="A862" s="86"/>
      <c r="B862" s="86"/>
      <c r="C862" s="87"/>
      <c r="E862" s="92"/>
      <c r="F862" s="11"/>
      <c r="G862" s="11"/>
    </row>
    <row r="863">
      <c r="A863" s="86"/>
      <c r="B863" s="86"/>
      <c r="C863" s="87"/>
      <c r="E863" s="92"/>
      <c r="F863" s="11"/>
      <c r="G863" s="11"/>
    </row>
    <row r="864">
      <c r="A864" s="86"/>
      <c r="B864" s="86"/>
      <c r="C864" s="87"/>
      <c r="E864" s="92"/>
      <c r="F864" s="11"/>
      <c r="G864" s="11"/>
    </row>
    <row r="865">
      <c r="A865" s="86"/>
      <c r="B865" s="86"/>
      <c r="C865" s="87"/>
      <c r="E865" s="92"/>
      <c r="F865" s="11"/>
      <c r="G865" s="11"/>
    </row>
    <row r="866">
      <c r="A866" s="86"/>
      <c r="B866" s="86"/>
      <c r="C866" s="87"/>
      <c r="E866" s="92"/>
      <c r="F866" s="11"/>
      <c r="G866" s="11"/>
    </row>
    <row r="867">
      <c r="A867" s="86"/>
      <c r="B867" s="86"/>
      <c r="C867" s="87"/>
      <c r="E867" s="92"/>
      <c r="F867" s="11"/>
      <c r="G867" s="11"/>
    </row>
    <row r="868">
      <c r="A868" s="86"/>
      <c r="B868" s="86"/>
      <c r="C868" s="87"/>
      <c r="E868" s="92"/>
      <c r="F868" s="11"/>
      <c r="G868" s="11"/>
    </row>
    <row r="869">
      <c r="A869" s="86"/>
      <c r="B869" s="86"/>
      <c r="C869" s="87"/>
      <c r="E869" s="92"/>
      <c r="F869" s="11"/>
      <c r="G869" s="11"/>
    </row>
    <row r="870">
      <c r="A870" s="86"/>
      <c r="B870" s="86"/>
      <c r="C870" s="87"/>
      <c r="E870" s="92"/>
      <c r="F870" s="11"/>
      <c r="G870" s="11"/>
    </row>
    <row r="871">
      <c r="A871" s="86"/>
      <c r="B871" s="86"/>
      <c r="C871" s="87"/>
      <c r="E871" s="92"/>
      <c r="F871" s="11"/>
      <c r="G871" s="11"/>
    </row>
    <row r="872">
      <c r="A872" s="86"/>
      <c r="B872" s="86"/>
      <c r="C872" s="87"/>
      <c r="E872" s="92"/>
      <c r="F872" s="11"/>
      <c r="G872" s="11"/>
    </row>
    <row r="873">
      <c r="A873" s="86"/>
      <c r="B873" s="86"/>
      <c r="C873" s="87"/>
      <c r="E873" s="92"/>
      <c r="F873" s="11"/>
      <c r="G873" s="11"/>
    </row>
    <row r="874">
      <c r="A874" s="86"/>
      <c r="B874" s="86"/>
      <c r="C874" s="87"/>
      <c r="E874" s="92"/>
      <c r="F874" s="11"/>
      <c r="G874" s="11"/>
    </row>
    <row r="875">
      <c r="A875" s="86"/>
      <c r="B875" s="86"/>
      <c r="C875" s="87"/>
      <c r="E875" s="92"/>
      <c r="F875" s="11"/>
      <c r="G875" s="11"/>
    </row>
    <row r="876">
      <c r="A876" s="86"/>
      <c r="B876" s="86"/>
      <c r="C876" s="87"/>
      <c r="E876" s="92"/>
      <c r="F876" s="11"/>
      <c r="G876" s="11"/>
    </row>
    <row r="877">
      <c r="A877" s="86"/>
      <c r="B877" s="86"/>
      <c r="C877" s="87"/>
      <c r="E877" s="92"/>
      <c r="F877" s="11"/>
      <c r="G877" s="11"/>
    </row>
    <row r="878">
      <c r="A878" s="86"/>
      <c r="B878" s="86"/>
      <c r="C878" s="87"/>
      <c r="E878" s="92"/>
      <c r="F878" s="11"/>
      <c r="G878" s="11"/>
    </row>
    <row r="879">
      <c r="A879" s="86"/>
      <c r="B879" s="86"/>
      <c r="C879" s="87"/>
      <c r="E879" s="92"/>
      <c r="F879" s="11"/>
      <c r="G879" s="11"/>
    </row>
    <row r="880">
      <c r="A880" s="86"/>
      <c r="B880" s="86"/>
      <c r="C880" s="86"/>
      <c r="E880" s="92"/>
      <c r="F880" s="11"/>
      <c r="G880" s="11"/>
    </row>
    <row r="881">
      <c r="A881" s="86"/>
      <c r="B881" s="86"/>
      <c r="C881" s="86"/>
      <c r="E881" s="92"/>
      <c r="F881" s="11"/>
      <c r="G881" s="11"/>
    </row>
    <row r="882">
      <c r="A882" s="86"/>
      <c r="B882" s="86"/>
      <c r="C882" s="86"/>
      <c r="E882" s="92"/>
      <c r="F882" s="11"/>
      <c r="G882" s="11"/>
    </row>
    <row r="883">
      <c r="A883" s="86"/>
      <c r="B883" s="86"/>
      <c r="C883" s="86"/>
      <c r="E883" s="92"/>
      <c r="F883" s="11"/>
      <c r="G883" s="11"/>
    </row>
    <row r="884">
      <c r="A884" s="86"/>
      <c r="B884" s="86"/>
      <c r="C884" s="86"/>
      <c r="E884" s="92"/>
      <c r="F884" s="11"/>
      <c r="G884" s="11"/>
    </row>
    <row r="885">
      <c r="A885" s="86"/>
      <c r="B885" s="86"/>
      <c r="C885" s="86"/>
      <c r="E885" s="92"/>
      <c r="F885" s="11"/>
      <c r="G885" s="11"/>
    </row>
    <row r="886">
      <c r="A886" s="86"/>
      <c r="B886" s="86"/>
      <c r="C886" s="86"/>
      <c r="E886" s="92"/>
      <c r="F886" s="11"/>
      <c r="G886" s="11"/>
    </row>
    <row r="887">
      <c r="A887" s="86"/>
      <c r="B887" s="86"/>
      <c r="C887" s="86"/>
      <c r="E887" s="92"/>
      <c r="F887" s="11"/>
      <c r="G887" s="11"/>
    </row>
    <row r="888">
      <c r="A888" s="86"/>
      <c r="B888" s="86"/>
      <c r="C888" s="86"/>
      <c r="E888" s="92"/>
      <c r="F888" s="11"/>
      <c r="G888" s="11"/>
    </row>
    <row r="889">
      <c r="A889" s="86"/>
      <c r="B889" s="86"/>
      <c r="C889" s="86"/>
      <c r="E889" s="92"/>
      <c r="F889" s="11"/>
      <c r="G889" s="11"/>
    </row>
    <row r="890">
      <c r="A890" s="86"/>
      <c r="B890" s="86"/>
      <c r="C890" s="86"/>
      <c r="E890" s="92"/>
      <c r="F890" s="11"/>
      <c r="G890" s="11"/>
    </row>
    <row r="891">
      <c r="A891" s="86"/>
      <c r="B891" s="86"/>
      <c r="C891" s="86"/>
      <c r="E891" s="92"/>
      <c r="F891" s="11"/>
      <c r="G891" s="11"/>
    </row>
    <row r="892">
      <c r="A892" s="86"/>
      <c r="B892" s="86"/>
      <c r="C892" s="86"/>
      <c r="E892" s="92"/>
      <c r="F892" s="11"/>
      <c r="G892" s="11"/>
    </row>
    <row r="893">
      <c r="A893" s="86"/>
      <c r="B893" s="86"/>
      <c r="C893" s="86"/>
      <c r="E893" s="92"/>
      <c r="F893" s="11"/>
      <c r="G893" s="11"/>
    </row>
    <row r="894">
      <c r="A894" s="86"/>
      <c r="B894" s="86"/>
      <c r="C894" s="86"/>
      <c r="E894" s="92"/>
      <c r="F894" s="11"/>
      <c r="G894" s="11"/>
    </row>
    <row r="895">
      <c r="A895" s="86"/>
      <c r="B895" s="86"/>
      <c r="C895" s="86"/>
      <c r="E895" s="92"/>
      <c r="F895" s="11"/>
      <c r="G895" s="11"/>
    </row>
    <row r="896">
      <c r="A896" s="86"/>
      <c r="B896" s="86"/>
      <c r="C896" s="86"/>
      <c r="E896" s="92"/>
      <c r="F896" s="11"/>
      <c r="G896" s="11"/>
    </row>
    <row r="897">
      <c r="A897" s="86"/>
      <c r="B897" s="86"/>
      <c r="C897" s="86"/>
      <c r="E897" s="92"/>
      <c r="F897" s="11"/>
      <c r="G897" s="11"/>
    </row>
    <row r="898">
      <c r="A898" s="86"/>
      <c r="B898" s="86"/>
      <c r="C898" s="86"/>
      <c r="E898" s="92"/>
      <c r="F898" s="11"/>
      <c r="G898" s="11"/>
    </row>
    <row r="899">
      <c r="A899" s="86"/>
      <c r="B899" s="86"/>
      <c r="C899" s="86"/>
      <c r="E899" s="92"/>
      <c r="F899" s="11"/>
      <c r="G899" s="11"/>
    </row>
    <row r="900">
      <c r="A900" s="86"/>
      <c r="B900" s="86"/>
      <c r="C900" s="86"/>
      <c r="E900" s="92"/>
      <c r="F900" s="11"/>
      <c r="G900" s="11"/>
    </row>
    <row r="901">
      <c r="A901" s="86"/>
      <c r="B901" s="86"/>
      <c r="C901" s="86"/>
      <c r="E901" s="92"/>
      <c r="F901" s="11"/>
      <c r="G901" s="11"/>
    </row>
    <row r="902">
      <c r="A902" s="86"/>
      <c r="B902" s="86"/>
      <c r="C902" s="86"/>
      <c r="E902" s="92"/>
      <c r="F902" s="11"/>
      <c r="G902" s="11"/>
    </row>
    <row r="903">
      <c r="A903" s="86"/>
      <c r="B903" s="86"/>
      <c r="C903" s="86"/>
      <c r="E903" s="92"/>
      <c r="F903" s="11"/>
      <c r="G903" s="11"/>
    </row>
    <row r="904">
      <c r="A904" s="86"/>
      <c r="B904" s="86"/>
      <c r="C904" s="86"/>
      <c r="E904" s="92"/>
      <c r="F904" s="11"/>
      <c r="G904" s="11"/>
    </row>
    <row r="905">
      <c r="A905" s="86"/>
      <c r="B905" s="86"/>
      <c r="C905" s="86"/>
      <c r="E905" s="92"/>
      <c r="F905" s="11"/>
      <c r="G905" s="11"/>
    </row>
    <row r="906">
      <c r="A906" s="86"/>
      <c r="B906" s="86"/>
      <c r="C906" s="86"/>
      <c r="E906" s="92"/>
      <c r="F906" s="11"/>
      <c r="G906" s="11"/>
    </row>
    <row r="907">
      <c r="A907" s="86"/>
      <c r="B907" s="86"/>
      <c r="C907" s="86"/>
      <c r="E907" s="92"/>
      <c r="F907" s="11"/>
      <c r="G907" s="11"/>
    </row>
    <row r="908">
      <c r="A908" s="86"/>
      <c r="B908" s="86"/>
      <c r="C908" s="86"/>
      <c r="E908" s="92"/>
      <c r="F908" s="11"/>
      <c r="G908" s="11"/>
    </row>
    <row r="909">
      <c r="A909" s="86"/>
      <c r="B909" s="86"/>
      <c r="C909" s="86"/>
      <c r="E909" s="92"/>
      <c r="F909" s="11"/>
      <c r="G909" s="11"/>
    </row>
    <row r="910">
      <c r="A910" s="86"/>
      <c r="B910" s="86"/>
      <c r="C910" s="86"/>
      <c r="E910" s="92"/>
      <c r="F910" s="11"/>
      <c r="G910" s="11"/>
    </row>
    <row r="911">
      <c r="A911" s="86"/>
      <c r="B911" s="86"/>
      <c r="C911" s="86"/>
      <c r="E911" s="92"/>
      <c r="F911" s="11"/>
      <c r="G911" s="11"/>
    </row>
    <row r="912">
      <c r="A912" s="86"/>
      <c r="B912" s="86"/>
      <c r="C912" s="86"/>
      <c r="E912" s="92"/>
      <c r="F912" s="11"/>
      <c r="G912" s="11"/>
    </row>
    <row r="913">
      <c r="A913" s="86"/>
      <c r="B913" s="86"/>
      <c r="C913" s="86"/>
      <c r="E913" s="92"/>
      <c r="F913" s="11"/>
      <c r="G913" s="11"/>
    </row>
    <row r="914">
      <c r="A914" s="86"/>
      <c r="B914" s="86"/>
      <c r="C914" s="86"/>
      <c r="E914" s="92"/>
      <c r="F914" s="11"/>
      <c r="G914" s="11"/>
    </row>
    <row r="915">
      <c r="A915" s="86"/>
      <c r="B915" s="86"/>
      <c r="C915" s="86"/>
      <c r="E915" s="92"/>
      <c r="F915" s="11"/>
      <c r="G915" s="11"/>
    </row>
    <row r="916">
      <c r="A916" s="86"/>
      <c r="B916" s="86"/>
      <c r="C916" s="86"/>
      <c r="E916" s="92"/>
      <c r="F916" s="11"/>
      <c r="G916" s="11"/>
    </row>
    <row r="917">
      <c r="A917" s="86"/>
      <c r="B917" s="86"/>
      <c r="C917" s="86"/>
      <c r="E917" s="92"/>
      <c r="F917" s="11"/>
      <c r="G917" s="11"/>
    </row>
    <row r="918">
      <c r="A918" s="86"/>
      <c r="B918" s="86"/>
      <c r="C918" s="86"/>
      <c r="E918" s="92"/>
      <c r="F918" s="11"/>
      <c r="G918" s="11"/>
    </row>
    <row r="919">
      <c r="A919" s="86"/>
      <c r="B919" s="86"/>
      <c r="C919" s="86"/>
      <c r="E919" s="92"/>
      <c r="F919" s="11"/>
      <c r="G919" s="11"/>
    </row>
    <row r="920">
      <c r="A920" s="86"/>
      <c r="B920" s="86"/>
      <c r="C920" s="86"/>
      <c r="E920" s="92"/>
      <c r="F920" s="11"/>
      <c r="G920" s="11"/>
    </row>
    <row r="921">
      <c r="A921" s="86"/>
      <c r="B921" s="86"/>
      <c r="C921" s="86"/>
      <c r="E921" s="92"/>
      <c r="F921" s="11"/>
      <c r="G921" s="11"/>
    </row>
    <row r="922">
      <c r="A922" s="86"/>
      <c r="B922" s="86"/>
      <c r="C922" s="86"/>
      <c r="E922" s="92"/>
      <c r="F922" s="11"/>
      <c r="G922" s="11"/>
    </row>
    <row r="923">
      <c r="A923" s="86"/>
      <c r="B923" s="86"/>
      <c r="C923" s="86"/>
      <c r="E923" s="92"/>
      <c r="F923" s="11"/>
      <c r="G923" s="11"/>
    </row>
    <row r="924">
      <c r="A924" s="86"/>
      <c r="B924" s="86"/>
      <c r="C924" s="86"/>
      <c r="E924" s="92"/>
      <c r="F924" s="11"/>
      <c r="G924" s="11"/>
    </row>
    <row r="925">
      <c r="A925" s="86"/>
      <c r="B925" s="86"/>
      <c r="C925" s="86"/>
      <c r="E925" s="92"/>
      <c r="F925" s="11"/>
      <c r="G925" s="11"/>
    </row>
    <row r="926">
      <c r="A926" s="86"/>
      <c r="B926" s="86"/>
      <c r="C926" s="86"/>
      <c r="E926" s="92"/>
      <c r="F926" s="11"/>
      <c r="G926" s="11"/>
    </row>
    <row r="927">
      <c r="A927" s="86"/>
      <c r="B927" s="86"/>
      <c r="C927" s="86"/>
      <c r="E927" s="92"/>
      <c r="F927" s="11"/>
      <c r="G927" s="11"/>
    </row>
    <row r="928">
      <c r="A928" s="86"/>
      <c r="B928" s="86"/>
      <c r="C928" s="86"/>
      <c r="E928" s="92"/>
      <c r="F928" s="11"/>
      <c r="G928" s="11"/>
    </row>
    <row r="929">
      <c r="A929" s="86"/>
      <c r="B929" s="86"/>
      <c r="C929" s="86"/>
      <c r="E929" s="92"/>
      <c r="F929" s="11"/>
      <c r="G929" s="11"/>
    </row>
    <row r="930">
      <c r="A930" s="86"/>
      <c r="B930" s="86"/>
      <c r="C930" s="86"/>
      <c r="E930" s="92"/>
      <c r="F930" s="11"/>
      <c r="G930" s="11"/>
    </row>
    <row r="931">
      <c r="A931" s="86"/>
      <c r="B931" s="86"/>
      <c r="C931" s="86"/>
      <c r="E931" s="92"/>
      <c r="F931" s="11"/>
      <c r="G931" s="11"/>
    </row>
    <row r="932">
      <c r="A932" s="86"/>
      <c r="B932" s="86"/>
      <c r="C932" s="86"/>
      <c r="E932" s="92"/>
      <c r="F932" s="11"/>
      <c r="G932" s="11"/>
    </row>
    <row r="933">
      <c r="A933" s="86"/>
      <c r="B933" s="86"/>
      <c r="C933" s="86"/>
      <c r="E933" s="92"/>
      <c r="F933" s="11"/>
      <c r="G933" s="11"/>
    </row>
    <row r="934">
      <c r="A934" s="86"/>
      <c r="B934" s="86"/>
      <c r="C934" s="86"/>
      <c r="E934" s="92"/>
      <c r="F934" s="11"/>
      <c r="G934" s="11"/>
    </row>
    <row r="935">
      <c r="A935" s="86"/>
      <c r="B935" s="86"/>
      <c r="C935" s="86"/>
      <c r="E935" s="92"/>
      <c r="F935" s="11"/>
      <c r="G935" s="11"/>
    </row>
    <row r="936">
      <c r="A936" s="86"/>
      <c r="B936" s="86"/>
      <c r="C936" s="86"/>
      <c r="E936" s="92"/>
      <c r="F936" s="11"/>
      <c r="G936" s="11"/>
    </row>
    <row r="937">
      <c r="A937" s="86"/>
      <c r="B937" s="86"/>
      <c r="C937" s="86"/>
      <c r="E937" s="92"/>
      <c r="F937" s="11"/>
      <c r="G937" s="11"/>
    </row>
    <row r="938">
      <c r="A938" s="86"/>
      <c r="B938" s="86"/>
      <c r="C938" s="86"/>
      <c r="E938" s="92"/>
      <c r="F938" s="11"/>
      <c r="G938" s="11"/>
    </row>
    <row r="939">
      <c r="A939" s="86"/>
      <c r="B939" s="86"/>
      <c r="C939" s="86"/>
      <c r="E939" s="92"/>
      <c r="F939" s="11"/>
      <c r="G939" s="11"/>
    </row>
    <row r="940">
      <c r="A940" s="86"/>
      <c r="B940" s="86"/>
      <c r="C940" s="86"/>
      <c r="E940" s="92"/>
      <c r="F940" s="11"/>
      <c r="G940" s="11"/>
    </row>
    <row r="941">
      <c r="A941" s="86"/>
      <c r="B941" s="86"/>
      <c r="C941" s="86"/>
      <c r="E941" s="92"/>
      <c r="F941" s="11"/>
      <c r="G941" s="11"/>
    </row>
    <row r="942">
      <c r="A942" s="86"/>
      <c r="B942" s="86"/>
      <c r="C942" s="86"/>
      <c r="E942" s="92"/>
      <c r="F942" s="11"/>
      <c r="G942" s="11"/>
    </row>
    <row r="943">
      <c r="A943" s="86"/>
      <c r="B943" s="86"/>
      <c r="C943" s="86"/>
      <c r="E943" s="92"/>
      <c r="F943" s="11"/>
      <c r="G943" s="11"/>
    </row>
    <row r="944">
      <c r="A944" s="86"/>
      <c r="B944" s="86"/>
      <c r="C944" s="86"/>
      <c r="E944" s="92"/>
      <c r="F944" s="11"/>
      <c r="G944" s="11"/>
    </row>
    <row r="945">
      <c r="A945" s="86"/>
      <c r="B945" s="86"/>
      <c r="C945" s="86"/>
      <c r="E945" s="92"/>
      <c r="F945" s="11"/>
      <c r="G945" s="11"/>
    </row>
    <row r="946">
      <c r="A946" s="86"/>
      <c r="B946" s="86"/>
      <c r="C946" s="86"/>
      <c r="E946" s="92"/>
      <c r="F946" s="11"/>
      <c r="G946" s="11"/>
    </row>
    <row r="947">
      <c r="A947" s="86"/>
      <c r="B947" s="86"/>
      <c r="C947" s="86"/>
      <c r="E947" s="92"/>
      <c r="F947" s="11"/>
      <c r="G947" s="11"/>
    </row>
    <row r="948">
      <c r="A948" s="86"/>
      <c r="B948" s="86"/>
      <c r="C948" s="86"/>
      <c r="E948" s="92"/>
      <c r="F948" s="11"/>
      <c r="G948" s="11"/>
    </row>
    <row r="949">
      <c r="A949" s="86"/>
      <c r="B949" s="86"/>
      <c r="C949" s="86"/>
      <c r="E949" s="92"/>
      <c r="F949" s="11"/>
      <c r="G949" s="11"/>
    </row>
    <row r="950">
      <c r="A950" s="86"/>
      <c r="B950" s="86"/>
      <c r="C950" s="86"/>
      <c r="E950" s="92"/>
      <c r="F950" s="11"/>
      <c r="G950" s="11"/>
    </row>
    <row r="951">
      <c r="A951" s="86"/>
      <c r="B951" s="86"/>
      <c r="C951" s="86"/>
      <c r="E951" s="92"/>
      <c r="F951" s="11"/>
      <c r="G951" s="11"/>
    </row>
    <row r="952">
      <c r="A952" s="86"/>
      <c r="B952" s="86"/>
      <c r="C952" s="86"/>
      <c r="E952" s="92"/>
      <c r="F952" s="11"/>
      <c r="G952" s="11"/>
    </row>
    <row r="953">
      <c r="A953" s="86"/>
      <c r="B953" s="86"/>
      <c r="C953" s="86"/>
      <c r="E953" s="92"/>
      <c r="F953" s="11"/>
      <c r="G953" s="11"/>
    </row>
    <row r="954">
      <c r="A954" s="86"/>
      <c r="B954" s="86"/>
      <c r="C954" s="86"/>
      <c r="E954" s="92"/>
      <c r="F954" s="11"/>
      <c r="G954" s="11"/>
    </row>
    <row r="955">
      <c r="A955" s="86"/>
      <c r="B955" s="86"/>
      <c r="C955" s="86"/>
      <c r="E955" s="92"/>
      <c r="F955" s="11"/>
      <c r="G955" s="11"/>
    </row>
    <row r="956">
      <c r="A956" s="86"/>
      <c r="B956" s="86"/>
      <c r="C956" s="86"/>
      <c r="E956" s="92"/>
      <c r="F956" s="11"/>
      <c r="G956" s="11"/>
    </row>
    <row r="957">
      <c r="A957" s="86"/>
      <c r="B957" s="86"/>
      <c r="C957" s="86"/>
      <c r="E957" s="92"/>
      <c r="F957" s="11"/>
      <c r="G957" s="11"/>
    </row>
    <row r="958">
      <c r="A958" s="86"/>
      <c r="B958" s="86"/>
      <c r="C958" s="86"/>
      <c r="E958" s="92"/>
      <c r="F958" s="11"/>
      <c r="G958" s="11"/>
    </row>
    <row r="959">
      <c r="A959" s="86"/>
      <c r="B959" s="86"/>
      <c r="C959" s="86"/>
      <c r="E959" s="92"/>
      <c r="F959" s="11"/>
      <c r="G959" s="11"/>
    </row>
    <row r="960">
      <c r="A960" s="86"/>
      <c r="B960" s="86"/>
      <c r="C960" s="86"/>
      <c r="E960" s="92"/>
      <c r="F960" s="11"/>
      <c r="G960" s="11"/>
    </row>
    <row r="961">
      <c r="A961" s="86"/>
      <c r="B961" s="86"/>
      <c r="C961" s="86"/>
      <c r="E961" s="92"/>
      <c r="F961" s="11"/>
      <c r="G961" s="11"/>
    </row>
    <row r="962">
      <c r="A962" s="86"/>
      <c r="B962" s="86"/>
      <c r="C962" s="86"/>
      <c r="E962" s="92"/>
      <c r="F962" s="11"/>
      <c r="G962" s="11"/>
    </row>
    <row r="963">
      <c r="A963" s="86"/>
      <c r="B963" s="86"/>
      <c r="C963" s="86"/>
      <c r="E963" s="92"/>
      <c r="F963" s="11"/>
      <c r="G963" s="11"/>
    </row>
    <row r="964">
      <c r="A964" s="86"/>
      <c r="B964" s="86"/>
      <c r="C964" s="86"/>
      <c r="E964" s="92"/>
      <c r="F964" s="11"/>
      <c r="G964" s="11"/>
    </row>
    <row r="965">
      <c r="A965" s="86"/>
      <c r="B965" s="86"/>
      <c r="C965" s="86"/>
      <c r="E965" s="92"/>
      <c r="F965" s="11"/>
      <c r="G965" s="11"/>
    </row>
    <row r="966">
      <c r="A966" s="86"/>
      <c r="B966" s="86"/>
      <c r="C966" s="86"/>
      <c r="E966" s="92"/>
      <c r="F966" s="11"/>
      <c r="G966" s="11"/>
    </row>
    <row r="967">
      <c r="A967" s="86"/>
      <c r="B967" s="86"/>
      <c r="C967" s="86"/>
      <c r="E967" s="92"/>
      <c r="F967" s="11"/>
      <c r="G967" s="11"/>
    </row>
    <row r="968">
      <c r="A968" s="86"/>
      <c r="B968" s="86"/>
      <c r="C968" s="86"/>
      <c r="E968" s="92"/>
      <c r="F968" s="11"/>
      <c r="G968" s="11"/>
    </row>
    <row r="969">
      <c r="A969" s="86"/>
      <c r="B969" s="86"/>
      <c r="C969" s="86"/>
      <c r="E969" s="92"/>
      <c r="F969" s="11"/>
      <c r="G969" s="11"/>
    </row>
    <row r="970">
      <c r="A970" s="86"/>
      <c r="B970" s="86"/>
      <c r="C970" s="86"/>
      <c r="E970" s="92"/>
      <c r="F970" s="11"/>
      <c r="G970" s="11"/>
    </row>
    <row r="971">
      <c r="A971" s="86"/>
      <c r="B971" s="86"/>
      <c r="C971" s="86"/>
      <c r="E971" s="92"/>
      <c r="F971" s="11"/>
      <c r="G971" s="11"/>
    </row>
    <row r="972">
      <c r="A972" s="86"/>
      <c r="B972" s="86"/>
      <c r="C972" s="86"/>
      <c r="E972" s="92"/>
      <c r="F972" s="11"/>
      <c r="G972" s="11"/>
    </row>
    <row r="973">
      <c r="A973" s="86"/>
      <c r="B973" s="86"/>
      <c r="C973" s="86"/>
      <c r="E973" s="92"/>
      <c r="F973" s="11"/>
      <c r="G973" s="11"/>
    </row>
    <row r="974">
      <c r="A974" s="86"/>
      <c r="B974" s="86"/>
      <c r="C974" s="86"/>
      <c r="E974" s="92"/>
      <c r="F974" s="11"/>
      <c r="G974" s="11"/>
    </row>
    <row r="975">
      <c r="A975" s="86"/>
      <c r="B975" s="86"/>
      <c r="C975" s="86"/>
      <c r="E975" s="92"/>
      <c r="F975" s="11"/>
      <c r="G975" s="11"/>
    </row>
    <row r="976">
      <c r="A976" s="86"/>
      <c r="B976" s="86"/>
      <c r="C976" s="86"/>
      <c r="E976" s="92"/>
      <c r="F976" s="11"/>
      <c r="G976" s="11"/>
    </row>
    <row r="977">
      <c r="A977" s="86"/>
      <c r="B977" s="86"/>
      <c r="C977" s="86"/>
      <c r="E977" s="92"/>
      <c r="F977" s="11"/>
      <c r="G977" s="11"/>
    </row>
    <row r="978">
      <c r="A978" s="86"/>
      <c r="B978" s="86"/>
      <c r="C978" s="86"/>
      <c r="E978" s="92"/>
      <c r="F978" s="11"/>
      <c r="G978" s="11"/>
    </row>
    <row r="979">
      <c r="A979" s="86"/>
      <c r="B979" s="86"/>
      <c r="C979" s="86"/>
      <c r="E979" s="92"/>
      <c r="F979" s="11"/>
      <c r="G979" s="11"/>
    </row>
    <row r="980">
      <c r="A980" s="86"/>
      <c r="B980" s="86"/>
      <c r="C980" s="86"/>
      <c r="E980" s="92"/>
      <c r="F980" s="11"/>
      <c r="G980" s="11"/>
    </row>
    <row r="981">
      <c r="A981" s="86"/>
      <c r="B981" s="86"/>
      <c r="C981" s="86"/>
      <c r="E981" s="92"/>
      <c r="F981" s="11"/>
      <c r="G981" s="11"/>
    </row>
    <row r="982">
      <c r="A982" s="86"/>
      <c r="B982" s="86"/>
      <c r="C982" s="86"/>
      <c r="E982" s="92"/>
      <c r="F982" s="11"/>
      <c r="G982" s="11"/>
    </row>
    <row r="983">
      <c r="A983" s="86"/>
      <c r="B983" s="86"/>
      <c r="C983" s="86"/>
      <c r="E983" s="92"/>
      <c r="F983" s="11"/>
      <c r="G983" s="11"/>
    </row>
    <row r="984">
      <c r="A984" s="86"/>
      <c r="B984" s="86"/>
      <c r="C984" s="86"/>
      <c r="E984" s="92"/>
      <c r="F984" s="11"/>
      <c r="G984" s="11"/>
    </row>
    <row r="985">
      <c r="A985" s="86"/>
      <c r="B985" s="86"/>
      <c r="C985" s="86"/>
      <c r="E985" s="92"/>
      <c r="F985" s="11"/>
      <c r="G985" s="11"/>
    </row>
    <row r="986">
      <c r="A986" s="86"/>
      <c r="B986" s="86"/>
      <c r="C986" s="86"/>
      <c r="E986" s="92"/>
      <c r="F986" s="11"/>
      <c r="G986" s="11"/>
    </row>
    <row r="987">
      <c r="A987" s="86"/>
      <c r="B987" s="86"/>
      <c r="C987" s="86"/>
      <c r="E987" s="92"/>
      <c r="F987" s="11"/>
      <c r="G987" s="11"/>
    </row>
    <row r="988">
      <c r="A988" s="86"/>
      <c r="B988" s="86"/>
      <c r="C988" s="86"/>
      <c r="E988" s="92"/>
      <c r="F988" s="11"/>
      <c r="G988" s="11"/>
    </row>
    <row r="989">
      <c r="A989" s="86"/>
      <c r="B989" s="86"/>
      <c r="C989" s="86"/>
      <c r="E989" s="92"/>
      <c r="F989" s="11"/>
      <c r="G989" s="11"/>
    </row>
    <row r="990">
      <c r="A990" s="86"/>
      <c r="B990" s="86"/>
      <c r="C990" s="86"/>
      <c r="E990" s="92"/>
      <c r="F990" s="11"/>
      <c r="G990" s="11"/>
    </row>
    <row r="991">
      <c r="A991" s="86"/>
      <c r="B991" s="86"/>
      <c r="C991" s="86"/>
      <c r="E991" s="92"/>
      <c r="F991" s="11"/>
      <c r="G991" s="11"/>
    </row>
    <row r="992">
      <c r="A992" s="86"/>
      <c r="B992" s="86"/>
      <c r="C992" s="86"/>
      <c r="E992" s="92"/>
      <c r="F992" s="11"/>
      <c r="G992" s="11"/>
    </row>
    <row r="993">
      <c r="A993" s="86"/>
      <c r="B993" s="86"/>
      <c r="C993" s="86"/>
      <c r="E993" s="92"/>
      <c r="F993" s="11"/>
      <c r="G993" s="11"/>
    </row>
    <row r="994">
      <c r="A994" s="86"/>
      <c r="B994" s="86"/>
      <c r="C994" s="86"/>
      <c r="E994" s="92"/>
      <c r="F994" s="11"/>
      <c r="G994" s="11"/>
    </row>
    <row r="995">
      <c r="A995" s="86"/>
      <c r="B995" s="86"/>
      <c r="C995" s="86"/>
      <c r="E995" s="92"/>
      <c r="F995" s="11"/>
      <c r="G995" s="11"/>
    </row>
    <row r="996">
      <c r="A996" s="86"/>
      <c r="B996" s="86"/>
      <c r="C996" s="86"/>
      <c r="E996" s="92"/>
      <c r="F996" s="11"/>
      <c r="G996" s="11"/>
    </row>
    <row r="997">
      <c r="A997" s="86"/>
      <c r="B997" s="86"/>
      <c r="C997" s="86"/>
      <c r="E997" s="92"/>
      <c r="F997" s="11"/>
      <c r="G997" s="11"/>
    </row>
    <row r="998">
      <c r="A998" s="86"/>
      <c r="B998" s="86"/>
      <c r="C998" s="86"/>
      <c r="E998" s="92"/>
      <c r="F998" s="11"/>
      <c r="G998" s="11"/>
    </row>
    <row r="999">
      <c r="A999" s="86"/>
      <c r="B999" s="86"/>
      <c r="C999" s="86"/>
      <c r="E999" s="92"/>
      <c r="F999" s="11"/>
      <c r="G999" s="11"/>
    </row>
    <row r="1000">
      <c r="A1000" s="86"/>
      <c r="B1000" s="86"/>
      <c r="C1000" s="86"/>
      <c r="E1000" s="92"/>
      <c r="F1000" s="11"/>
      <c r="G1000" s="11"/>
    </row>
    <row r="1001">
      <c r="A1001" s="86"/>
      <c r="B1001" s="86"/>
      <c r="C1001" s="86"/>
      <c r="E1001" s="92"/>
      <c r="F1001" s="11"/>
      <c r="G1001" s="11"/>
    </row>
    <row r="1002">
      <c r="A1002" s="86"/>
      <c r="B1002" s="86"/>
      <c r="C1002" s="86"/>
      <c r="E1002" s="92"/>
      <c r="F1002" s="11"/>
      <c r="G1002" s="11"/>
    </row>
    <row r="1003">
      <c r="A1003" s="86"/>
      <c r="B1003" s="86"/>
      <c r="C1003" s="86"/>
      <c r="E1003" s="92"/>
      <c r="F1003" s="11"/>
      <c r="G1003" s="11"/>
    </row>
    <row r="1004">
      <c r="A1004" s="86"/>
      <c r="B1004" s="86"/>
      <c r="C1004" s="86"/>
      <c r="E1004" s="92"/>
      <c r="F1004" s="11"/>
      <c r="G1004" s="11"/>
    </row>
    <row r="1005">
      <c r="A1005" s="86"/>
      <c r="B1005" s="86"/>
      <c r="C1005" s="86"/>
      <c r="E1005" s="92"/>
      <c r="F1005" s="11"/>
      <c r="G1005" s="11"/>
    </row>
    <row r="1006">
      <c r="A1006" s="86"/>
      <c r="B1006" s="86"/>
      <c r="C1006" s="86"/>
      <c r="E1006" s="92"/>
      <c r="F1006" s="11"/>
      <c r="G1006" s="11"/>
    </row>
    <row r="1007">
      <c r="A1007" s="86"/>
      <c r="B1007" s="86"/>
      <c r="C1007" s="86"/>
      <c r="E1007" s="92"/>
      <c r="F1007" s="11"/>
      <c r="G1007" s="11"/>
    </row>
    <row r="1008">
      <c r="A1008" s="86"/>
      <c r="B1008" s="86"/>
      <c r="C1008" s="86"/>
      <c r="E1008" s="92"/>
      <c r="F1008" s="11"/>
      <c r="G1008" s="11"/>
    </row>
    <row r="1009">
      <c r="A1009" s="86"/>
      <c r="B1009" s="86"/>
      <c r="C1009" s="86"/>
      <c r="E1009" s="92"/>
      <c r="F1009" s="11"/>
      <c r="G1009" s="11"/>
    </row>
    <row r="1010">
      <c r="A1010" s="86"/>
      <c r="B1010" s="86"/>
      <c r="C1010" s="86"/>
      <c r="E1010" s="92"/>
      <c r="F1010" s="11"/>
      <c r="G1010" s="11"/>
    </row>
    <row r="1011">
      <c r="A1011" s="86"/>
      <c r="B1011" s="86"/>
      <c r="C1011" s="86"/>
      <c r="E1011" s="92"/>
      <c r="F1011" s="11"/>
      <c r="G1011" s="11"/>
    </row>
  </sheetData>
  <mergeCells count="1">
    <mergeCell ref="D5:D1011"/>
  </mergeCells>
  <dataValidations>
    <dataValidation type="list" allowBlank="1" showErrorMessage="1" sqref="D4">
      <formula1>"Bug,Dark,Dragon,Electric,Fairy,Fighting,Fire,Flying,Ghost,Grass,Ground,Ice,Normal,Poison,Psychic,Rock,Steel,Water"</formula1>
    </dataValidation>
    <dataValidation type="list" allowBlank="1" showErrorMessage="1" sqref="H1 K1 N1 Q1 D2">
      <formula1>'Tier List'!$F$1:$F$13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3" max="3" width="16.0"/>
    <col customWidth="1" min="5" max="5" width="16.0"/>
    <col customWidth="1" min="7" max="7" width="16.0"/>
    <col customWidth="1" min="9" max="9" width="16.0"/>
    <col customWidth="1" min="11" max="11" width="16.0"/>
    <col customWidth="1" min="13" max="13" width="16.0"/>
  </cols>
  <sheetData>
    <row r="1">
      <c r="A1" s="79">
        <f>IFERROR(__xludf.DUMMYFUNCTION("IMPORTRANGE(""https://docs.google.com/spreadsheets/d/1ID3qu1P4Zey82OSLntg4O0xoZlY1hGK58tte0D_Cv_s/edit?pli=1&amp;gid=1677455532#gid=1677455532"",""Shiny Rate!X4:AK10"")"),2.55)</f>
        <v>2.55</v>
      </c>
      <c r="B1" s="9"/>
      <c r="C1" s="79">
        <f>IFERROR(__xludf.DUMMYFUNCTION("""COMPUTED_VALUE"""),2.45)</f>
        <v>2.45</v>
      </c>
      <c r="D1" s="9"/>
      <c r="E1" s="79">
        <f>IFERROR(__xludf.DUMMYFUNCTION("""COMPUTED_VALUE"""),2.35)</f>
        <v>2.35</v>
      </c>
      <c r="F1" s="9"/>
      <c r="G1" s="79">
        <f>IFERROR(__xludf.DUMMYFUNCTION("""COMPUTED_VALUE"""),2.05)</f>
        <v>2.05</v>
      </c>
      <c r="H1" s="9"/>
      <c r="I1" s="79">
        <f>IFERROR(__xludf.DUMMYFUNCTION("""COMPUTED_VALUE"""),1.55)</f>
        <v>1.55</v>
      </c>
      <c r="J1" s="9"/>
      <c r="K1" s="79">
        <f>IFERROR(__xludf.DUMMYFUNCTION("""COMPUTED_VALUE"""),0.55)</f>
        <v>0.55</v>
      </c>
      <c r="L1" s="9"/>
      <c r="M1" s="79">
        <f>IFERROR(__xludf.DUMMYFUNCTION("""COMPUTED_VALUE"""),0.25)</f>
        <v>0.25</v>
      </c>
      <c r="N1" s="9"/>
    </row>
    <row r="2">
      <c r="A2" s="83" t="str">
        <f>IFERROR(__xludf.DUMMYFUNCTION("""COMPUTED_VALUE"""),"Tier")</f>
        <v>Tier</v>
      </c>
      <c r="B2" s="83" t="str">
        <f>IFERROR(__xludf.DUMMYFUNCTION("""COMPUTED_VALUE"""),"Normal/Shiny")</f>
        <v>Normal/Shiny</v>
      </c>
      <c r="C2" s="83" t="str">
        <f>IFERROR(__xludf.DUMMYFUNCTION("""COMPUTED_VALUE"""),"Tier")</f>
        <v>Tier</v>
      </c>
      <c r="D2" s="83" t="str">
        <f>IFERROR(__xludf.DUMMYFUNCTION("""COMPUTED_VALUE"""),"Normal/Shiny")</f>
        <v>Normal/Shiny</v>
      </c>
      <c r="E2" s="83" t="str">
        <f>IFERROR(__xludf.DUMMYFUNCTION("""COMPUTED_VALUE"""),"Tier")</f>
        <v>Tier</v>
      </c>
      <c r="F2" s="83" t="str">
        <f>IFERROR(__xludf.DUMMYFUNCTION("""COMPUTED_VALUE"""),"Normal/Shiny")</f>
        <v>Normal/Shiny</v>
      </c>
      <c r="G2" s="83" t="str">
        <f>IFERROR(__xludf.DUMMYFUNCTION("""COMPUTED_VALUE"""),"Tier")</f>
        <v>Tier</v>
      </c>
      <c r="H2" s="83" t="str">
        <f>IFERROR(__xludf.DUMMYFUNCTION("""COMPUTED_VALUE"""),"Normal/Shiny")</f>
        <v>Normal/Shiny</v>
      </c>
      <c r="I2" s="83" t="str">
        <f>IFERROR(__xludf.DUMMYFUNCTION("""COMPUTED_VALUE"""),"Tier")</f>
        <v>Tier</v>
      </c>
      <c r="J2" s="83" t="str">
        <f>IFERROR(__xludf.DUMMYFUNCTION("""COMPUTED_VALUE"""),"Normal/Shiny")</f>
        <v>Normal/Shiny</v>
      </c>
      <c r="K2" s="83" t="str">
        <f>IFERROR(__xludf.DUMMYFUNCTION("""COMPUTED_VALUE"""),"Tier")</f>
        <v>Tier</v>
      </c>
      <c r="L2" s="83" t="str">
        <f>IFERROR(__xludf.DUMMYFUNCTION("""COMPUTED_VALUE"""),"Normal/Shiny")</f>
        <v>Normal/Shiny</v>
      </c>
      <c r="M2" s="83" t="str">
        <f>IFERROR(__xludf.DUMMYFUNCTION("""COMPUTED_VALUE"""),"Tier")</f>
        <v>Tier</v>
      </c>
      <c r="N2" s="83" t="str">
        <f>IFERROR(__xludf.DUMMYFUNCTION("""COMPUTED_VALUE"""),"Normal/Shiny")</f>
        <v>Normal/Shiny</v>
      </c>
    </row>
    <row r="3">
      <c r="A3" s="84" t="str">
        <f>IFERROR(__xludf.DUMMYFUNCTION("""COMPUTED_VALUE"""),"T1")</f>
        <v>T1</v>
      </c>
      <c r="B3" s="85">
        <f>IFERROR(__xludf.DUMMYFUNCTION("""COMPUTED_VALUE"""),33.433870492846964)</f>
        <v>33.43387049</v>
      </c>
      <c r="C3" s="84" t="str">
        <f>IFERROR(__xludf.DUMMYFUNCTION("""COMPUTED_VALUE"""),"T1")</f>
        <v>T1</v>
      </c>
      <c r="D3" s="85">
        <f>IFERROR(__xludf.DUMMYFUNCTION("""COMPUTED_VALUE"""),34.580728366284774)</f>
        <v>34.58072837</v>
      </c>
      <c r="E3" s="84" t="str">
        <f>IFERROR(__xludf.DUMMYFUNCTION("""COMPUTED_VALUE"""),"T1")</f>
        <v>T1</v>
      </c>
      <c r="F3" s="85">
        <f>IFERROR(__xludf.DUMMYFUNCTION("""COMPUTED_VALUE"""),31.819907090398896)</f>
        <v>31.81990709</v>
      </c>
      <c r="G3" s="84" t="str">
        <f>IFERROR(__xludf.DUMMYFUNCTION("""COMPUTED_VALUE"""),"T1")</f>
        <v>T1</v>
      </c>
      <c r="H3" s="85">
        <f>IFERROR(__xludf.DUMMYFUNCTION("""COMPUTED_VALUE"""),39.17275042444822)</f>
        <v>39.17275042</v>
      </c>
      <c r="I3" s="84" t="str">
        <f>IFERROR(__xludf.DUMMYFUNCTION("""COMPUTED_VALUE"""),"T1")</f>
        <v>T1</v>
      </c>
      <c r="J3" s="85">
        <f>IFERROR(__xludf.DUMMYFUNCTION("""COMPUTED_VALUE"""),31.384615384615383)</f>
        <v>31.38461538</v>
      </c>
      <c r="K3" s="84" t="str">
        <f>IFERROR(__xludf.DUMMYFUNCTION("""COMPUTED_VALUE"""),"T1")</f>
        <v>T1</v>
      </c>
      <c r="L3" s="85">
        <f>IFERROR(__xludf.DUMMYFUNCTION("""COMPUTED_VALUE"""),65.23809523809524)</f>
        <v>65.23809524</v>
      </c>
      <c r="M3" s="84" t="str">
        <f>IFERROR(__xludf.DUMMYFUNCTION("""COMPUTED_VALUE"""),"T1")</f>
        <v>T1</v>
      </c>
      <c r="N3" s="85">
        <f>IFERROR(__xludf.DUMMYFUNCTION("""COMPUTED_VALUE"""),50.48148148148148)</f>
        <v>50.48148148</v>
      </c>
    </row>
    <row r="4">
      <c r="A4" s="84" t="str">
        <f>IFERROR(__xludf.DUMMYFUNCTION("""COMPUTED_VALUE"""),"Super Rare")</f>
        <v>Super Rare</v>
      </c>
      <c r="B4" s="85">
        <f>IFERROR(__xludf.DUMMYFUNCTION("""COMPUTED_VALUE"""),37.555658977327816)</f>
        <v>37.55565898</v>
      </c>
      <c r="C4" s="84" t="str">
        <f>IFERROR(__xludf.DUMMYFUNCTION("""COMPUTED_VALUE"""),"Super Rare")</f>
        <v>Super Rare</v>
      </c>
      <c r="D4" s="85">
        <f>IFERROR(__xludf.DUMMYFUNCTION("""COMPUTED_VALUE"""),41.136154665118084)</f>
        <v>41.13615467</v>
      </c>
      <c r="E4" s="84" t="str">
        <f>IFERROR(__xludf.DUMMYFUNCTION("""COMPUTED_VALUE"""),"Super Rare")</f>
        <v>Super Rare</v>
      </c>
      <c r="F4" s="85">
        <f>IFERROR(__xludf.DUMMYFUNCTION("""COMPUTED_VALUE"""),49.55348181012482)</f>
        <v>49.55348181</v>
      </c>
      <c r="G4" s="84" t="str">
        <f>IFERROR(__xludf.DUMMYFUNCTION("""COMPUTED_VALUE"""),"Super Rare")</f>
        <v>Super Rare</v>
      </c>
      <c r="H4" s="85">
        <f>IFERROR(__xludf.DUMMYFUNCTION("""COMPUTED_VALUE"""),52.890894515572846)</f>
        <v>52.89089452</v>
      </c>
      <c r="I4" s="84" t="str">
        <f>IFERROR(__xludf.DUMMYFUNCTION("""COMPUTED_VALUE"""),"Super Rare")</f>
        <v>Super Rare</v>
      </c>
      <c r="J4" s="85" t="str">
        <f>IFERROR(__xludf.DUMMYFUNCTION("""COMPUTED_VALUE"""),"-")</f>
        <v>-</v>
      </c>
      <c r="K4" s="84" t="str">
        <f>IFERROR(__xludf.DUMMYFUNCTION("""COMPUTED_VALUE"""),"Super Rare")</f>
        <v>Super Rare</v>
      </c>
      <c r="L4" s="85" t="str">
        <f>IFERROR(__xludf.DUMMYFUNCTION("""COMPUTED_VALUE"""),"-")</f>
        <v>-</v>
      </c>
      <c r="M4" s="84" t="str">
        <f>IFERROR(__xludf.DUMMYFUNCTION("""COMPUTED_VALUE"""),"Super Rare")</f>
        <v>Super Rare</v>
      </c>
      <c r="N4" s="85" t="str">
        <f>IFERROR(__xludf.DUMMYFUNCTION("""COMPUTED_VALUE"""),"-")</f>
        <v>-</v>
      </c>
    </row>
    <row r="5">
      <c r="A5" s="84" t="str">
        <f>IFERROR(__xludf.DUMMYFUNCTION("""COMPUTED_VALUE"""),"Ultra Rare")</f>
        <v>Ultra Rare</v>
      </c>
      <c r="B5" s="85">
        <f>IFERROR(__xludf.DUMMYFUNCTION("""COMPUTED_VALUE"""),28.075554702237678)</f>
        <v>28.0755547</v>
      </c>
      <c r="C5" s="84" t="str">
        <f>IFERROR(__xludf.DUMMYFUNCTION("""COMPUTED_VALUE"""),"Ultra Rare")</f>
        <v>Ultra Rare</v>
      </c>
      <c r="D5" s="85">
        <f>IFERROR(__xludf.DUMMYFUNCTION("""COMPUTED_VALUE"""),31.62962379150904)</f>
        <v>31.62962379</v>
      </c>
      <c r="E5" s="84" t="str">
        <f>IFERROR(__xludf.DUMMYFUNCTION("""COMPUTED_VALUE"""),"Ultra Rare")</f>
        <v>Ultra Rare</v>
      </c>
      <c r="F5" s="85">
        <f>IFERROR(__xludf.DUMMYFUNCTION("""COMPUTED_VALUE"""),30.844220971712275)</f>
        <v>30.84422097</v>
      </c>
      <c r="G5" s="84" t="str">
        <f>IFERROR(__xludf.DUMMYFUNCTION("""COMPUTED_VALUE"""),"Ultra Rare")</f>
        <v>Ultra Rare</v>
      </c>
      <c r="H5" s="85">
        <f>IFERROR(__xludf.DUMMYFUNCTION("""COMPUTED_VALUE"""),42.26229508196721)</f>
        <v>42.26229508</v>
      </c>
      <c r="I5" s="84" t="str">
        <f>IFERROR(__xludf.DUMMYFUNCTION("""COMPUTED_VALUE"""),"Ultra Rare")</f>
        <v>Ultra Rare</v>
      </c>
      <c r="J5" s="85" t="str">
        <f>IFERROR(__xludf.DUMMYFUNCTION("""COMPUTED_VALUE"""),"-")</f>
        <v>-</v>
      </c>
      <c r="K5" s="84" t="str">
        <f>IFERROR(__xludf.DUMMYFUNCTION("""COMPUTED_VALUE"""),"Ultra Rare")</f>
        <v>Ultra Rare</v>
      </c>
      <c r="L5" s="85" t="str">
        <f>IFERROR(__xludf.DUMMYFUNCTION("""COMPUTED_VALUE"""),"-")</f>
        <v>-</v>
      </c>
      <c r="M5" s="84" t="str">
        <f>IFERROR(__xludf.DUMMYFUNCTION("""COMPUTED_VALUE"""),"Ultra Rare")</f>
        <v>Ultra Rare</v>
      </c>
      <c r="N5" s="85" t="str">
        <f>IFERROR(__xludf.DUMMYFUNCTION("""COMPUTED_VALUE"""),"-")</f>
        <v>-</v>
      </c>
    </row>
    <row r="6">
      <c r="A6" s="84" t="str">
        <f>IFERROR(__xludf.DUMMYFUNCTION("""COMPUTED_VALUE"""),"Legendary")</f>
        <v>Legendary</v>
      </c>
      <c r="B6" s="85">
        <f>IFERROR(__xludf.DUMMYFUNCTION("""COMPUTED_VALUE"""),29.99126153918417)</f>
        <v>29.99126154</v>
      </c>
      <c r="C6" s="84" t="str">
        <f>IFERROR(__xludf.DUMMYFUNCTION("""COMPUTED_VALUE"""),"Legendary")</f>
        <v>Legendary</v>
      </c>
      <c r="D6" s="85">
        <f>IFERROR(__xludf.DUMMYFUNCTION("""COMPUTED_VALUE"""),31.82819890842935)</f>
        <v>31.82819891</v>
      </c>
      <c r="E6" s="84" t="str">
        <f>IFERROR(__xludf.DUMMYFUNCTION("""COMPUTED_VALUE"""),"Legendary")</f>
        <v>Legendary</v>
      </c>
      <c r="F6" s="85">
        <f>IFERROR(__xludf.DUMMYFUNCTION("""COMPUTED_VALUE"""),29.950660195580504)</f>
        <v>29.9506602</v>
      </c>
      <c r="G6" s="84" t="str">
        <f>IFERROR(__xludf.DUMMYFUNCTION("""COMPUTED_VALUE"""),"Legendary")</f>
        <v>Legendary</v>
      </c>
      <c r="H6" s="85" t="str">
        <f>IFERROR(__xludf.DUMMYFUNCTION("""COMPUTED_VALUE"""),"-")</f>
        <v>-</v>
      </c>
      <c r="I6" s="84" t="str">
        <f>IFERROR(__xludf.DUMMYFUNCTION("""COMPUTED_VALUE"""),"Legendary")</f>
        <v>Legendary</v>
      </c>
      <c r="J6" s="85" t="str">
        <f>IFERROR(__xludf.DUMMYFUNCTION("""COMPUTED_VALUE"""),"-")</f>
        <v>-</v>
      </c>
      <c r="K6" s="84" t="str">
        <f>IFERROR(__xludf.DUMMYFUNCTION("""COMPUTED_VALUE"""),"Legendary")</f>
        <v>Legendary</v>
      </c>
      <c r="L6" s="85" t="str">
        <f>IFERROR(__xludf.DUMMYFUNCTION("""COMPUTED_VALUE"""),"-")</f>
        <v>-</v>
      </c>
      <c r="M6" s="84" t="str">
        <f>IFERROR(__xludf.DUMMYFUNCTION("""COMPUTED_VALUE"""),"Legendary")</f>
        <v>Legendary</v>
      </c>
      <c r="N6" s="85" t="str">
        <f>IFERROR(__xludf.DUMMYFUNCTION("""COMPUTED_VALUE"""),"-")</f>
        <v>-</v>
      </c>
    </row>
    <row r="7">
      <c r="A7" s="93" t="str">
        <f>IFERROR(__xludf.DUMMYFUNCTION("""COMPUTED_VALUE"""),"Mythic")</f>
        <v>Mythic</v>
      </c>
      <c r="B7" s="95" t="str">
        <f>IFERROR(__xludf.DUMMYFUNCTION("""COMPUTED_VALUE"""),"-")</f>
        <v>-</v>
      </c>
      <c r="C7" s="93" t="str">
        <f>IFERROR(__xludf.DUMMYFUNCTION("""COMPUTED_VALUE"""),"Mythic")</f>
        <v>Mythic</v>
      </c>
      <c r="D7" s="95">
        <f>IFERROR(__xludf.DUMMYFUNCTION("""COMPUTED_VALUE"""),49.90662410215483)</f>
        <v>49.9066241</v>
      </c>
      <c r="E7" s="93" t="str">
        <f>IFERROR(__xludf.DUMMYFUNCTION("""COMPUTED_VALUE"""),"Mythic")</f>
        <v>Mythic</v>
      </c>
      <c r="F7" s="95" t="str">
        <f>IFERROR(__xludf.DUMMYFUNCTION("""COMPUTED_VALUE"""),"-")</f>
        <v>-</v>
      </c>
      <c r="G7" s="93" t="str">
        <f>IFERROR(__xludf.DUMMYFUNCTION("""COMPUTED_VALUE"""),"Mythic")</f>
        <v>Mythic</v>
      </c>
      <c r="H7" s="95" t="str">
        <f>IFERROR(__xludf.DUMMYFUNCTION("""COMPUTED_VALUE"""),"-")</f>
        <v>-</v>
      </c>
      <c r="I7" s="93" t="str">
        <f>IFERROR(__xludf.DUMMYFUNCTION("""COMPUTED_VALUE"""),"Mythic")</f>
        <v>Mythic</v>
      </c>
      <c r="J7" s="95" t="str">
        <f>IFERROR(__xludf.DUMMYFUNCTION("""COMPUTED_VALUE"""),"-")</f>
        <v>-</v>
      </c>
      <c r="K7" s="93" t="str">
        <f>IFERROR(__xludf.DUMMYFUNCTION("""COMPUTED_VALUE"""),"Mythic")</f>
        <v>Mythic</v>
      </c>
      <c r="L7" s="95" t="str">
        <f>IFERROR(__xludf.DUMMYFUNCTION("""COMPUTED_VALUE"""),"-")</f>
        <v>-</v>
      </c>
      <c r="M7" s="93" t="str">
        <f>IFERROR(__xludf.DUMMYFUNCTION("""COMPUTED_VALUE"""),"Mythic")</f>
        <v>Mythic</v>
      </c>
      <c r="N7" s="95" t="str">
        <f>IFERROR(__xludf.DUMMYFUNCTION("""COMPUTED_VALUE"""),"-")</f>
        <v>-</v>
      </c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>
      <c r="A9" s="96" t="s">
        <v>726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>
      <c r="A10" s="97" t="s">
        <v>729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>
      <c r="A11" s="5" t="s">
        <v>741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</sheetData>
  <mergeCells count="7">
    <mergeCell ref="A1:B1"/>
    <mergeCell ref="C1:D1"/>
    <mergeCell ref="E1:F1"/>
    <mergeCell ref="G1:H1"/>
    <mergeCell ref="I1:J1"/>
    <mergeCell ref="K1:L1"/>
    <mergeCell ref="M1:N1"/>
  </mergeCells>
  <hyperlinks>
    <hyperlink r:id="rId1" ref="A10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2" t="s">
        <v>762</v>
      </c>
      <c r="B1" s="2" t="s">
        <v>763</v>
      </c>
      <c r="C1" s="2" t="s">
        <v>765</v>
      </c>
      <c r="D1" s="2" t="s">
        <v>766</v>
      </c>
      <c r="E1" s="2" t="s">
        <v>767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5" t="s">
        <v>769</v>
      </c>
      <c r="B2" s="5" t="s">
        <v>770</v>
      </c>
      <c r="C2" s="5" t="s">
        <v>771</v>
      </c>
      <c r="D2" s="5" t="s">
        <v>399</v>
      </c>
      <c r="E2" s="5" t="s">
        <v>665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5" t="s">
        <v>776</v>
      </c>
      <c r="B3" s="5" t="s">
        <v>770</v>
      </c>
      <c r="C3" s="5" t="s">
        <v>777</v>
      </c>
      <c r="D3" s="5" t="s">
        <v>778</v>
      </c>
      <c r="E3" s="5" t="s">
        <v>415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5" t="s">
        <v>781</v>
      </c>
      <c r="B4" s="5" t="s">
        <v>770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9.0"/>
    <col customWidth="1" min="3" max="3" width="18.88"/>
    <col customWidth="1" min="4" max="4" width="28.25"/>
    <col customWidth="1" min="5" max="5" width="13.0"/>
    <col customWidth="1" min="6" max="6" width="13.38"/>
    <col customWidth="1" min="7" max="7" width="12.75"/>
    <col customWidth="1" min="8" max="8" width="13.25"/>
    <col customWidth="1" min="9" max="9" width="25.0"/>
  </cols>
  <sheetData>
    <row r="1">
      <c r="A1" s="98" t="str">
        <f>IFERROR(__xludf.DUMMYFUNCTION("IMPORTRANGE(""Https://docs.google.com/spreadsheets/d/1ID3qu1P4Zey82OSLntg4O0xoZlY1hGK58tte0D_Cv_s/edit?pli=1&amp;gid=1217370921#gid=1217370921"", ""GYM!A1:D9"")"),"Cidade")</f>
        <v>Cidade</v>
      </c>
      <c r="B1" s="99" t="str">
        <f>IFERROR(__xludf.DUMMYFUNCTION("""COMPUTED_VALUE"""),"Task 1")</f>
        <v>Task 1</v>
      </c>
      <c r="C1" s="99" t="str">
        <f>IFERROR(__xludf.DUMMYFUNCTION("""COMPUTED_VALUE"""),"Task 2")</f>
        <v>Task 2</v>
      </c>
      <c r="D1" s="100" t="str">
        <f>IFERROR(__xludf.DUMMYFUNCTION("""COMPUTED_VALUE"""),"Dungeon")</f>
        <v>Dungeon</v>
      </c>
      <c r="E1" s="101" t="s">
        <v>837</v>
      </c>
    </row>
    <row r="2">
      <c r="A2" s="102" t="str">
        <f>IFERROR(__xludf.DUMMYFUNCTION("""COMPUTED_VALUE"""),"Viridian")</f>
        <v>Viridian</v>
      </c>
      <c r="B2" s="103" t="str">
        <f>IFERROR(__xludf.DUMMYFUNCTION("""COMPUTED_VALUE"""),"10 Shiny Nidoqueen")</f>
        <v>10 Shiny Nidoqueen</v>
      </c>
      <c r="C2" s="103" t="str">
        <f>IFERROR(__xludf.DUMMYFUNCTION("""COMPUTED_VALUE"""),"10 Shiny Nidoking")</f>
        <v>10 Shiny Nidoking</v>
      </c>
      <c r="D2" s="104" t="str">
        <f>IFERROR(__xludf.DUMMYFUNCTION("""COMPUTED_VALUE"""),"https://imgur.com/a/CNjdEEP")</f>
        <v>https://imgur.com/a/CNjdEEP</v>
      </c>
    </row>
    <row r="3">
      <c r="A3" s="102" t="str">
        <f>IFERROR(__xludf.DUMMYFUNCTION("""COMPUTED_VALUE"""),"Pewter")</f>
        <v>Pewter</v>
      </c>
      <c r="B3" s="103" t="str">
        <f>IFERROR(__xludf.DUMMYFUNCTION("""COMPUTED_VALUE"""),"10 Shiny Marowak")</f>
        <v>10 Shiny Marowak</v>
      </c>
      <c r="C3" s="103" t="str">
        <f>IFERROR(__xludf.DUMMYFUNCTION("""COMPUTED_VALUE"""),"10 Shiny Steelix")</f>
        <v>10 Shiny Steelix</v>
      </c>
      <c r="D3" s="104" t="str">
        <f>IFERROR(__xludf.DUMMYFUNCTION("""COMPUTED_VALUE"""),"https://imgur.com/a/TdDDQvL")</f>
        <v>https://imgur.com/a/TdDDQvL</v>
      </c>
    </row>
    <row r="4">
      <c r="A4" s="102" t="str">
        <f>IFERROR(__xludf.DUMMYFUNCTION("""COMPUTED_VALUE"""),"Cerulean")</f>
        <v>Cerulean</v>
      </c>
      <c r="B4" s="103" t="str">
        <f>IFERROR(__xludf.DUMMYFUNCTION("""COMPUTED_VALUE"""),"10 Shiny Blastoise")</f>
        <v>10 Shiny Blastoise</v>
      </c>
      <c r="C4" s="103" t="str">
        <f>IFERROR(__xludf.DUMMYFUNCTION("""COMPUTED_VALUE"""),"10 Shiny Feraligatr")</f>
        <v>10 Shiny Feraligatr</v>
      </c>
      <c r="D4" s="104" t="str">
        <f>IFERROR(__xludf.DUMMYFUNCTION("""COMPUTED_VALUE"""),"https://imgur.com/a/9zLq4Sq")</f>
        <v>https://imgur.com/a/9zLq4Sq</v>
      </c>
    </row>
    <row r="5">
      <c r="A5" s="102" t="str">
        <f>IFERROR(__xludf.DUMMYFUNCTION("""COMPUTED_VALUE"""),"Vermilion")</f>
        <v>Vermilion</v>
      </c>
      <c r="B5" s="103" t="str">
        <f>IFERROR(__xludf.DUMMYFUNCTION("""COMPUTED_VALUE"""),"10 Shiny Raichu")</f>
        <v>10 Shiny Raichu</v>
      </c>
      <c r="C5" s="103" t="str">
        <f>IFERROR(__xludf.DUMMYFUNCTION("""COMPUTED_VALUE"""),"10 Shiny Lanturn")</f>
        <v>10 Shiny Lanturn</v>
      </c>
      <c r="D5" s="104" t="str">
        <f>IFERROR(__xludf.DUMMYFUNCTION("""COMPUTED_VALUE"""),"https://imgur.com/a/X1JlKl5")</f>
        <v>https://imgur.com/a/X1JlKl5</v>
      </c>
    </row>
    <row r="6">
      <c r="A6" s="102" t="str">
        <f>IFERROR(__xludf.DUMMYFUNCTION("""COMPUTED_VALUE"""),"Celadon")</f>
        <v>Celadon</v>
      </c>
      <c r="B6" s="103" t="str">
        <f>IFERROR(__xludf.DUMMYFUNCTION("""COMPUTED_VALUE"""),"10 Shiny Venusaur")</f>
        <v>10 Shiny Venusaur</v>
      </c>
      <c r="C6" s="103" t="str">
        <f>IFERROR(__xludf.DUMMYFUNCTION("""COMPUTED_VALUE"""),"10 Shiny Meganium")</f>
        <v>10 Shiny Meganium</v>
      </c>
      <c r="D6" s="104" t="str">
        <f>IFERROR(__xludf.DUMMYFUNCTION("""COMPUTED_VALUE"""),"https://imgur.com/a/M7Jk4Ip")</f>
        <v>https://imgur.com/a/M7Jk4Ip</v>
      </c>
    </row>
    <row r="7">
      <c r="A7" s="102" t="str">
        <f>IFERROR(__xludf.DUMMYFUNCTION("""COMPUTED_VALUE"""),"Fuchsia")</f>
        <v>Fuchsia</v>
      </c>
      <c r="B7" s="103" t="str">
        <f>IFERROR(__xludf.DUMMYFUNCTION("""COMPUTED_VALUE"""),"10 Shiny Tentacruel")</f>
        <v>10 Shiny Tentacruel</v>
      </c>
      <c r="C7" s="103" t="str">
        <f>IFERROR(__xludf.DUMMYFUNCTION("""COMPUTED_VALUE"""),"10 Shiny Muk")</f>
        <v>10 Shiny Muk</v>
      </c>
      <c r="D7" s="104" t="str">
        <f>IFERROR(__xludf.DUMMYFUNCTION("""COMPUTED_VALUE"""),"https://imgur.com/a/has6KOr")</f>
        <v>https://imgur.com/a/has6KOr</v>
      </c>
    </row>
    <row r="8">
      <c r="A8" s="102" t="str">
        <f>IFERROR(__xludf.DUMMYFUNCTION("""COMPUTED_VALUE"""),"Saffron")</f>
        <v>Saffron</v>
      </c>
      <c r="B8" s="103" t="str">
        <f>IFERROR(__xludf.DUMMYFUNCTION("""COMPUTED_VALUE"""),"10 Shiny Espeon")</f>
        <v>10 Shiny Espeon</v>
      </c>
      <c r="C8" s="103" t="str">
        <f>IFERROR(__xludf.DUMMYFUNCTION("""COMPUTED_VALUE"""),"10 Shiny Xatu")</f>
        <v>10 Shiny Xatu</v>
      </c>
      <c r="D8" s="104" t="str">
        <f>IFERROR(__xludf.DUMMYFUNCTION("""COMPUTED_VALUE"""),"https://imgur.com/a/ZJrqy4w")</f>
        <v>https://imgur.com/a/ZJrqy4w</v>
      </c>
    </row>
    <row r="9">
      <c r="A9" s="105" t="str">
        <f>IFERROR(__xludf.DUMMYFUNCTION("""COMPUTED_VALUE"""),"Cinnabar")</f>
        <v>Cinnabar</v>
      </c>
      <c r="B9" s="106" t="str">
        <f>IFERROR(__xludf.DUMMYFUNCTION("""COMPUTED_VALUE"""),"10 Shiny Charizard")</f>
        <v>10 Shiny Charizard</v>
      </c>
      <c r="C9" s="106" t="str">
        <f>IFERROR(__xludf.DUMMYFUNCTION("""COMPUTED_VALUE"""),"10 Shiny Typhlosion")</f>
        <v>10 Shiny Typhlosion</v>
      </c>
      <c r="D9" s="107" t="str">
        <f>IFERROR(__xludf.DUMMYFUNCTION("""COMPUTED_VALUE"""),"https://imgur.com/a/hLzaofv")</f>
        <v>https://imgur.com/a/hLzaofv</v>
      </c>
    </row>
    <row r="10">
      <c r="A10" s="108"/>
    </row>
    <row r="11">
      <c r="A11" s="109" t="s">
        <v>911</v>
      </c>
      <c r="B11" s="8"/>
      <c r="C11" s="8"/>
      <c r="D11" s="8"/>
      <c r="E11" s="8"/>
      <c r="F11" s="8"/>
      <c r="G11" s="8"/>
      <c r="H11" s="9"/>
      <c r="I11" s="110"/>
    </row>
    <row r="12">
      <c r="A12" s="111" t="s">
        <v>919</v>
      </c>
      <c r="B12" s="112" t="s">
        <v>770</v>
      </c>
      <c r="C12" s="112" t="s">
        <v>923</v>
      </c>
      <c r="D12" s="112" t="s">
        <v>924</v>
      </c>
      <c r="E12" s="113" t="s">
        <v>926</v>
      </c>
      <c r="F12" s="113" t="s">
        <v>927</v>
      </c>
      <c r="G12" s="113" t="s">
        <v>928</v>
      </c>
      <c r="H12" s="100" t="s">
        <v>932</v>
      </c>
    </row>
    <row r="13">
      <c r="A13" s="114" t="s">
        <v>933</v>
      </c>
      <c r="B13" s="115" t="s">
        <v>935</v>
      </c>
      <c r="C13" s="116" t="s">
        <v>937</v>
      </c>
      <c r="D13" s="116" t="s">
        <v>939</v>
      </c>
      <c r="E13" s="117" t="s">
        <v>940</v>
      </c>
      <c r="F13" s="117" t="s">
        <v>942</v>
      </c>
      <c r="G13" s="115" t="s">
        <v>943</v>
      </c>
      <c r="H13" s="118" t="s">
        <v>944</v>
      </c>
    </row>
    <row r="14">
      <c r="A14" s="114" t="s">
        <v>942</v>
      </c>
      <c r="B14" s="115" t="s">
        <v>946</v>
      </c>
      <c r="C14" s="116" t="s">
        <v>947</v>
      </c>
      <c r="D14" s="116" t="s">
        <v>948</v>
      </c>
      <c r="E14" s="117" t="s">
        <v>950</v>
      </c>
      <c r="F14" s="117" t="s">
        <v>951</v>
      </c>
      <c r="G14" s="115" t="s">
        <v>952</v>
      </c>
      <c r="H14" s="118" t="s">
        <v>953</v>
      </c>
    </row>
    <row r="15">
      <c r="A15" s="114" t="s">
        <v>951</v>
      </c>
      <c r="B15" s="115" t="s">
        <v>955</v>
      </c>
      <c r="C15" s="116" t="s">
        <v>956</v>
      </c>
      <c r="D15" s="116" t="s">
        <v>957</v>
      </c>
      <c r="E15" s="117" t="s">
        <v>958</v>
      </c>
      <c r="F15" s="117" t="s">
        <v>959</v>
      </c>
      <c r="G15" s="115" t="s">
        <v>960</v>
      </c>
      <c r="H15" s="119" t="s">
        <v>962</v>
      </c>
    </row>
    <row r="16">
      <c r="A16" s="114" t="s">
        <v>963</v>
      </c>
      <c r="B16" s="115" t="s">
        <v>964</v>
      </c>
      <c r="C16" s="116" t="s">
        <v>965</v>
      </c>
      <c r="D16" s="116" t="s">
        <v>966</v>
      </c>
      <c r="E16" s="117" t="s">
        <v>967</v>
      </c>
      <c r="F16" s="117" t="s">
        <v>956</v>
      </c>
      <c r="G16" s="115" t="s">
        <v>968</v>
      </c>
      <c r="H16" s="119" t="s">
        <v>969</v>
      </c>
    </row>
    <row r="17">
      <c r="A17" s="120" t="s">
        <v>970</v>
      </c>
      <c r="B17" s="115" t="s">
        <v>972</v>
      </c>
      <c r="C17" s="116" t="s">
        <v>973</v>
      </c>
      <c r="D17" s="116" t="s">
        <v>974</v>
      </c>
      <c r="E17" s="117" t="s">
        <v>975</v>
      </c>
      <c r="F17" s="117" t="s">
        <v>976</v>
      </c>
      <c r="G17" s="115" t="s">
        <v>977</v>
      </c>
      <c r="H17" s="119" t="s">
        <v>979</v>
      </c>
    </row>
    <row r="18">
      <c r="A18" s="121" t="s">
        <v>955</v>
      </c>
      <c r="B18" s="122" t="s">
        <v>980</v>
      </c>
      <c r="C18" s="123" t="s">
        <v>984</v>
      </c>
      <c r="D18" s="123" t="s">
        <v>986</v>
      </c>
      <c r="E18" s="124" t="s">
        <v>813</v>
      </c>
      <c r="F18" s="124" t="s">
        <v>988</v>
      </c>
      <c r="G18" s="122" t="s">
        <v>990</v>
      </c>
      <c r="H18" s="125" t="s">
        <v>992</v>
      </c>
    </row>
  </sheetData>
  <mergeCells count="4">
    <mergeCell ref="E1:I10"/>
    <mergeCell ref="A10:D10"/>
    <mergeCell ref="A11:H11"/>
    <mergeCell ref="I11:I18"/>
  </mergeCells>
  <hyperlinks>
    <hyperlink r:id="rId1" ref="E1"/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</hyperlinks>
  <drawing r:id="rId1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9.38"/>
    <col customWidth="1" min="3" max="3" width="23.5"/>
    <col customWidth="1" min="4" max="4" width="7.13"/>
    <col customWidth="1" min="5" max="5" width="23.38"/>
    <col customWidth="1" min="6" max="6" width="6.0"/>
    <col customWidth="1" min="7" max="7" width="21.25"/>
  </cols>
  <sheetData>
    <row r="1">
      <c r="A1" s="126" t="str">
        <f>IFERROR(__xludf.DUMMYFUNCTION("IMPORTRANGE(""1ID3qu1P4Zey82OSLntg4O0xoZlY1hGK58tte0D_Cv_s"", ""Tasks!A1:G"")"),"Pokemon")</f>
        <v>Pokemon</v>
      </c>
      <c r="B1" s="127" t="str">
        <f>IFERROR(__xludf.DUMMYFUNCTION("""COMPUTED_VALUE"""),"NPC")</f>
        <v>NPC</v>
      </c>
      <c r="C1" s="128" t="str">
        <f>IFERROR(__xludf.DUMMYFUNCTION("""COMPUTED_VALUE"""),"Localização")</f>
        <v>Localização</v>
      </c>
      <c r="D1" s="127" t="str">
        <f>IFERROR(__xludf.DUMMYFUNCTION("""COMPUTED_VALUE"""),"NPC 2")</f>
        <v>NPC 2</v>
      </c>
      <c r="E1" s="128" t="str">
        <f>IFERROR(__xludf.DUMMYFUNCTION("""COMPUTED_VALUE"""),"Localização 2")</f>
        <v>Localização 2</v>
      </c>
      <c r="F1" s="127" t="str">
        <f>IFERROR(__xludf.DUMMYFUNCTION("""COMPUTED_VALUE"""),"NPC 2")</f>
        <v>NPC 2</v>
      </c>
      <c r="G1" s="128" t="str">
        <f>IFERROR(__xludf.DUMMYFUNCTION("""COMPUTED_VALUE"""),"Localização 3")</f>
        <v>Localização 3</v>
      </c>
    </row>
    <row r="2">
      <c r="A2" s="11" t="str">
        <f>IFERROR(__xludf.DUMMYFUNCTION("""COMPUTED_VALUE"""),"Bulbasaur")</f>
        <v>Bulbasaur</v>
      </c>
      <c r="B2" s="84" t="str">
        <f>IFERROR(__xludf.DUMMYFUNCTION("""COMPUTED_VALUE"""),"Blake")</f>
        <v>Blake</v>
      </c>
      <c r="C2" s="129" t="str">
        <f>IFERROR(__xludf.DUMMYFUNCTION("""COMPUTED_VALUE"""),"https://imgur.com/a/bZOLHYr")</f>
        <v>https://imgur.com/a/bZOLHYr</v>
      </c>
      <c r="D2" s="84"/>
      <c r="E2" s="130"/>
      <c r="F2" s="84"/>
      <c r="G2" s="130"/>
    </row>
    <row r="3">
      <c r="A3" s="11" t="str">
        <f>IFERROR(__xludf.DUMMYFUNCTION("""COMPUTED_VALUE"""),"Ivysaur")</f>
        <v>Ivysaur</v>
      </c>
      <c r="B3" s="84" t="str">
        <f>IFERROR(__xludf.DUMMYFUNCTION("""COMPUTED_VALUE"""),"Blake")</f>
        <v>Blake</v>
      </c>
      <c r="C3" s="129" t="str">
        <f>IFERROR(__xludf.DUMMYFUNCTION("""COMPUTED_VALUE"""),"https://imgur.com/a/bZOLHYr")</f>
        <v>https://imgur.com/a/bZOLHYr</v>
      </c>
      <c r="D3" s="84"/>
      <c r="E3" s="130"/>
      <c r="F3" s="84"/>
      <c r="G3" s="130"/>
    </row>
    <row r="4">
      <c r="A4" s="11" t="str">
        <f>IFERROR(__xludf.DUMMYFUNCTION("""COMPUTED_VALUE"""),"Venusaur")</f>
        <v>Venusaur</v>
      </c>
      <c r="B4" s="84" t="str">
        <f>IFERROR(__xludf.DUMMYFUNCTION("""COMPUTED_VALUE"""),"Penelope")</f>
        <v>Penelope</v>
      </c>
      <c r="C4" s="129" t="str">
        <f>IFERROR(__xludf.DUMMYFUNCTION("""COMPUTED_VALUE"""),"https://imgur.com/a/uUDQMYp")</f>
        <v>https://imgur.com/a/uUDQMYp</v>
      </c>
      <c r="D4" s="84" t="str">
        <f>IFERROR(__xludf.DUMMYFUNCTION("""COMPUTED_VALUE"""),"Bert")</f>
        <v>Bert</v>
      </c>
      <c r="E4" s="129" t="str">
        <f>IFERROR(__xludf.DUMMYFUNCTION("""COMPUTED_VALUE"""),"https://imgur.com/a/zWioDB8")</f>
        <v>https://imgur.com/a/zWioDB8</v>
      </c>
      <c r="F4" s="84" t="str">
        <f>IFERROR(__xludf.DUMMYFUNCTION("""COMPUTED_VALUE"""),"Mason")</f>
        <v>Mason</v>
      </c>
      <c r="G4" s="129" t="str">
        <f>IFERROR(__xludf.DUMMYFUNCTION("""COMPUTED_VALUE"""),"https://imgur.com/a/2a1rF5l")</f>
        <v>https://imgur.com/a/2a1rF5l</v>
      </c>
    </row>
    <row r="5">
      <c r="A5" s="11" t="str">
        <f>IFERROR(__xludf.DUMMYFUNCTION("""COMPUTED_VALUE"""),"Charmander")</f>
        <v>Charmander</v>
      </c>
      <c r="B5" s="84" t="str">
        <f>IFERROR(__xludf.DUMMYFUNCTION("""COMPUTED_VALUE"""),"Stella")</f>
        <v>Stella</v>
      </c>
      <c r="C5" s="129" t="str">
        <f>IFERROR(__xludf.DUMMYFUNCTION("""COMPUTED_VALUE"""),"https://imgur.com/a/hWfJGuR")</f>
        <v>https://imgur.com/a/hWfJGuR</v>
      </c>
      <c r="D5" s="84"/>
      <c r="E5" s="130"/>
      <c r="F5" s="84"/>
      <c r="G5" s="130"/>
    </row>
    <row r="6">
      <c r="A6" s="11" t="str">
        <f>IFERROR(__xludf.DUMMYFUNCTION("""COMPUTED_VALUE"""),"Charmeleon")</f>
        <v>Charmeleon</v>
      </c>
      <c r="B6" s="84" t="str">
        <f>IFERROR(__xludf.DUMMYFUNCTION("""COMPUTED_VALUE"""),"Stella")</f>
        <v>Stella</v>
      </c>
      <c r="C6" s="129" t="str">
        <f>IFERROR(__xludf.DUMMYFUNCTION("""COMPUTED_VALUE"""),"https://imgur.com/a/hWfJGuR")</f>
        <v>https://imgur.com/a/hWfJGuR</v>
      </c>
      <c r="D6" s="84"/>
      <c r="E6" s="130"/>
      <c r="F6" s="84"/>
      <c r="G6" s="130"/>
    </row>
    <row r="7">
      <c r="A7" s="11" t="str">
        <f>IFERROR(__xludf.DUMMYFUNCTION("""COMPUTED_VALUE"""),"Charizard")</f>
        <v>Charizard</v>
      </c>
      <c r="B7" s="84" t="str">
        <f>IFERROR(__xludf.DUMMYFUNCTION("""COMPUTED_VALUE"""),"Oliver")</f>
        <v>Oliver</v>
      </c>
      <c r="C7" s="129" t="str">
        <f>IFERROR(__xludf.DUMMYFUNCTION("""COMPUTED_VALUE"""),"https://imgur.com/a/crIpAZr")</f>
        <v>https://imgur.com/a/crIpAZr</v>
      </c>
      <c r="D7" s="84" t="str">
        <f>IFERROR(__xludf.DUMMYFUNCTION("""COMPUTED_VALUE"""),"Bert")</f>
        <v>Bert</v>
      </c>
      <c r="E7" s="129" t="str">
        <f>IFERROR(__xludf.DUMMYFUNCTION("""COMPUTED_VALUE"""),"https://imgur.com/a/zWioDB8")</f>
        <v>https://imgur.com/a/zWioDB8</v>
      </c>
      <c r="F7" s="84"/>
      <c r="G7" s="130"/>
    </row>
    <row r="8">
      <c r="A8" s="11" t="str">
        <f>IFERROR(__xludf.DUMMYFUNCTION("""COMPUTED_VALUE"""),"Squirtle")</f>
        <v>Squirtle</v>
      </c>
      <c r="B8" s="84"/>
      <c r="C8" s="130"/>
      <c r="D8" s="84"/>
      <c r="E8" s="130"/>
      <c r="F8" s="84"/>
      <c r="G8" s="130"/>
    </row>
    <row r="9">
      <c r="A9" s="11" t="str">
        <f>IFERROR(__xludf.DUMMYFUNCTION("""COMPUTED_VALUE"""),"Wartortle")</f>
        <v>Wartortle</v>
      </c>
      <c r="B9" s="84"/>
      <c r="C9" s="130"/>
      <c r="D9" s="84"/>
      <c r="E9" s="130"/>
      <c r="F9" s="84"/>
      <c r="G9" s="130"/>
    </row>
    <row r="10">
      <c r="A10" s="11" t="str">
        <f>IFERROR(__xludf.DUMMYFUNCTION("""COMPUTED_VALUE"""),"Blastoise")</f>
        <v>Blastoise</v>
      </c>
      <c r="B10" s="84" t="str">
        <f>IFERROR(__xludf.DUMMYFUNCTION("""COMPUTED_VALUE"""),"Eva")</f>
        <v>Eva</v>
      </c>
      <c r="C10" s="129" t="str">
        <f>IFERROR(__xludf.DUMMYFUNCTION("""COMPUTED_VALUE"""),"https://imgur.com/a/EUrKfTz")</f>
        <v>https://imgur.com/a/EUrKfTz</v>
      </c>
      <c r="D10" s="84" t="str">
        <f>IFERROR(__xludf.DUMMYFUNCTION("""COMPUTED_VALUE"""),"Bert")</f>
        <v>Bert</v>
      </c>
      <c r="E10" s="129" t="str">
        <f>IFERROR(__xludf.DUMMYFUNCTION("""COMPUTED_VALUE"""),"https://imgur.com/a/zWioDB8")</f>
        <v>https://imgur.com/a/zWioDB8</v>
      </c>
      <c r="F10" s="84"/>
      <c r="G10" s="130"/>
    </row>
    <row r="11">
      <c r="A11" s="11" t="str">
        <f>IFERROR(__xludf.DUMMYFUNCTION("""COMPUTED_VALUE"""),"Caterpie")</f>
        <v>Caterpie</v>
      </c>
      <c r="B11" s="84" t="str">
        <f>IFERROR(__xludf.DUMMYFUNCTION("""COMPUTED_VALUE"""),"Elena")</f>
        <v>Elena</v>
      </c>
      <c r="C11" s="129" t="str">
        <f>IFERROR(__xludf.DUMMYFUNCTION("""COMPUTED_VALUE"""),"https://imgur.com/a/Q8Xv483")</f>
        <v>https://imgur.com/a/Q8Xv483</v>
      </c>
      <c r="D11" s="84"/>
      <c r="E11" s="130"/>
      <c r="F11" s="84"/>
      <c r="G11" s="130"/>
    </row>
    <row r="12">
      <c r="A12" s="11" t="str">
        <f>IFERROR(__xludf.DUMMYFUNCTION("""COMPUTED_VALUE"""),"Metapod")</f>
        <v>Metapod</v>
      </c>
      <c r="B12" s="84" t="str">
        <f>IFERROR(__xludf.DUMMYFUNCTION("""COMPUTED_VALUE"""),"Maya")</f>
        <v>Maya</v>
      </c>
      <c r="C12" s="129" t="str">
        <f>IFERROR(__xludf.DUMMYFUNCTION("""COMPUTED_VALUE"""),"https://imgur.com/a/lFsNSc4")</f>
        <v>https://imgur.com/a/lFsNSc4</v>
      </c>
      <c r="D12" s="84"/>
      <c r="E12" s="130"/>
      <c r="F12" s="84"/>
      <c r="G12" s="130"/>
    </row>
    <row r="13">
      <c r="A13" s="11" t="str">
        <f>IFERROR(__xludf.DUMMYFUNCTION("""COMPUTED_VALUE"""),"Butterfree")</f>
        <v>Butterfree</v>
      </c>
      <c r="B13" s="84"/>
      <c r="C13" s="130"/>
      <c r="D13" s="84"/>
      <c r="E13" s="130"/>
      <c r="F13" s="84"/>
      <c r="G13" s="130"/>
    </row>
    <row r="14">
      <c r="A14" s="11" t="str">
        <f>IFERROR(__xludf.DUMMYFUNCTION("""COMPUTED_VALUE"""),"Weedle")</f>
        <v>Weedle</v>
      </c>
      <c r="B14" s="84" t="str">
        <f>IFERROR(__xludf.DUMMYFUNCTION("""COMPUTED_VALUE"""),"Elena")</f>
        <v>Elena</v>
      </c>
      <c r="C14" s="129" t="str">
        <f>IFERROR(__xludf.DUMMYFUNCTION("""COMPUTED_VALUE"""),"https://imgur.com/a/Q8Xv483")</f>
        <v>https://imgur.com/a/Q8Xv483</v>
      </c>
      <c r="D14" s="84"/>
      <c r="E14" s="130"/>
      <c r="F14" s="84"/>
      <c r="G14" s="130"/>
    </row>
    <row r="15">
      <c r="A15" s="11" t="str">
        <f>IFERROR(__xludf.DUMMYFUNCTION("""COMPUTED_VALUE"""),"Kakuna")</f>
        <v>Kakuna</v>
      </c>
      <c r="B15" s="84" t="str">
        <f>IFERROR(__xludf.DUMMYFUNCTION("""COMPUTED_VALUE"""),"Maya")</f>
        <v>Maya</v>
      </c>
      <c r="C15" s="129" t="str">
        <f>IFERROR(__xludf.DUMMYFUNCTION("""COMPUTED_VALUE"""),"https://imgur.com/a/lFsNSc4")</f>
        <v>https://imgur.com/a/lFsNSc4</v>
      </c>
      <c r="D15" s="84"/>
      <c r="E15" s="130"/>
      <c r="F15" s="84"/>
      <c r="G15" s="130"/>
    </row>
    <row r="16">
      <c r="A16" s="11" t="str">
        <f>IFERROR(__xludf.DUMMYFUNCTION("""COMPUTED_VALUE"""),"Beedrill")</f>
        <v>Beedrill</v>
      </c>
      <c r="B16" s="84"/>
      <c r="C16" s="130"/>
      <c r="D16" s="84"/>
      <c r="E16" s="130"/>
      <c r="F16" s="84"/>
      <c r="G16" s="130"/>
    </row>
    <row r="17">
      <c r="A17" s="11" t="str">
        <f>IFERROR(__xludf.DUMMYFUNCTION("""COMPUTED_VALUE"""),"Pidgey")</f>
        <v>Pidgey</v>
      </c>
      <c r="B17" s="84" t="str">
        <f>IFERROR(__xludf.DUMMYFUNCTION("""COMPUTED_VALUE"""),"Lara")</f>
        <v>Lara</v>
      </c>
      <c r="C17" s="129" t="str">
        <f>IFERROR(__xludf.DUMMYFUNCTION("""COMPUTED_VALUE"""),"https://imgur.com/a/Hpe1Tgw")</f>
        <v>https://imgur.com/a/Hpe1Tgw</v>
      </c>
      <c r="D17" s="84" t="str">
        <f>IFERROR(__xludf.DUMMYFUNCTION("""COMPUTED_VALUE"""),"Hayden")</f>
        <v>Hayden</v>
      </c>
      <c r="E17" s="129" t="str">
        <f>IFERROR(__xludf.DUMMYFUNCTION("""COMPUTED_VALUE"""),"https://imgur.com/a/pcKcLKB")</f>
        <v>https://imgur.com/a/pcKcLKB</v>
      </c>
      <c r="F17" s="84"/>
      <c r="G17" s="130"/>
    </row>
    <row r="18">
      <c r="A18" s="11" t="str">
        <f>IFERROR(__xludf.DUMMYFUNCTION("""COMPUTED_VALUE"""),"Pidgeotto")</f>
        <v>Pidgeotto</v>
      </c>
      <c r="B18" s="84" t="str">
        <f>IFERROR(__xludf.DUMMYFUNCTION("""COMPUTED_VALUE"""),"Hayden")</f>
        <v>Hayden</v>
      </c>
      <c r="C18" s="129" t="str">
        <f>IFERROR(__xludf.DUMMYFUNCTION("""COMPUTED_VALUE"""),"https://imgur.com/a/pcKcLKB")</f>
        <v>https://imgur.com/a/pcKcLKB</v>
      </c>
      <c r="D18" s="84"/>
      <c r="E18" s="130"/>
      <c r="F18" s="84"/>
      <c r="G18" s="130"/>
    </row>
    <row r="19">
      <c r="A19" s="11" t="str">
        <f>IFERROR(__xludf.DUMMYFUNCTION("""COMPUTED_VALUE"""),"Pidgeot")</f>
        <v>Pidgeot</v>
      </c>
      <c r="B19" s="84" t="str">
        <f>IFERROR(__xludf.DUMMYFUNCTION("""COMPUTED_VALUE"""),"Hayden")</f>
        <v>Hayden</v>
      </c>
      <c r="C19" s="129" t="str">
        <f>IFERROR(__xludf.DUMMYFUNCTION("""COMPUTED_VALUE"""),"https://imgur.com/a/pcKcLKB")</f>
        <v>https://imgur.com/a/pcKcLKB</v>
      </c>
      <c r="D19" s="84"/>
      <c r="E19" s="130"/>
      <c r="F19" s="84"/>
      <c r="G19" s="130"/>
    </row>
    <row r="20">
      <c r="A20" s="11" t="str">
        <f>IFERROR(__xludf.DUMMYFUNCTION("""COMPUTED_VALUE"""),"Rattata")</f>
        <v>Rattata</v>
      </c>
      <c r="B20" s="84" t="str">
        <f>IFERROR(__xludf.DUMMYFUNCTION("""COMPUTED_VALUE"""),"Liam")</f>
        <v>Liam</v>
      </c>
      <c r="C20" s="129" t="str">
        <f>IFERROR(__xludf.DUMMYFUNCTION("""COMPUTED_VALUE"""),"https://imgur.com/a/1hoNp8D")</f>
        <v>https://imgur.com/a/1hoNp8D</v>
      </c>
      <c r="D20" s="84"/>
      <c r="E20" s="130"/>
      <c r="F20" s="84"/>
      <c r="G20" s="130"/>
    </row>
    <row r="21">
      <c r="A21" s="11" t="str">
        <f>IFERROR(__xludf.DUMMYFUNCTION("""COMPUTED_VALUE"""),"Raticate")</f>
        <v>Raticate</v>
      </c>
      <c r="B21" s="84" t="str">
        <f>IFERROR(__xludf.DUMMYFUNCTION("""COMPUTED_VALUE"""),"Leah")</f>
        <v>Leah</v>
      </c>
      <c r="C21" s="129" t="str">
        <f>IFERROR(__xludf.DUMMYFUNCTION("""COMPUTED_VALUE"""),"https://imgur.com/a/OAk89kY")</f>
        <v>https://imgur.com/a/OAk89kY</v>
      </c>
      <c r="D21" s="84"/>
      <c r="E21" s="130"/>
      <c r="F21" s="84"/>
      <c r="G21" s="130"/>
    </row>
    <row r="22">
      <c r="A22" s="11" t="str">
        <f>IFERROR(__xludf.DUMMYFUNCTION("""COMPUTED_VALUE"""),"Spearow")</f>
        <v>Spearow</v>
      </c>
      <c r="B22" s="84" t="str">
        <f>IFERROR(__xludf.DUMMYFUNCTION("""COMPUTED_VALUE"""),"Lara")</f>
        <v>Lara</v>
      </c>
      <c r="C22" s="129" t="str">
        <f>IFERROR(__xludf.DUMMYFUNCTION("""COMPUTED_VALUE"""),"https://imgur.com/a/Hpe1Tgw")</f>
        <v>https://imgur.com/a/Hpe1Tgw</v>
      </c>
      <c r="D22" s="84"/>
      <c r="E22" s="130"/>
      <c r="F22" s="84"/>
      <c r="G22" s="130"/>
    </row>
    <row r="23">
      <c r="A23" s="11" t="str">
        <f>IFERROR(__xludf.DUMMYFUNCTION("""COMPUTED_VALUE"""),"Fearow")</f>
        <v>Fearow</v>
      </c>
      <c r="B23" s="84"/>
      <c r="C23" s="130"/>
      <c r="D23" s="84"/>
      <c r="E23" s="130"/>
      <c r="F23" s="84"/>
      <c r="G23" s="130"/>
    </row>
    <row r="24">
      <c r="A24" s="11" t="str">
        <f>IFERROR(__xludf.DUMMYFUNCTION("""COMPUTED_VALUE"""),"Ekans")</f>
        <v>Ekans</v>
      </c>
      <c r="B24" s="84"/>
      <c r="C24" s="130"/>
      <c r="D24" s="84"/>
      <c r="E24" s="130"/>
      <c r="F24" s="84"/>
      <c r="G24" s="130"/>
    </row>
    <row r="25">
      <c r="A25" s="11" t="str">
        <f>IFERROR(__xludf.DUMMYFUNCTION("""COMPUTED_VALUE"""),"Arbok")</f>
        <v>Arbok</v>
      </c>
      <c r="B25" s="84" t="str">
        <f>IFERROR(__xludf.DUMMYFUNCTION("""COMPUTED_VALUE"""),"Zoe")</f>
        <v>Zoe</v>
      </c>
      <c r="C25" s="129" t="str">
        <f>IFERROR(__xludf.DUMMYFUNCTION("""COMPUTED_VALUE"""),"https://imgur.com/a/L9Nfkce")</f>
        <v>https://imgur.com/a/L9Nfkce</v>
      </c>
      <c r="D25" s="84"/>
      <c r="E25" s="130"/>
      <c r="F25" s="84"/>
      <c r="G25" s="130"/>
    </row>
    <row r="26">
      <c r="A26" s="11" t="str">
        <f>IFERROR(__xludf.DUMMYFUNCTION("""COMPUTED_VALUE"""),"Pikachu")</f>
        <v>Pikachu</v>
      </c>
      <c r="B26" s="84"/>
      <c r="C26" s="130"/>
      <c r="D26" s="84"/>
      <c r="E26" s="130"/>
      <c r="F26" s="84"/>
      <c r="G26" s="130"/>
    </row>
    <row r="27">
      <c r="A27" s="11" t="str">
        <f>IFERROR(__xludf.DUMMYFUNCTION("""COMPUTED_VALUE"""),"Raichu")</f>
        <v>Raichu</v>
      </c>
      <c r="B27" s="84"/>
      <c r="C27" s="130"/>
      <c r="D27" s="84"/>
      <c r="E27" s="130"/>
      <c r="F27" s="84"/>
      <c r="G27" s="130"/>
    </row>
    <row r="28">
      <c r="A28" s="11" t="str">
        <f>IFERROR(__xludf.DUMMYFUNCTION("""COMPUTED_VALUE"""),"Sandshrew")</f>
        <v>Sandshrew</v>
      </c>
      <c r="B28" s="84" t="str">
        <f>IFERROR(__xludf.DUMMYFUNCTION("""COMPUTED_VALUE"""),"Owen")</f>
        <v>Owen</v>
      </c>
      <c r="C28" s="129" t="str">
        <f>IFERROR(__xludf.DUMMYFUNCTION("""COMPUTED_VALUE"""),"https://imgur.com/a/oN5SIKI")</f>
        <v>https://imgur.com/a/oN5SIKI</v>
      </c>
      <c r="D28" s="84"/>
      <c r="E28" s="130"/>
      <c r="F28" s="84"/>
      <c r="G28" s="130"/>
    </row>
    <row r="29">
      <c r="A29" s="11" t="str">
        <f>IFERROR(__xludf.DUMMYFUNCTION("""COMPUTED_VALUE"""),"Sandslash")</f>
        <v>Sandslash</v>
      </c>
      <c r="B29" s="84" t="str">
        <f>IFERROR(__xludf.DUMMYFUNCTION("""COMPUTED_VALUE"""),"Owen")</f>
        <v>Owen</v>
      </c>
      <c r="C29" s="129" t="str">
        <f>IFERROR(__xludf.DUMMYFUNCTION("""COMPUTED_VALUE"""),"https://imgur.com/a/oN5SIKI")</f>
        <v>https://imgur.com/a/oN5SIKI</v>
      </c>
      <c r="D29" s="84"/>
      <c r="E29" s="130"/>
      <c r="F29" s="84"/>
      <c r="G29" s="130"/>
    </row>
    <row r="30">
      <c r="A30" s="11" t="str">
        <f>IFERROR(__xludf.DUMMYFUNCTION("""COMPUTED_VALUE"""),"Nidoran female")</f>
        <v>Nidoran female</v>
      </c>
      <c r="B30" s="84"/>
      <c r="C30" s="130"/>
      <c r="D30" s="84"/>
      <c r="E30" s="130"/>
      <c r="F30" s="84"/>
      <c r="G30" s="130"/>
    </row>
    <row r="31">
      <c r="A31" s="11" t="str">
        <f>IFERROR(__xludf.DUMMYFUNCTION("""COMPUTED_VALUE"""),"Nidorina")</f>
        <v>Nidorina</v>
      </c>
      <c r="B31" s="84"/>
      <c r="C31" s="130"/>
      <c r="D31" s="84"/>
      <c r="E31" s="130"/>
      <c r="F31" s="84"/>
      <c r="G31" s="130"/>
    </row>
    <row r="32">
      <c r="A32" s="11" t="str">
        <f>IFERROR(__xludf.DUMMYFUNCTION("""COMPUTED_VALUE"""),"Nidoqueen")</f>
        <v>Nidoqueen</v>
      </c>
      <c r="B32" s="84" t="str">
        <f>IFERROR(__xludf.DUMMYFUNCTION("""COMPUTED_VALUE"""),"Elijah")</f>
        <v>Elijah</v>
      </c>
      <c r="C32" s="129" t="str">
        <f>IFERROR(__xludf.DUMMYFUNCTION("""COMPUTED_VALUE"""),"https://imgur.com/a/h9HfdlB")</f>
        <v>https://imgur.com/a/h9HfdlB</v>
      </c>
      <c r="D32" s="84"/>
      <c r="E32" s="130"/>
      <c r="F32" s="84"/>
      <c r="G32" s="130"/>
    </row>
    <row r="33">
      <c r="A33" s="11" t="str">
        <f>IFERROR(__xludf.DUMMYFUNCTION("""COMPUTED_VALUE"""),"Nidoran Male")</f>
        <v>Nidoran Male</v>
      </c>
      <c r="B33" s="84"/>
      <c r="C33" s="130"/>
      <c r="D33" s="84"/>
      <c r="E33" s="130"/>
      <c r="F33" s="84"/>
      <c r="G33" s="130"/>
    </row>
    <row r="34">
      <c r="A34" s="11" t="str">
        <f>IFERROR(__xludf.DUMMYFUNCTION("""COMPUTED_VALUE"""),"Nidorino")</f>
        <v>Nidorino</v>
      </c>
      <c r="B34" s="84"/>
      <c r="C34" s="130"/>
      <c r="D34" s="84"/>
      <c r="E34" s="130"/>
      <c r="F34" s="84"/>
      <c r="G34" s="130"/>
    </row>
    <row r="35">
      <c r="A35" s="11" t="str">
        <f>IFERROR(__xludf.DUMMYFUNCTION("""COMPUTED_VALUE"""),"Nidoking")</f>
        <v>Nidoking</v>
      </c>
      <c r="B35" s="84" t="str">
        <f>IFERROR(__xludf.DUMMYFUNCTION("""COMPUTED_VALUE"""),"Caleb")</f>
        <v>Caleb</v>
      </c>
      <c r="C35" s="129" t="str">
        <f>IFERROR(__xludf.DUMMYFUNCTION("""COMPUTED_VALUE"""),"https://imgur.com/a/x0CsPv0")</f>
        <v>https://imgur.com/a/x0CsPv0</v>
      </c>
      <c r="D35" s="84"/>
      <c r="E35" s="130"/>
      <c r="F35" s="84"/>
      <c r="G35" s="130"/>
    </row>
    <row r="36">
      <c r="A36" s="11" t="str">
        <f>IFERROR(__xludf.DUMMYFUNCTION("""COMPUTED_VALUE"""),"Clefairy")</f>
        <v>Clefairy</v>
      </c>
      <c r="B36" s="84"/>
      <c r="C36" s="130"/>
      <c r="D36" s="84"/>
      <c r="E36" s="130"/>
      <c r="F36" s="84"/>
      <c r="G36" s="130"/>
    </row>
    <row r="37">
      <c r="A37" s="11" t="str">
        <f>IFERROR(__xludf.DUMMYFUNCTION("""COMPUTED_VALUE"""),"Clefable")</f>
        <v>Clefable</v>
      </c>
      <c r="B37" s="84" t="str">
        <f>IFERROR(__xludf.DUMMYFUNCTION("""COMPUTED_VALUE"""),"Sebastian")</f>
        <v>Sebastian</v>
      </c>
      <c r="C37" s="129" t="str">
        <f>IFERROR(__xludf.DUMMYFUNCTION("""COMPUTED_VALUE"""),"https://imgur.com/a/ZGcetex")</f>
        <v>https://imgur.com/a/ZGcetex</v>
      </c>
      <c r="D37" s="84"/>
      <c r="E37" s="130"/>
      <c r="F37" s="84"/>
      <c r="G37" s="130"/>
    </row>
    <row r="38">
      <c r="A38" s="11" t="str">
        <f>IFERROR(__xludf.DUMMYFUNCTION("""COMPUTED_VALUE"""),"Vulpix")</f>
        <v>Vulpix</v>
      </c>
      <c r="B38" s="84"/>
      <c r="C38" s="130"/>
      <c r="D38" s="84"/>
      <c r="E38" s="130"/>
      <c r="F38" s="84"/>
      <c r="G38" s="130"/>
    </row>
    <row r="39">
      <c r="A39" s="11" t="str">
        <f>IFERROR(__xludf.DUMMYFUNCTION("""COMPUTED_VALUE"""),"Ninetales")</f>
        <v>Ninetales</v>
      </c>
      <c r="B39" s="84"/>
      <c r="C39" s="130"/>
      <c r="D39" s="84"/>
      <c r="E39" s="130"/>
      <c r="F39" s="84"/>
      <c r="G39" s="130"/>
    </row>
    <row r="40">
      <c r="A40" s="11" t="str">
        <f>IFERROR(__xludf.DUMMYFUNCTION("""COMPUTED_VALUE"""),"Jigglypuff")</f>
        <v>Jigglypuff</v>
      </c>
      <c r="B40" s="84"/>
      <c r="C40" s="130"/>
      <c r="D40" s="84"/>
      <c r="E40" s="130"/>
      <c r="F40" s="84"/>
      <c r="G40" s="130"/>
    </row>
    <row r="41">
      <c r="A41" s="11" t="str">
        <f>IFERROR(__xludf.DUMMYFUNCTION("""COMPUTED_VALUE"""),"Wigglytuff")</f>
        <v>Wigglytuff</v>
      </c>
      <c r="B41" s="84" t="str">
        <f>IFERROR(__xludf.DUMMYFUNCTION("""COMPUTED_VALUE"""),"Violet")</f>
        <v>Violet</v>
      </c>
      <c r="C41" s="129" t="str">
        <f>IFERROR(__xludf.DUMMYFUNCTION("""COMPUTED_VALUE"""),"https://imgur.com/a/Z6GyJou")</f>
        <v>https://imgur.com/a/Z6GyJou</v>
      </c>
      <c r="D41" s="84"/>
      <c r="E41" s="130"/>
      <c r="F41" s="84"/>
      <c r="G41" s="130"/>
    </row>
    <row r="42">
      <c r="A42" s="11" t="str">
        <f>IFERROR(__xludf.DUMMYFUNCTION("""COMPUTED_VALUE"""),"Zubat")</f>
        <v>Zubat</v>
      </c>
      <c r="B42" s="84"/>
      <c r="C42" s="130"/>
      <c r="D42" s="84"/>
      <c r="E42" s="130"/>
      <c r="F42" s="84"/>
      <c r="G42" s="130"/>
    </row>
    <row r="43">
      <c r="A43" s="11" t="str">
        <f>IFERROR(__xludf.DUMMYFUNCTION("""COMPUTED_VALUE"""),"Golbat")</f>
        <v>Golbat</v>
      </c>
      <c r="B43" s="84"/>
      <c r="C43" s="130"/>
      <c r="D43" s="84"/>
      <c r="E43" s="130"/>
      <c r="F43" s="84"/>
      <c r="G43" s="130"/>
    </row>
    <row r="44">
      <c r="A44" s="11" t="str">
        <f>IFERROR(__xludf.DUMMYFUNCTION("""COMPUTED_VALUE"""),"Oddish")</f>
        <v>Oddish</v>
      </c>
      <c r="B44" s="84"/>
      <c r="C44" s="130"/>
      <c r="D44" s="84"/>
      <c r="E44" s="130"/>
      <c r="F44" s="84"/>
      <c r="G44" s="130"/>
    </row>
    <row r="45">
      <c r="A45" s="11" t="str">
        <f>IFERROR(__xludf.DUMMYFUNCTION("""COMPUTED_VALUE"""),"Gloom")</f>
        <v>Gloom</v>
      </c>
      <c r="B45" s="84"/>
      <c r="C45" s="130"/>
      <c r="D45" s="84"/>
      <c r="E45" s="130"/>
      <c r="F45" s="84"/>
      <c r="G45" s="130"/>
    </row>
    <row r="46">
      <c r="A46" s="11" t="str">
        <f>IFERROR(__xludf.DUMMYFUNCTION("""COMPUTED_VALUE"""),"Vileplume")</f>
        <v>Vileplume</v>
      </c>
      <c r="B46" s="84"/>
      <c r="C46" s="130"/>
      <c r="D46" s="84"/>
      <c r="E46" s="130"/>
      <c r="F46" s="84"/>
      <c r="G46" s="130"/>
    </row>
    <row r="47">
      <c r="A47" s="11" t="str">
        <f>IFERROR(__xludf.DUMMYFUNCTION("""COMPUTED_VALUE"""),"Paras")</f>
        <v>Paras</v>
      </c>
      <c r="B47" s="84"/>
      <c r="C47" s="130"/>
      <c r="D47" s="84"/>
      <c r="E47" s="130"/>
      <c r="F47" s="84"/>
      <c r="G47" s="130"/>
    </row>
    <row r="48">
      <c r="A48" s="11" t="str">
        <f>IFERROR(__xludf.DUMMYFUNCTION("""COMPUTED_VALUE"""),"Parasect")</f>
        <v>Parasect</v>
      </c>
      <c r="B48" s="84"/>
      <c r="C48" s="130"/>
      <c r="D48" s="84"/>
      <c r="E48" s="130"/>
      <c r="F48" s="84"/>
      <c r="G48" s="130"/>
    </row>
    <row r="49">
      <c r="A49" s="11" t="str">
        <f>IFERROR(__xludf.DUMMYFUNCTION("""COMPUTED_VALUE"""),"Venonat")</f>
        <v>Venonat</v>
      </c>
      <c r="B49" s="84"/>
      <c r="C49" s="130"/>
      <c r="D49" s="84"/>
      <c r="E49" s="130"/>
      <c r="F49" s="84"/>
      <c r="G49" s="130"/>
    </row>
    <row r="50">
      <c r="A50" s="11" t="str">
        <f>IFERROR(__xludf.DUMMYFUNCTION("""COMPUTED_VALUE"""),"Venomoth")</f>
        <v>Venomoth</v>
      </c>
      <c r="B50" s="84"/>
      <c r="C50" s="130"/>
      <c r="D50" s="84"/>
      <c r="E50" s="130"/>
      <c r="F50" s="84"/>
      <c r="G50" s="130"/>
    </row>
    <row r="51">
      <c r="A51" s="11" t="str">
        <f>IFERROR(__xludf.DUMMYFUNCTION("""COMPUTED_VALUE"""),"Diglett")</f>
        <v>Diglett</v>
      </c>
      <c r="B51" s="84" t="str">
        <f>IFERROR(__xludf.DUMMYFUNCTION("""COMPUTED_VALUE"""),"Owen")</f>
        <v>Owen</v>
      </c>
      <c r="C51" s="129" t="str">
        <f>IFERROR(__xludf.DUMMYFUNCTION("""COMPUTED_VALUE"""),"https://imgur.com/a/oN5SIKI")</f>
        <v>https://imgur.com/a/oN5SIKI</v>
      </c>
      <c r="D51" s="84"/>
      <c r="E51" s="130"/>
      <c r="F51" s="84"/>
      <c r="G51" s="130"/>
    </row>
    <row r="52">
      <c r="A52" s="11" t="str">
        <f>IFERROR(__xludf.DUMMYFUNCTION("""COMPUTED_VALUE"""),"Dugtrio")</f>
        <v>Dugtrio</v>
      </c>
      <c r="B52" s="84" t="str">
        <f>IFERROR(__xludf.DUMMYFUNCTION("""COMPUTED_VALUE"""),"Owen")</f>
        <v>Owen</v>
      </c>
      <c r="C52" s="129" t="str">
        <f>IFERROR(__xludf.DUMMYFUNCTION("""COMPUTED_VALUE"""),"https://imgur.com/a/oN5SIKI")</f>
        <v>https://imgur.com/a/oN5SIKI</v>
      </c>
      <c r="D52" s="84"/>
      <c r="E52" s="130"/>
      <c r="F52" s="84"/>
      <c r="G52" s="130"/>
    </row>
    <row r="53">
      <c r="A53" s="11" t="str">
        <f>IFERROR(__xludf.DUMMYFUNCTION("""COMPUTED_VALUE"""),"Meowth")</f>
        <v>Meowth</v>
      </c>
      <c r="B53" s="84"/>
      <c r="C53" s="130"/>
      <c r="D53" s="84"/>
      <c r="E53" s="130"/>
      <c r="F53" s="84"/>
      <c r="G53" s="130"/>
    </row>
    <row r="54">
      <c r="A54" s="11" t="str">
        <f>IFERROR(__xludf.DUMMYFUNCTION("""COMPUTED_VALUE"""),"Persian")</f>
        <v>Persian</v>
      </c>
      <c r="B54" s="84"/>
      <c r="C54" s="130"/>
      <c r="D54" s="84"/>
      <c r="E54" s="130"/>
      <c r="F54" s="84"/>
      <c r="G54" s="130"/>
    </row>
    <row r="55">
      <c r="A55" s="11" t="str">
        <f>IFERROR(__xludf.DUMMYFUNCTION("""COMPUTED_VALUE"""),"Psyduck")</f>
        <v>Psyduck</v>
      </c>
      <c r="B55" s="84"/>
      <c r="C55" s="130"/>
      <c r="D55" s="84"/>
      <c r="E55" s="130"/>
      <c r="F55" s="84"/>
      <c r="G55" s="130"/>
    </row>
    <row r="56">
      <c r="A56" s="11" t="str">
        <f>IFERROR(__xludf.DUMMYFUNCTION("""COMPUTED_VALUE"""),"Golduck")</f>
        <v>Golduck</v>
      </c>
      <c r="B56" s="84"/>
      <c r="C56" s="130"/>
      <c r="D56" s="84"/>
      <c r="E56" s="130"/>
      <c r="F56" s="84"/>
      <c r="G56" s="130"/>
    </row>
    <row r="57">
      <c r="A57" s="11" t="str">
        <f>IFERROR(__xludf.DUMMYFUNCTION("""COMPUTED_VALUE"""),"Mankey")</f>
        <v>Mankey</v>
      </c>
      <c r="B57" s="84"/>
      <c r="C57" s="130"/>
      <c r="D57" s="84"/>
      <c r="E57" s="130"/>
      <c r="F57" s="84"/>
      <c r="G57" s="130"/>
    </row>
    <row r="58">
      <c r="A58" s="11" t="str">
        <f>IFERROR(__xludf.DUMMYFUNCTION("""COMPUTED_VALUE"""),"Primeape")</f>
        <v>Primeape</v>
      </c>
      <c r="B58" s="84"/>
      <c r="C58" s="130"/>
      <c r="D58" s="84"/>
      <c r="E58" s="130"/>
      <c r="F58" s="84"/>
      <c r="G58" s="130"/>
    </row>
    <row r="59">
      <c r="A59" s="11" t="str">
        <f>IFERROR(__xludf.DUMMYFUNCTION("""COMPUTED_VALUE"""),"Growlithe")</f>
        <v>Growlithe</v>
      </c>
      <c r="B59" s="84"/>
      <c r="C59" s="130"/>
      <c r="D59" s="84"/>
      <c r="E59" s="130"/>
      <c r="F59" s="84"/>
      <c r="G59" s="130"/>
    </row>
    <row r="60">
      <c r="A60" s="11" t="str">
        <f>IFERROR(__xludf.DUMMYFUNCTION("""COMPUTED_VALUE"""),"Arcanine")</f>
        <v>Arcanine</v>
      </c>
      <c r="B60" s="84" t="str">
        <f>IFERROR(__xludf.DUMMYFUNCTION("""COMPUTED_VALUE"""),"Chloe")</f>
        <v>Chloe</v>
      </c>
      <c r="C60" s="129" t="str">
        <f>IFERROR(__xludf.DUMMYFUNCTION("""COMPUTED_VALUE"""),"https://imgur.com/a/21pTgjt")</f>
        <v>https://imgur.com/a/21pTgjt</v>
      </c>
      <c r="D60" s="84"/>
      <c r="E60" s="130"/>
      <c r="F60" s="84"/>
      <c r="G60" s="130"/>
    </row>
    <row r="61">
      <c r="A61" s="11" t="str">
        <f>IFERROR(__xludf.DUMMYFUNCTION("""COMPUTED_VALUE"""),"Poliwag")</f>
        <v>Poliwag</v>
      </c>
      <c r="B61" s="84"/>
      <c r="C61" s="130"/>
      <c r="D61" s="84"/>
      <c r="E61" s="130"/>
      <c r="F61" s="84"/>
      <c r="G61" s="130"/>
    </row>
    <row r="62">
      <c r="A62" s="11" t="str">
        <f>IFERROR(__xludf.DUMMYFUNCTION("""COMPUTED_VALUE"""),"Poliwhirl")</f>
        <v>Poliwhirl</v>
      </c>
      <c r="B62" s="84"/>
      <c r="C62" s="130"/>
      <c r="D62" s="84"/>
      <c r="E62" s="130"/>
      <c r="F62" s="84"/>
      <c r="G62" s="130"/>
    </row>
    <row r="63">
      <c r="A63" s="11" t="str">
        <f>IFERROR(__xludf.DUMMYFUNCTION("""COMPUTED_VALUE"""),"Poliwrath")</f>
        <v>Poliwrath</v>
      </c>
      <c r="B63" s="84"/>
      <c r="C63" s="130"/>
      <c r="D63" s="84"/>
      <c r="E63" s="130"/>
      <c r="F63" s="84"/>
      <c r="G63" s="130"/>
    </row>
    <row r="64">
      <c r="A64" s="11" t="str">
        <f>IFERROR(__xludf.DUMMYFUNCTION("""COMPUTED_VALUE"""),"Abra")</f>
        <v>Abra</v>
      </c>
      <c r="B64" s="84"/>
      <c r="C64" s="130"/>
      <c r="D64" s="84"/>
      <c r="E64" s="130"/>
      <c r="F64" s="84"/>
      <c r="G64" s="130"/>
    </row>
    <row r="65">
      <c r="A65" s="11" t="str">
        <f>IFERROR(__xludf.DUMMYFUNCTION("""COMPUTED_VALUE"""),"Kadabra")</f>
        <v>Kadabra</v>
      </c>
      <c r="B65" s="84"/>
      <c r="C65" s="130"/>
      <c r="D65" s="84"/>
      <c r="E65" s="130"/>
      <c r="F65" s="84"/>
      <c r="G65" s="130"/>
    </row>
    <row r="66">
      <c r="A66" s="11" t="str">
        <f>IFERROR(__xludf.DUMMYFUNCTION("""COMPUTED_VALUE"""),"Alakazam")</f>
        <v>Alakazam</v>
      </c>
      <c r="B66" s="84" t="str">
        <f>IFERROR(__xludf.DUMMYFUNCTION("""COMPUTED_VALUE"""),"Isaac")</f>
        <v>Isaac</v>
      </c>
      <c r="C66" s="130" t="str">
        <f>IFERROR(__xludf.DUMMYFUNCTION("""COMPUTED_VALUE"""),"?")</f>
        <v>?</v>
      </c>
      <c r="D66" s="84"/>
      <c r="E66" s="130"/>
      <c r="F66" s="84"/>
      <c r="G66" s="130"/>
    </row>
    <row r="67">
      <c r="A67" s="11" t="str">
        <f>IFERROR(__xludf.DUMMYFUNCTION("""COMPUTED_VALUE"""),"Machop")</f>
        <v>Machop</v>
      </c>
      <c r="B67" s="84" t="str">
        <f>IFERROR(__xludf.DUMMYFUNCTION("""COMPUTED_VALUE"""),"Gavin")</f>
        <v>Gavin</v>
      </c>
      <c r="C67" s="129" t="str">
        <f>IFERROR(__xludf.DUMMYFUNCTION("""COMPUTED_VALUE"""),"https://imgur.com/a/1yRsaFj")</f>
        <v>https://imgur.com/a/1yRsaFj</v>
      </c>
      <c r="D67" s="84"/>
      <c r="E67" s="130"/>
      <c r="F67" s="84"/>
      <c r="G67" s="130"/>
    </row>
    <row r="68">
      <c r="A68" s="11" t="str">
        <f>IFERROR(__xludf.DUMMYFUNCTION("""COMPUTED_VALUE"""),"Machoke")</f>
        <v>Machoke</v>
      </c>
      <c r="B68" s="84" t="str">
        <f>IFERROR(__xludf.DUMMYFUNCTION("""COMPUTED_VALUE"""),"Gavin")</f>
        <v>Gavin</v>
      </c>
      <c r="C68" s="129" t="str">
        <f>IFERROR(__xludf.DUMMYFUNCTION("""COMPUTED_VALUE"""),"https://imgur.com/a/1yRsaFj")</f>
        <v>https://imgur.com/a/1yRsaFj</v>
      </c>
      <c r="D68" s="84"/>
      <c r="E68" s="130"/>
      <c r="F68" s="84"/>
      <c r="G68" s="130"/>
    </row>
    <row r="69">
      <c r="A69" s="11" t="str">
        <f>IFERROR(__xludf.DUMMYFUNCTION("""COMPUTED_VALUE"""),"Machamp")</f>
        <v>Machamp</v>
      </c>
      <c r="B69" s="84"/>
      <c r="C69" s="130"/>
      <c r="D69" s="84"/>
      <c r="E69" s="130"/>
      <c r="F69" s="84"/>
      <c r="G69" s="130"/>
    </row>
    <row r="70">
      <c r="A70" s="11" t="str">
        <f>IFERROR(__xludf.DUMMYFUNCTION("""COMPUTED_VALUE"""),"Bellsprout")</f>
        <v>Bellsprout</v>
      </c>
      <c r="B70" s="84"/>
      <c r="C70" s="130"/>
      <c r="D70" s="84"/>
      <c r="E70" s="130"/>
      <c r="F70" s="84"/>
      <c r="G70" s="130"/>
    </row>
    <row r="71">
      <c r="A71" s="11" t="str">
        <f>IFERROR(__xludf.DUMMYFUNCTION("""COMPUTED_VALUE"""),"Weepinbell")</f>
        <v>Weepinbell</v>
      </c>
      <c r="B71" s="84" t="str">
        <f>IFERROR(__xludf.DUMMYFUNCTION("""COMPUTED_VALUE"""),"Nina")</f>
        <v>Nina</v>
      </c>
      <c r="C71" s="129" t="str">
        <f>IFERROR(__xludf.DUMMYFUNCTION("""COMPUTED_VALUE"""),"https://imgur.com/a/lafCMUj")</f>
        <v>https://imgur.com/a/lafCMUj</v>
      </c>
      <c r="D71" s="84"/>
      <c r="E71" s="130"/>
      <c r="F71" s="84"/>
      <c r="G71" s="130"/>
    </row>
    <row r="72">
      <c r="A72" s="11" t="str">
        <f>IFERROR(__xludf.DUMMYFUNCTION("""COMPUTED_VALUE"""),"Victreebel")</f>
        <v>Victreebel</v>
      </c>
      <c r="B72" s="84"/>
      <c r="C72" s="130"/>
      <c r="D72" s="84"/>
      <c r="E72" s="130"/>
      <c r="F72" s="84"/>
      <c r="G72" s="130"/>
    </row>
    <row r="73">
      <c r="A73" s="11" t="str">
        <f>IFERROR(__xludf.DUMMYFUNCTION("""COMPUTED_VALUE"""),"Tentacool")</f>
        <v>Tentacool</v>
      </c>
      <c r="B73" s="84"/>
      <c r="C73" s="130"/>
      <c r="D73" s="84"/>
      <c r="E73" s="130"/>
      <c r="F73" s="84"/>
      <c r="G73" s="130"/>
    </row>
    <row r="74">
      <c r="A74" s="11" t="str">
        <f>IFERROR(__xludf.DUMMYFUNCTION("""COMPUTED_VALUE"""),"Tentacruel")</f>
        <v>Tentacruel</v>
      </c>
      <c r="B74" s="84"/>
      <c r="C74" s="130"/>
      <c r="D74" s="84"/>
      <c r="E74" s="130"/>
      <c r="F74" s="84"/>
      <c r="G74" s="130"/>
    </row>
    <row r="75">
      <c r="A75" s="11" t="str">
        <f>IFERROR(__xludf.DUMMYFUNCTION("""COMPUTED_VALUE"""),"Geodude")</f>
        <v>Geodude</v>
      </c>
      <c r="B75" s="84"/>
      <c r="C75" s="130"/>
      <c r="D75" s="84"/>
      <c r="E75" s="130"/>
      <c r="F75" s="84"/>
      <c r="G75" s="130"/>
    </row>
    <row r="76">
      <c r="A76" s="11" t="str">
        <f>IFERROR(__xludf.DUMMYFUNCTION("""COMPUTED_VALUE"""),"Graveler")</f>
        <v>Graveler</v>
      </c>
      <c r="B76" s="84"/>
      <c r="C76" s="130"/>
      <c r="D76" s="84"/>
      <c r="E76" s="130"/>
      <c r="F76" s="84"/>
      <c r="G76" s="130"/>
    </row>
    <row r="77">
      <c r="A77" s="11" t="str">
        <f>IFERROR(__xludf.DUMMYFUNCTION("""COMPUTED_VALUE"""),"Golem")</f>
        <v>Golem</v>
      </c>
      <c r="B77" s="84"/>
      <c r="C77" s="130"/>
      <c r="D77" s="84"/>
      <c r="E77" s="130"/>
      <c r="F77" s="84"/>
      <c r="G77" s="130"/>
    </row>
    <row r="78">
      <c r="A78" s="11" t="str">
        <f>IFERROR(__xludf.DUMMYFUNCTION("""COMPUTED_VALUE"""),"Ponyta")</f>
        <v>Ponyta</v>
      </c>
      <c r="B78" s="84"/>
      <c r="C78" s="130"/>
      <c r="D78" s="84"/>
      <c r="E78" s="130"/>
      <c r="F78" s="84"/>
      <c r="G78" s="130"/>
    </row>
    <row r="79">
      <c r="A79" s="11" t="str">
        <f>IFERROR(__xludf.DUMMYFUNCTION("""COMPUTED_VALUE"""),"Rapidash")</f>
        <v>Rapidash</v>
      </c>
      <c r="B79" s="84"/>
      <c r="C79" s="130"/>
      <c r="D79" s="84"/>
      <c r="E79" s="130"/>
      <c r="F79" s="84"/>
      <c r="G79" s="130"/>
    </row>
    <row r="80">
      <c r="A80" s="11" t="str">
        <f>IFERROR(__xludf.DUMMYFUNCTION("""COMPUTED_VALUE"""),"Slowpoke")</f>
        <v>Slowpoke</v>
      </c>
      <c r="B80" s="84"/>
      <c r="C80" s="130"/>
      <c r="D80" s="84"/>
      <c r="E80" s="130"/>
      <c r="F80" s="84"/>
      <c r="G80" s="130"/>
    </row>
    <row r="81">
      <c r="A81" s="11" t="str">
        <f>IFERROR(__xludf.DUMMYFUNCTION("""COMPUTED_VALUE"""),"Slowbro")</f>
        <v>Slowbro</v>
      </c>
      <c r="B81" s="84"/>
      <c r="C81" s="130"/>
      <c r="D81" s="84"/>
      <c r="E81" s="130"/>
      <c r="F81" s="84"/>
      <c r="G81" s="130"/>
    </row>
    <row r="82">
      <c r="A82" s="11" t="str">
        <f>IFERROR(__xludf.DUMMYFUNCTION("""COMPUTED_VALUE"""),"Magnemite")</f>
        <v>Magnemite</v>
      </c>
      <c r="B82" s="84" t="str">
        <f>IFERROR(__xludf.DUMMYFUNCTION("""COMPUTED_VALUE"""),"Aaron")</f>
        <v>Aaron</v>
      </c>
      <c r="C82" s="129" t="str">
        <f>IFERROR(__xludf.DUMMYFUNCTION("""COMPUTED_VALUE"""),"https://imgur.com/a/pFkpjev")</f>
        <v>https://imgur.com/a/pFkpjev</v>
      </c>
      <c r="D82" s="84"/>
      <c r="E82" s="130"/>
      <c r="F82" s="84"/>
      <c r="G82" s="130"/>
    </row>
    <row r="83">
      <c r="A83" s="11" t="str">
        <f>IFERROR(__xludf.DUMMYFUNCTION("""COMPUTED_VALUE"""),"Magneton")</f>
        <v>Magneton</v>
      </c>
      <c r="B83" s="84"/>
      <c r="C83" s="130"/>
      <c r="D83" s="84"/>
      <c r="E83" s="130"/>
      <c r="F83" s="84"/>
      <c r="G83" s="130"/>
    </row>
    <row r="84">
      <c r="A84" s="11" t="str">
        <f>IFERROR(__xludf.DUMMYFUNCTION("""COMPUTED_VALUE"""),"Farfetch'd")</f>
        <v>Farfetch'd</v>
      </c>
      <c r="B84" s="84" t="str">
        <f>IFERROR(__xludf.DUMMYFUNCTION("""COMPUTED_VALUE"""),"Camila")</f>
        <v>Camila</v>
      </c>
      <c r="C84" s="129" t="str">
        <f>IFERROR(__xludf.DUMMYFUNCTION("""COMPUTED_VALUE"""),"https://imgur.com/a/qQvozOt")</f>
        <v>https://imgur.com/a/qQvozOt</v>
      </c>
      <c r="D84" s="84"/>
      <c r="E84" s="130"/>
      <c r="F84" s="84"/>
      <c r="G84" s="130"/>
    </row>
    <row r="85">
      <c r="A85" s="11" t="str">
        <f>IFERROR(__xludf.DUMMYFUNCTION("""COMPUTED_VALUE"""),"Doduo")</f>
        <v>Doduo</v>
      </c>
      <c r="B85" s="84"/>
      <c r="C85" s="130"/>
      <c r="D85" s="84"/>
      <c r="E85" s="130"/>
      <c r="F85" s="84"/>
      <c r="G85" s="130"/>
    </row>
    <row r="86">
      <c r="A86" s="11" t="str">
        <f>IFERROR(__xludf.DUMMYFUNCTION("""COMPUTED_VALUE"""),"Dodrio")</f>
        <v>Dodrio</v>
      </c>
      <c r="B86" s="84"/>
      <c r="C86" s="130"/>
      <c r="D86" s="84"/>
      <c r="E86" s="130"/>
      <c r="F86" s="84"/>
      <c r="G86" s="130"/>
    </row>
    <row r="87">
      <c r="A87" s="11" t="str">
        <f>IFERROR(__xludf.DUMMYFUNCTION("""COMPUTED_VALUE"""),"Seel")</f>
        <v>Seel</v>
      </c>
      <c r="B87" s="84"/>
      <c r="C87" s="130"/>
      <c r="D87" s="84"/>
      <c r="E87" s="130"/>
      <c r="F87" s="84"/>
      <c r="G87" s="130"/>
    </row>
    <row r="88">
      <c r="A88" s="11" t="str">
        <f>IFERROR(__xludf.DUMMYFUNCTION("""COMPUTED_VALUE"""),"Dewgong")</f>
        <v>Dewgong</v>
      </c>
      <c r="B88" s="84" t="str">
        <f>IFERROR(__xludf.DUMMYFUNCTION("""COMPUTED_VALUE"""),"Lucas")</f>
        <v>Lucas</v>
      </c>
      <c r="C88" s="129" t="str">
        <f>IFERROR(__xludf.DUMMYFUNCTION("""COMPUTED_VALUE"""),"https://imgur.com/a/YO8943i")</f>
        <v>https://imgur.com/a/YO8943i</v>
      </c>
      <c r="D88" s="84"/>
      <c r="E88" s="130"/>
      <c r="F88" s="84"/>
      <c r="G88" s="130"/>
    </row>
    <row r="89">
      <c r="A89" s="11" t="str">
        <f>IFERROR(__xludf.DUMMYFUNCTION("""COMPUTED_VALUE"""),"Grimer")</f>
        <v>Grimer</v>
      </c>
      <c r="B89" s="84"/>
      <c r="C89" s="130"/>
      <c r="D89" s="84"/>
      <c r="E89" s="130"/>
      <c r="F89" s="84"/>
      <c r="G89" s="130"/>
    </row>
    <row r="90">
      <c r="A90" s="11" t="str">
        <f>IFERROR(__xludf.DUMMYFUNCTION("""COMPUTED_VALUE"""),"Muk")</f>
        <v>Muk</v>
      </c>
      <c r="B90" s="84" t="str">
        <f>IFERROR(__xludf.DUMMYFUNCTION("""COMPUTED_VALUE"""),"Connor")</f>
        <v>Connor</v>
      </c>
      <c r="C90" s="129" t="str">
        <f>IFERROR(__xludf.DUMMYFUNCTION("""COMPUTED_VALUE"""),"https://imgur.com/a/rNnKjpv")</f>
        <v>https://imgur.com/a/rNnKjpv</v>
      </c>
      <c r="D90" s="84"/>
      <c r="E90" s="130"/>
      <c r="F90" s="84"/>
      <c r="G90" s="130"/>
    </row>
    <row r="91">
      <c r="A91" s="11" t="str">
        <f>IFERROR(__xludf.DUMMYFUNCTION("""COMPUTED_VALUE"""),"Shellder")</f>
        <v>Shellder</v>
      </c>
      <c r="B91" s="84"/>
      <c r="C91" s="130"/>
      <c r="D91" s="84"/>
      <c r="E91" s="130"/>
      <c r="F91" s="84"/>
      <c r="G91" s="130"/>
    </row>
    <row r="92">
      <c r="A92" s="11" t="str">
        <f>IFERROR(__xludf.DUMMYFUNCTION("""COMPUTED_VALUE"""),"Cloyster")</f>
        <v>Cloyster</v>
      </c>
      <c r="B92" s="84" t="str">
        <f>IFERROR(__xludf.DUMMYFUNCTION("""COMPUTED_VALUE"""),"Aurora")</f>
        <v>Aurora</v>
      </c>
      <c r="C92" s="129" t="str">
        <f>IFERROR(__xludf.DUMMYFUNCTION("""COMPUTED_VALUE"""),"https://imgur.com/a/c8zaZAh")</f>
        <v>https://imgur.com/a/c8zaZAh</v>
      </c>
      <c r="D92" s="84"/>
      <c r="E92" s="130"/>
      <c r="F92" s="84"/>
      <c r="G92" s="130"/>
    </row>
    <row r="93">
      <c r="A93" s="11" t="str">
        <f>IFERROR(__xludf.DUMMYFUNCTION("""COMPUTED_VALUE"""),"Gastly")</f>
        <v>Gastly</v>
      </c>
      <c r="B93" s="84" t="str">
        <f>IFERROR(__xludf.DUMMYFUNCTION("""COMPUTED_VALUE"""),"Grace")</f>
        <v>Grace</v>
      </c>
      <c r="C93" s="129" t="str">
        <f>IFERROR(__xludf.DUMMYFUNCTION("""COMPUTED_VALUE"""),"https://imgur.com/a/7owKwog")</f>
        <v>https://imgur.com/a/7owKwog</v>
      </c>
      <c r="D93" s="84"/>
      <c r="E93" s="130"/>
      <c r="F93" s="84"/>
      <c r="G93" s="130"/>
    </row>
    <row r="94">
      <c r="A94" s="11" t="str">
        <f>IFERROR(__xludf.DUMMYFUNCTION("""COMPUTED_VALUE"""),"Haunter")</f>
        <v>Haunter</v>
      </c>
      <c r="B94" s="84" t="str">
        <f>IFERROR(__xludf.DUMMYFUNCTION("""COMPUTED_VALUE"""),"Grace")</f>
        <v>Grace</v>
      </c>
      <c r="C94" s="129" t="str">
        <f>IFERROR(__xludf.DUMMYFUNCTION("""COMPUTED_VALUE"""),"https://imgur.com/a/7owKwog")</f>
        <v>https://imgur.com/a/7owKwog</v>
      </c>
      <c r="D94" s="84"/>
      <c r="E94" s="130"/>
      <c r="F94" s="84"/>
      <c r="G94" s="130"/>
    </row>
    <row r="95">
      <c r="A95" s="11" t="str">
        <f>IFERROR(__xludf.DUMMYFUNCTION("""COMPUTED_VALUE"""),"Gengar")</f>
        <v>Gengar</v>
      </c>
      <c r="B95" s="84" t="str">
        <f>IFERROR(__xludf.DUMMYFUNCTION("""COMPUTED_VALUE"""),"Jackson")</f>
        <v>Jackson</v>
      </c>
      <c r="C95" s="129" t="str">
        <f>IFERROR(__xludf.DUMMYFUNCTION("""COMPUTED_VALUE"""),"https://imgur.com/a/fDtaziH")</f>
        <v>https://imgur.com/a/fDtaziH</v>
      </c>
      <c r="D95" s="84"/>
      <c r="E95" s="130"/>
      <c r="F95" s="84"/>
      <c r="G95" s="130"/>
    </row>
    <row r="96">
      <c r="A96" s="11" t="str">
        <f>IFERROR(__xludf.DUMMYFUNCTION("""COMPUTED_VALUE"""),"Onix")</f>
        <v>Onix</v>
      </c>
      <c r="B96" s="84"/>
      <c r="C96" s="130"/>
      <c r="D96" s="84"/>
      <c r="E96" s="130"/>
      <c r="F96" s="84"/>
      <c r="G96" s="130"/>
    </row>
    <row r="97">
      <c r="A97" s="11" t="str">
        <f>IFERROR(__xludf.DUMMYFUNCTION("""COMPUTED_VALUE"""),"Drowzee")</f>
        <v>Drowzee</v>
      </c>
      <c r="B97" s="84"/>
      <c r="C97" s="130"/>
      <c r="D97" s="84"/>
      <c r="E97" s="130"/>
      <c r="F97" s="84"/>
      <c r="G97" s="130"/>
    </row>
    <row r="98">
      <c r="A98" s="11" t="str">
        <f>IFERROR(__xludf.DUMMYFUNCTION("""COMPUTED_VALUE"""),"Hypno")</f>
        <v>Hypno</v>
      </c>
      <c r="B98" s="84"/>
      <c r="C98" s="130"/>
      <c r="D98" s="84"/>
      <c r="E98" s="130"/>
      <c r="F98" s="84"/>
      <c r="G98" s="130"/>
    </row>
    <row r="99">
      <c r="A99" s="11" t="str">
        <f>IFERROR(__xludf.DUMMYFUNCTION("""COMPUTED_VALUE"""),"Krabby")</f>
        <v>Krabby</v>
      </c>
      <c r="B99" s="84"/>
      <c r="C99" s="130"/>
      <c r="D99" s="84"/>
      <c r="E99" s="130"/>
      <c r="F99" s="84"/>
      <c r="G99" s="130"/>
    </row>
    <row r="100">
      <c r="A100" s="11" t="str">
        <f>IFERROR(__xludf.DUMMYFUNCTION("""COMPUTED_VALUE"""),"Kingler")</f>
        <v>Kingler</v>
      </c>
      <c r="B100" s="84"/>
      <c r="C100" s="130"/>
      <c r="D100" s="84"/>
      <c r="E100" s="130"/>
      <c r="F100" s="84"/>
      <c r="G100" s="130"/>
    </row>
    <row r="101">
      <c r="A101" s="11" t="str">
        <f>IFERROR(__xludf.DUMMYFUNCTION("""COMPUTED_VALUE"""),"Voltorb")</f>
        <v>Voltorb</v>
      </c>
      <c r="B101" s="84" t="str">
        <f>IFERROR(__xludf.DUMMYFUNCTION("""COMPUTED_VALUE"""),"Aaron")</f>
        <v>Aaron</v>
      </c>
      <c r="C101" s="129" t="str">
        <f>IFERROR(__xludf.DUMMYFUNCTION("""COMPUTED_VALUE"""),"https://imgur.com/a/pFkpjev")</f>
        <v>https://imgur.com/a/pFkpjev</v>
      </c>
      <c r="D101" s="84"/>
      <c r="E101" s="130"/>
      <c r="F101" s="84"/>
      <c r="G101" s="130"/>
    </row>
    <row r="102">
      <c r="A102" s="11" t="str">
        <f>IFERROR(__xludf.DUMMYFUNCTION("""COMPUTED_VALUE"""),"Electrode")</f>
        <v>Electrode</v>
      </c>
      <c r="B102" s="84"/>
      <c r="C102" s="130"/>
      <c r="D102" s="84"/>
      <c r="E102" s="130"/>
      <c r="F102" s="84"/>
      <c r="G102" s="130"/>
    </row>
    <row r="103">
      <c r="A103" s="11" t="str">
        <f>IFERROR(__xludf.DUMMYFUNCTION("""COMPUTED_VALUE"""),"Exeggcute")</f>
        <v>Exeggcute</v>
      </c>
      <c r="B103" s="84"/>
      <c r="C103" s="130"/>
      <c r="D103" s="84"/>
      <c r="E103" s="130"/>
      <c r="F103" s="84"/>
      <c r="G103" s="130"/>
    </row>
    <row r="104">
      <c r="A104" s="11" t="str">
        <f>IFERROR(__xludf.DUMMYFUNCTION("""COMPUTED_VALUE"""),"Exeggutor")</f>
        <v>Exeggutor</v>
      </c>
      <c r="B104" s="84"/>
      <c r="C104" s="130"/>
      <c r="D104" s="84"/>
      <c r="E104" s="130"/>
      <c r="F104" s="84"/>
      <c r="G104" s="130"/>
    </row>
    <row r="105">
      <c r="A105" s="11" t="str">
        <f>IFERROR(__xludf.DUMMYFUNCTION("""COMPUTED_VALUE"""),"Cubone")</f>
        <v>Cubone</v>
      </c>
      <c r="B105" s="84" t="str">
        <f>IFERROR(__xludf.DUMMYFUNCTION("""COMPUTED_VALUE"""),"Lily")</f>
        <v>Lily</v>
      </c>
      <c r="C105" s="129" t="str">
        <f>IFERROR(__xludf.DUMMYFUNCTION("""COMPUTED_VALUE"""),"https://imgur.com/a/GEmLpCs")</f>
        <v>https://imgur.com/a/GEmLpCs</v>
      </c>
      <c r="D105" s="84"/>
      <c r="E105" s="130"/>
      <c r="F105" s="84"/>
      <c r="G105" s="130"/>
    </row>
    <row r="106">
      <c r="A106" s="11" t="str">
        <f>IFERROR(__xludf.DUMMYFUNCTION("""COMPUTED_VALUE"""),"Marowak")</f>
        <v>Marowak</v>
      </c>
      <c r="B106" s="84" t="str">
        <f>IFERROR(__xludf.DUMMYFUNCTION("""COMPUTED_VALUE"""),"Lily")</f>
        <v>Lily</v>
      </c>
      <c r="C106" s="129" t="str">
        <f>IFERROR(__xludf.DUMMYFUNCTION("""COMPUTED_VALUE"""),"https://imgur.com/a/GEmLpCs")</f>
        <v>https://imgur.com/a/GEmLpCs</v>
      </c>
      <c r="D106" s="84"/>
      <c r="E106" s="130"/>
      <c r="F106" s="84"/>
      <c r="G106" s="130"/>
    </row>
    <row r="107">
      <c r="A107" s="11" t="str">
        <f>IFERROR(__xludf.DUMMYFUNCTION("""COMPUTED_VALUE"""),"Hitmonlee")</f>
        <v>Hitmonlee</v>
      </c>
      <c r="B107" s="84"/>
      <c r="C107" s="130"/>
      <c r="D107" s="84"/>
      <c r="E107" s="130"/>
      <c r="F107" s="84"/>
      <c r="G107" s="130"/>
    </row>
    <row r="108">
      <c r="A108" s="11" t="str">
        <f>IFERROR(__xludf.DUMMYFUNCTION("""COMPUTED_VALUE"""),"Hitmonchan")</f>
        <v>Hitmonchan</v>
      </c>
      <c r="B108" s="84"/>
      <c r="C108" s="130"/>
      <c r="D108" s="84"/>
      <c r="E108" s="130"/>
      <c r="F108" s="84"/>
      <c r="G108" s="130"/>
    </row>
    <row r="109">
      <c r="A109" s="11" t="str">
        <f>IFERROR(__xludf.DUMMYFUNCTION("""COMPUTED_VALUE"""),"Lickitung")</f>
        <v>Lickitung</v>
      </c>
      <c r="B109" s="84"/>
      <c r="C109" s="130"/>
      <c r="D109" s="84"/>
      <c r="E109" s="130"/>
      <c r="F109" s="84"/>
      <c r="G109" s="130"/>
    </row>
    <row r="110">
      <c r="A110" s="11" t="str">
        <f>IFERROR(__xludf.DUMMYFUNCTION("""COMPUTED_VALUE"""),"Koffing")</f>
        <v>Koffing</v>
      </c>
      <c r="B110" s="84"/>
      <c r="C110" s="130"/>
      <c r="D110" s="84"/>
      <c r="E110" s="130"/>
      <c r="F110" s="84"/>
      <c r="G110" s="130"/>
    </row>
    <row r="111">
      <c r="A111" s="11" t="str">
        <f>IFERROR(__xludf.DUMMYFUNCTION("""COMPUTED_VALUE"""),"Weezing")</f>
        <v>Weezing</v>
      </c>
      <c r="B111" s="84"/>
      <c r="C111" s="130"/>
      <c r="D111" s="84"/>
      <c r="E111" s="130"/>
      <c r="F111" s="84"/>
      <c r="G111" s="130"/>
    </row>
    <row r="112">
      <c r="A112" s="11" t="str">
        <f>IFERROR(__xludf.DUMMYFUNCTION("""COMPUTED_VALUE"""),"Rhyhorn")</f>
        <v>Rhyhorn</v>
      </c>
      <c r="B112" s="84"/>
      <c r="C112" s="130"/>
      <c r="D112" s="84"/>
      <c r="E112" s="130"/>
      <c r="F112" s="84"/>
      <c r="G112" s="130"/>
    </row>
    <row r="113">
      <c r="A113" s="11" t="str">
        <f>IFERROR(__xludf.DUMMYFUNCTION("""COMPUTED_VALUE"""),"Rhydon")</f>
        <v>Rhydon</v>
      </c>
      <c r="B113" s="84"/>
      <c r="C113" s="130"/>
      <c r="D113" s="84"/>
      <c r="E113" s="130"/>
      <c r="F113" s="84"/>
      <c r="G113" s="130"/>
    </row>
    <row r="114">
      <c r="A114" s="11" t="str">
        <f>IFERROR(__xludf.DUMMYFUNCTION("""COMPUTED_VALUE"""),"Chansey")</f>
        <v>Chansey</v>
      </c>
      <c r="B114" s="84"/>
      <c r="C114" s="130"/>
      <c r="D114" s="84"/>
      <c r="E114" s="130"/>
      <c r="F114" s="84"/>
      <c r="G114" s="130"/>
    </row>
    <row r="115">
      <c r="A115" s="11" t="str">
        <f>IFERROR(__xludf.DUMMYFUNCTION("""COMPUTED_VALUE"""),"Tangela")</f>
        <v>Tangela</v>
      </c>
      <c r="B115" s="84" t="str">
        <f>IFERROR(__xludf.DUMMYFUNCTION("""COMPUTED_VALUE"""),"Nolan")</f>
        <v>Nolan</v>
      </c>
      <c r="C115" s="129" t="str">
        <f>IFERROR(__xludf.DUMMYFUNCTION("""COMPUTED_VALUE"""),"https://imgur.com/a/nlNYZER")</f>
        <v>https://imgur.com/a/nlNYZER</v>
      </c>
      <c r="D115" s="84" t="str">
        <f>IFERROR(__xludf.DUMMYFUNCTION("""COMPUTED_VALUE"""),"Vincent")</f>
        <v>Vincent</v>
      </c>
      <c r="E115" s="129" t="str">
        <f>IFERROR(__xludf.DUMMYFUNCTION("""COMPUTED_VALUE"""),"https://imgur.com/a/DqsE5Ex")</f>
        <v>https://imgur.com/a/DqsE5Ex</v>
      </c>
      <c r="F115" s="84"/>
      <c r="G115" s="130"/>
    </row>
    <row r="116">
      <c r="A116" s="11" t="str">
        <f>IFERROR(__xludf.DUMMYFUNCTION("""COMPUTED_VALUE"""),"Kangaskhan")</f>
        <v>Kangaskhan</v>
      </c>
      <c r="B116" s="84" t="str">
        <f>IFERROR(__xludf.DUMMYFUNCTION("""COMPUTED_VALUE"""),"Matilda")</f>
        <v>Matilda</v>
      </c>
      <c r="C116" s="129" t="str">
        <f>IFERROR(__xludf.DUMMYFUNCTION("""COMPUTED_VALUE"""),"https://imgur.com/a/GxzDzlT")</f>
        <v>https://imgur.com/a/GxzDzlT</v>
      </c>
      <c r="D116" s="84"/>
      <c r="E116" s="130"/>
      <c r="F116" s="84"/>
      <c r="G116" s="130"/>
    </row>
    <row r="117">
      <c r="A117" s="11" t="str">
        <f>IFERROR(__xludf.DUMMYFUNCTION("""COMPUTED_VALUE"""),"Horsea")</f>
        <v>Horsea</v>
      </c>
      <c r="B117" s="84"/>
      <c r="C117" s="130"/>
      <c r="D117" s="84"/>
      <c r="E117" s="130"/>
      <c r="F117" s="84"/>
      <c r="G117" s="130"/>
    </row>
    <row r="118">
      <c r="A118" s="11" t="str">
        <f>IFERROR(__xludf.DUMMYFUNCTION("""COMPUTED_VALUE"""),"Seadra")</f>
        <v>Seadra</v>
      </c>
      <c r="B118" s="84"/>
      <c r="C118" s="130"/>
      <c r="D118" s="84"/>
      <c r="E118" s="130"/>
      <c r="F118" s="84"/>
      <c r="G118" s="130"/>
    </row>
    <row r="119">
      <c r="A119" s="11" t="str">
        <f>IFERROR(__xludf.DUMMYFUNCTION("""COMPUTED_VALUE"""),"Goldeen")</f>
        <v>Goldeen</v>
      </c>
      <c r="B119" s="84"/>
      <c r="C119" s="130"/>
      <c r="D119" s="84"/>
      <c r="E119" s="130"/>
      <c r="F119" s="84"/>
      <c r="G119" s="130"/>
    </row>
    <row r="120">
      <c r="A120" s="11" t="str">
        <f>IFERROR(__xludf.DUMMYFUNCTION("""COMPUTED_VALUE"""),"Seaking")</f>
        <v>Seaking</v>
      </c>
      <c r="B120" s="84"/>
      <c r="C120" s="130"/>
      <c r="D120" s="84"/>
      <c r="E120" s="130"/>
      <c r="F120" s="84"/>
      <c r="G120" s="130"/>
    </row>
    <row r="121">
      <c r="A121" s="11" t="str">
        <f>IFERROR(__xludf.DUMMYFUNCTION("""COMPUTED_VALUE"""),"Staryu")</f>
        <v>Staryu</v>
      </c>
      <c r="B121" s="84"/>
      <c r="C121" s="130"/>
      <c r="D121" s="84"/>
      <c r="E121" s="130"/>
      <c r="F121" s="84"/>
      <c r="G121" s="130"/>
    </row>
    <row r="122">
      <c r="A122" s="11" t="str">
        <f>IFERROR(__xludf.DUMMYFUNCTION("""COMPUTED_VALUE"""),"Starmie")</f>
        <v>Starmie</v>
      </c>
      <c r="B122" s="84"/>
      <c r="C122" s="130"/>
      <c r="D122" s="84"/>
      <c r="E122" s="130"/>
      <c r="F122" s="84"/>
      <c r="G122" s="130"/>
    </row>
    <row r="123">
      <c r="A123" s="11" t="str">
        <f>IFERROR(__xludf.DUMMYFUNCTION("""COMPUTED_VALUE"""),"Mr. Mime")</f>
        <v>Mr. Mime</v>
      </c>
      <c r="B123" s="84" t="str">
        <f>IFERROR(__xludf.DUMMYFUNCTION("""COMPUTED_VALUE"""),"Marcel")</f>
        <v>Marcel</v>
      </c>
      <c r="C123" s="129" t="str">
        <f>IFERROR(__xludf.DUMMYFUNCTION("""COMPUTED_VALUE"""),"https://imgur.com/a/zxBmy6C")</f>
        <v>https://imgur.com/a/zxBmy6C</v>
      </c>
      <c r="D123" s="84"/>
      <c r="E123" s="130"/>
      <c r="F123" s="84"/>
      <c r="G123" s="130"/>
    </row>
    <row r="124">
      <c r="A124" s="11" t="str">
        <f>IFERROR(__xludf.DUMMYFUNCTION("""COMPUTED_VALUE"""),"Scyther")</f>
        <v>Scyther</v>
      </c>
      <c r="B124" s="84" t="str">
        <f>IFERROR(__xludf.DUMMYFUNCTION("""COMPUTED_VALUE"""),"Blade")</f>
        <v>Blade</v>
      </c>
      <c r="C124" s="129" t="str">
        <f>IFERROR(__xludf.DUMMYFUNCTION("""COMPUTED_VALUE"""),"https://imgur.com/a/MWTHslg")</f>
        <v>https://imgur.com/a/MWTHslg</v>
      </c>
      <c r="D124" s="84"/>
      <c r="E124" s="130"/>
      <c r="F124" s="84"/>
      <c r="G124" s="130"/>
    </row>
    <row r="125">
      <c r="A125" s="11" t="str">
        <f>IFERROR(__xludf.DUMMYFUNCTION("""COMPUTED_VALUE"""),"Jynx")</f>
        <v>Jynx</v>
      </c>
      <c r="B125" s="84" t="str">
        <f>IFERROR(__xludf.DUMMYFUNCTION("""COMPUTED_VALUE"""),"Harper")</f>
        <v>Harper</v>
      </c>
      <c r="C125" s="129" t="str">
        <f>IFERROR(__xludf.DUMMYFUNCTION("""COMPUTED_VALUE"""),"https://imgur.com/a/dy3sR9T")</f>
        <v>https://imgur.com/a/dy3sR9T</v>
      </c>
      <c r="D125" s="84"/>
      <c r="E125" s="130"/>
      <c r="F125" s="84"/>
      <c r="G125" s="130"/>
    </row>
    <row r="126">
      <c r="A126" s="11" t="str">
        <f>IFERROR(__xludf.DUMMYFUNCTION("""COMPUTED_VALUE"""),"Electabuzz")</f>
        <v>Electabuzz</v>
      </c>
      <c r="B126" s="84"/>
      <c r="C126" s="130"/>
      <c r="D126" s="84"/>
      <c r="E126" s="130"/>
      <c r="F126" s="84"/>
      <c r="G126" s="130"/>
    </row>
    <row r="127">
      <c r="A127" s="11" t="str">
        <f>IFERROR(__xludf.DUMMYFUNCTION("""COMPUTED_VALUE"""),"Magmar")</f>
        <v>Magmar</v>
      </c>
      <c r="B127" s="84"/>
      <c r="C127" s="130"/>
      <c r="D127" s="84"/>
      <c r="E127" s="130"/>
      <c r="F127" s="84"/>
      <c r="G127" s="130"/>
    </row>
    <row r="128">
      <c r="A128" s="11" t="str">
        <f>IFERROR(__xludf.DUMMYFUNCTION("""COMPUTED_VALUE"""),"Pinsir")</f>
        <v>Pinsir</v>
      </c>
      <c r="B128" s="84" t="str">
        <f>IFERROR(__xludf.DUMMYFUNCTION("""COMPUTED_VALUE"""),"Dexter")</f>
        <v>Dexter</v>
      </c>
      <c r="C128" s="129" t="str">
        <f>IFERROR(__xludf.DUMMYFUNCTION("""COMPUTED_VALUE"""),"https://imgur.com/a/VfGDmhy")</f>
        <v>https://imgur.com/a/VfGDmhy</v>
      </c>
      <c r="D128" s="84"/>
      <c r="E128" s="130"/>
      <c r="F128" s="84"/>
      <c r="G128" s="130"/>
    </row>
    <row r="129">
      <c r="A129" s="11" t="str">
        <f>IFERROR(__xludf.DUMMYFUNCTION("""COMPUTED_VALUE"""),"Tauros")</f>
        <v>Tauros</v>
      </c>
      <c r="B129" s="84" t="str">
        <f>IFERROR(__xludf.DUMMYFUNCTION("""COMPUTED_VALUE"""),"Riley")</f>
        <v>Riley</v>
      </c>
      <c r="C129" s="129" t="str">
        <f>IFERROR(__xludf.DUMMYFUNCTION("""COMPUTED_VALUE"""),"https://imgur.com/a/IEK8k14")</f>
        <v>https://imgur.com/a/IEK8k14</v>
      </c>
      <c r="D129" s="84"/>
      <c r="E129" s="130"/>
      <c r="F129" s="84"/>
      <c r="G129" s="130"/>
    </row>
    <row r="130">
      <c r="A130" s="11" t="str">
        <f>IFERROR(__xludf.DUMMYFUNCTION("""COMPUTED_VALUE"""),"Magikarp")</f>
        <v>Magikarp</v>
      </c>
      <c r="B130" s="84"/>
      <c r="C130" s="130"/>
      <c r="D130" s="84"/>
      <c r="E130" s="130"/>
      <c r="F130" s="84"/>
      <c r="G130" s="130"/>
    </row>
    <row r="131">
      <c r="A131" s="11" t="str">
        <f>IFERROR(__xludf.DUMMYFUNCTION("""COMPUTED_VALUE"""),"Gyarados")</f>
        <v>Gyarados</v>
      </c>
      <c r="B131" s="84"/>
      <c r="C131" s="130"/>
      <c r="D131" s="84"/>
      <c r="E131" s="130"/>
      <c r="F131" s="84"/>
      <c r="G131" s="130"/>
    </row>
    <row r="132">
      <c r="A132" s="11" t="str">
        <f>IFERROR(__xludf.DUMMYFUNCTION("""COMPUTED_VALUE"""),"Lapras")</f>
        <v>Lapras</v>
      </c>
      <c r="B132" s="84" t="str">
        <f>IFERROR(__xludf.DUMMYFUNCTION("""COMPUTED_VALUE"""),"Coral")</f>
        <v>Coral</v>
      </c>
      <c r="C132" s="129" t="str">
        <f>IFERROR(__xludf.DUMMYFUNCTION("""COMPUTED_VALUE"""),"https://imgur.com/a/IuuAQLl")</f>
        <v>https://imgur.com/a/IuuAQLl</v>
      </c>
      <c r="D132" s="84"/>
      <c r="E132" s="130"/>
      <c r="F132" s="84"/>
      <c r="G132" s="130"/>
    </row>
    <row r="133">
      <c r="A133" s="11" t="str">
        <f>IFERROR(__xludf.DUMMYFUNCTION("""COMPUTED_VALUE"""),"Ditto")</f>
        <v>Ditto</v>
      </c>
      <c r="B133" s="84" t="str">
        <f>IFERROR(__xludf.DUMMYFUNCTION("""COMPUTED_VALUE"""),"Dr. Oliveira")</f>
        <v>Dr. Oliveira</v>
      </c>
      <c r="C133" s="129" t="str">
        <f>IFERROR(__xludf.DUMMYFUNCTION("""COMPUTED_VALUE"""),"https://imgur.com/a/bVsObWr")</f>
        <v>https://imgur.com/a/bVsObWr</v>
      </c>
      <c r="D133" s="84"/>
      <c r="E133" s="130"/>
      <c r="F133" s="84"/>
      <c r="G133" s="130"/>
    </row>
    <row r="134">
      <c r="A134" s="11" t="str">
        <f>IFERROR(__xludf.DUMMYFUNCTION("""COMPUTED_VALUE"""),"Eevee")</f>
        <v>Eevee</v>
      </c>
      <c r="B134" s="84"/>
      <c r="C134" s="130"/>
      <c r="D134" s="84"/>
      <c r="E134" s="130"/>
      <c r="F134" s="84"/>
      <c r="G134" s="130"/>
    </row>
    <row r="135">
      <c r="A135" s="11" t="str">
        <f>IFERROR(__xludf.DUMMYFUNCTION("""COMPUTED_VALUE"""),"Vaporeon")</f>
        <v>Vaporeon</v>
      </c>
      <c r="B135" s="84"/>
      <c r="C135" s="130"/>
      <c r="D135" s="84"/>
      <c r="E135" s="130"/>
      <c r="F135" s="84"/>
      <c r="G135" s="130"/>
    </row>
    <row r="136">
      <c r="A136" s="11" t="str">
        <f>IFERROR(__xludf.DUMMYFUNCTION("""COMPUTED_VALUE"""),"Jolteon")</f>
        <v>Jolteon</v>
      </c>
      <c r="B136" s="84"/>
      <c r="C136" s="130"/>
      <c r="D136" s="84"/>
      <c r="E136" s="130"/>
      <c r="F136" s="84"/>
      <c r="G136" s="130"/>
    </row>
    <row r="137">
      <c r="A137" s="11" t="str">
        <f>IFERROR(__xludf.DUMMYFUNCTION("""COMPUTED_VALUE"""),"Flareon")</f>
        <v>Flareon</v>
      </c>
      <c r="B137" s="84"/>
      <c r="C137" s="130"/>
      <c r="D137" s="84"/>
      <c r="E137" s="130"/>
      <c r="F137" s="84"/>
      <c r="G137" s="130"/>
    </row>
    <row r="138">
      <c r="A138" s="11" t="str">
        <f>IFERROR(__xludf.DUMMYFUNCTION("""COMPUTED_VALUE"""),"Porygon")</f>
        <v>Porygon</v>
      </c>
      <c r="B138" s="84"/>
      <c r="C138" s="130"/>
      <c r="D138" s="84"/>
      <c r="E138" s="130"/>
      <c r="F138" s="84"/>
      <c r="G138" s="130"/>
    </row>
    <row r="139">
      <c r="A139" s="11" t="str">
        <f>IFERROR(__xludf.DUMMYFUNCTION("""COMPUTED_VALUE"""),"Omanyte")</f>
        <v>Omanyte</v>
      </c>
      <c r="B139" s="84"/>
      <c r="C139" s="130"/>
      <c r="D139" s="84"/>
      <c r="E139" s="130"/>
      <c r="F139" s="84"/>
      <c r="G139" s="130"/>
    </row>
    <row r="140">
      <c r="A140" s="11" t="str">
        <f>IFERROR(__xludf.DUMMYFUNCTION("""COMPUTED_VALUE"""),"Omastar")</f>
        <v>Omastar</v>
      </c>
      <c r="B140" s="84"/>
      <c r="C140" s="130"/>
      <c r="D140" s="84"/>
      <c r="E140" s="130"/>
      <c r="F140" s="84"/>
      <c r="G140" s="130"/>
    </row>
    <row r="141">
      <c r="A141" s="11" t="str">
        <f>IFERROR(__xludf.DUMMYFUNCTION("""COMPUTED_VALUE"""),"Kabuto")</f>
        <v>Kabuto</v>
      </c>
      <c r="B141" s="84"/>
      <c r="C141" s="130"/>
      <c r="D141" s="84"/>
      <c r="E141" s="130"/>
      <c r="F141" s="84"/>
      <c r="G141" s="130"/>
    </row>
    <row r="142">
      <c r="A142" s="11" t="str">
        <f>IFERROR(__xludf.DUMMYFUNCTION("""COMPUTED_VALUE"""),"Kabutops")</f>
        <v>Kabutops</v>
      </c>
      <c r="B142" s="84"/>
      <c r="C142" s="130"/>
      <c r="D142" s="84"/>
      <c r="E142" s="130"/>
      <c r="F142" s="84"/>
      <c r="G142" s="130"/>
    </row>
    <row r="143">
      <c r="A143" s="11" t="str">
        <f>IFERROR(__xludf.DUMMYFUNCTION("""COMPUTED_VALUE"""),"Aerodactyl")</f>
        <v>Aerodactyl</v>
      </c>
      <c r="B143" s="84"/>
      <c r="C143" s="130"/>
      <c r="D143" s="84"/>
      <c r="E143" s="130"/>
      <c r="F143" s="84"/>
      <c r="G143" s="130"/>
    </row>
    <row r="144">
      <c r="A144" s="11" t="str">
        <f>IFERROR(__xludf.DUMMYFUNCTION("""COMPUTED_VALUE"""),"Snorlax")</f>
        <v>Snorlax</v>
      </c>
      <c r="B144" s="84" t="str">
        <f>IFERROR(__xludf.DUMMYFUNCTION("""COMPUTED_VALUE"""),"Doris")</f>
        <v>Doris</v>
      </c>
      <c r="C144" s="129" t="str">
        <f>IFERROR(__xludf.DUMMYFUNCTION("""COMPUTED_VALUE"""),"https://imgur.com/a/8FonsNS")</f>
        <v>https://imgur.com/a/8FonsNS</v>
      </c>
      <c r="D144" s="84"/>
      <c r="E144" s="130"/>
      <c r="F144" s="84"/>
      <c r="G144" s="130"/>
    </row>
    <row r="145">
      <c r="A145" s="11" t="str">
        <f>IFERROR(__xludf.DUMMYFUNCTION("""COMPUTED_VALUE"""),"Articuno")</f>
        <v>Articuno</v>
      </c>
      <c r="B145" s="84"/>
      <c r="C145" s="130"/>
      <c r="D145" s="84"/>
      <c r="E145" s="130"/>
      <c r="F145" s="84"/>
      <c r="G145" s="130"/>
    </row>
    <row r="146">
      <c r="A146" s="11" t="str">
        <f>IFERROR(__xludf.DUMMYFUNCTION("""COMPUTED_VALUE"""),"Zapdos")</f>
        <v>Zapdos</v>
      </c>
      <c r="B146" s="84"/>
      <c r="C146" s="130"/>
      <c r="D146" s="84"/>
      <c r="E146" s="130"/>
      <c r="F146" s="84"/>
      <c r="G146" s="130"/>
    </row>
    <row r="147">
      <c r="A147" s="11" t="str">
        <f>IFERROR(__xludf.DUMMYFUNCTION("""COMPUTED_VALUE"""),"Moltres")</f>
        <v>Moltres</v>
      </c>
      <c r="B147" s="84"/>
      <c r="C147" s="130"/>
      <c r="D147" s="84"/>
      <c r="E147" s="130"/>
      <c r="F147" s="84"/>
      <c r="G147" s="130"/>
    </row>
    <row r="148">
      <c r="A148" s="11" t="str">
        <f>IFERROR(__xludf.DUMMYFUNCTION("""COMPUTED_VALUE"""),"Dratini")</f>
        <v>Dratini</v>
      </c>
      <c r="B148" s="84"/>
      <c r="C148" s="130"/>
      <c r="D148" s="84"/>
      <c r="E148" s="130"/>
      <c r="F148" s="84"/>
      <c r="G148" s="130"/>
    </row>
    <row r="149">
      <c r="A149" s="11" t="str">
        <f>IFERROR(__xludf.DUMMYFUNCTION("""COMPUTED_VALUE"""),"Dragonair")</f>
        <v>Dragonair</v>
      </c>
      <c r="B149" s="84" t="str">
        <f>IFERROR(__xludf.DUMMYFUNCTION("""COMPUTED_VALUE"""),"Scarlet")</f>
        <v>Scarlet</v>
      </c>
      <c r="C149" s="129" t="str">
        <f>IFERROR(__xludf.DUMMYFUNCTION("""COMPUTED_VALUE"""),"https://imgur.com/a/D2LbysH")</f>
        <v>https://imgur.com/a/D2LbysH</v>
      </c>
      <c r="D149" s="84"/>
      <c r="E149" s="130"/>
      <c r="F149" s="84"/>
      <c r="G149" s="130"/>
    </row>
    <row r="150">
      <c r="A150" s="11" t="str">
        <f>IFERROR(__xludf.DUMMYFUNCTION("""COMPUTED_VALUE"""),"Dragonite")</f>
        <v>Dragonite</v>
      </c>
      <c r="B150" s="84"/>
      <c r="C150" s="130"/>
      <c r="D150" s="84"/>
      <c r="E150" s="130"/>
      <c r="F150" s="84"/>
      <c r="G150" s="130"/>
    </row>
    <row r="151">
      <c r="A151" s="11" t="str">
        <f>IFERROR(__xludf.DUMMYFUNCTION("""COMPUTED_VALUE"""),"Mewtwo")</f>
        <v>Mewtwo</v>
      </c>
      <c r="B151" s="84"/>
      <c r="C151" s="130"/>
      <c r="D151" s="84"/>
      <c r="E151" s="130"/>
      <c r="F151" s="84"/>
      <c r="G151" s="130"/>
    </row>
    <row r="152">
      <c r="A152" s="11" t="str">
        <f>IFERROR(__xludf.DUMMYFUNCTION("""COMPUTED_VALUE"""),"Mew")</f>
        <v>Mew</v>
      </c>
      <c r="B152" s="84"/>
      <c r="C152" s="130"/>
      <c r="D152" s="84"/>
      <c r="E152" s="130"/>
      <c r="F152" s="84"/>
      <c r="G152" s="130"/>
    </row>
    <row r="153">
      <c r="A153" s="11" t="str">
        <f>IFERROR(__xludf.DUMMYFUNCTION("""COMPUTED_VALUE"""),"Chikorita")</f>
        <v>Chikorita</v>
      </c>
      <c r="B153" s="84"/>
      <c r="C153" s="130"/>
      <c r="D153" s="84"/>
      <c r="E153" s="130"/>
      <c r="F153" s="84"/>
      <c r="G153" s="130"/>
    </row>
    <row r="154">
      <c r="A154" s="11" t="str">
        <f>IFERROR(__xludf.DUMMYFUNCTION("""COMPUTED_VALUE"""),"Bayleef")</f>
        <v>Bayleef</v>
      </c>
      <c r="B154" s="84"/>
      <c r="C154" s="130"/>
      <c r="D154" s="84"/>
      <c r="E154" s="130"/>
      <c r="F154" s="84"/>
      <c r="G154" s="130"/>
    </row>
    <row r="155">
      <c r="A155" s="11" t="str">
        <f>IFERROR(__xludf.DUMMYFUNCTION("""COMPUTED_VALUE"""),"Meganium")</f>
        <v>Meganium</v>
      </c>
      <c r="B155" s="84" t="str">
        <f>IFERROR(__xludf.DUMMYFUNCTION("""COMPUTED_VALUE"""),"Penelope")</f>
        <v>Penelope</v>
      </c>
      <c r="C155" s="129" t="str">
        <f>IFERROR(__xludf.DUMMYFUNCTION("""COMPUTED_VALUE"""),"https://imgur.com/a/uUDQMYp")</f>
        <v>https://imgur.com/a/uUDQMYp</v>
      </c>
      <c r="D155" s="84"/>
      <c r="E155" s="130"/>
      <c r="F155" s="84"/>
      <c r="G155" s="130"/>
    </row>
    <row r="156">
      <c r="A156" s="11" t="str">
        <f>IFERROR(__xludf.DUMMYFUNCTION("""COMPUTED_VALUE"""),"Cyndaquil")</f>
        <v>Cyndaquil</v>
      </c>
      <c r="B156" s="84"/>
      <c r="C156" s="130"/>
      <c r="D156" s="84"/>
      <c r="E156" s="130"/>
      <c r="F156" s="84"/>
      <c r="G156" s="130"/>
    </row>
    <row r="157">
      <c r="A157" s="11" t="str">
        <f>IFERROR(__xludf.DUMMYFUNCTION("""COMPUTED_VALUE"""),"Quilava")</f>
        <v>Quilava</v>
      </c>
      <c r="B157" s="84"/>
      <c r="C157" s="130"/>
      <c r="D157" s="84"/>
      <c r="E157" s="130"/>
      <c r="F157" s="84"/>
      <c r="G157" s="130"/>
    </row>
    <row r="158">
      <c r="A158" s="11" t="str">
        <f>IFERROR(__xludf.DUMMYFUNCTION("""COMPUTED_VALUE"""),"Typhlosion")</f>
        <v>Typhlosion</v>
      </c>
      <c r="B158" s="84"/>
      <c r="C158" s="130"/>
      <c r="D158" s="84"/>
      <c r="E158" s="130"/>
      <c r="F158" s="84"/>
      <c r="G158" s="130"/>
    </row>
    <row r="159">
      <c r="A159" s="11" t="str">
        <f>IFERROR(__xludf.DUMMYFUNCTION("""COMPUTED_VALUE"""),"Totodile")</f>
        <v>Totodile</v>
      </c>
      <c r="B159" s="84"/>
      <c r="C159" s="130"/>
      <c r="D159" s="84"/>
      <c r="E159" s="130"/>
      <c r="F159" s="84"/>
      <c r="G159" s="130"/>
    </row>
    <row r="160">
      <c r="A160" s="11" t="str">
        <f>IFERROR(__xludf.DUMMYFUNCTION("""COMPUTED_VALUE"""),"Croconaw")</f>
        <v>Croconaw</v>
      </c>
      <c r="B160" s="84"/>
      <c r="C160" s="130"/>
      <c r="D160" s="84"/>
      <c r="E160" s="130"/>
      <c r="F160" s="84"/>
      <c r="G160" s="130"/>
    </row>
    <row r="161">
      <c r="A161" s="11" t="str">
        <f>IFERROR(__xludf.DUMMYFUNCTION("""COMPUTED_VALUE"""),"Feraligatr")</f>
        <v>Feraligatr</v>
      </c>
      <c r="B161" s="84"/>
      <c r="C161" s="130"/>
      <c r="D161" s="84"/>
      <c r="E161" s="130"/>
      <c r="F161" s="84"/>
      <c r="G161" s="130"/>
    </row>
    <row r="162">
      <c r="A162" s="11" t="str">
        <f>IFERROR(__xludf.DUMMYFUNCTION("""COMPUTED_VALUE"""),"Sentret")</f>
        <v>Sentret</v>
      </c>
      <c r="B162" s="84"/>
      <c r="C162" s="130"/>
      <c r="D162" s="84"/>
      <c r="E162" s="130"/>
      <c r="F162" s="84"/>
      <c r="G162" s="130"/>
    </row>
    <row r="163">
      <c r="A163" s="11" t="str">
        <f>IFERROR(__xludf.DUMMYFUNCTION("""COMPUTED_VALUE"""),"Furret")</f>
        <v>Furret</v>
      </c>
      <c r="B163" s="84"/>
      <c r="C163" s="130"/>
      <c r="D163" s="84"/>
      <c r="E163" s="130"/>
      <c r="F163" s="84"/>
      <c r="G163" s="130"/>
    </row>
    <row r="164">
      <c r="A164" s="11" t="str">
        <f>IFERROR(__xludf.DUMMYFUNCTION("""COMPUTED_VALUE"""),"Hoothoot")</f>
        <v>Hoothoot</v>
      </c>
      <c r="B164" s="84"/>
      <c r="C164" s="130"/>
      <c r="D164" s="84"/>
      <c r="E164" s="130"/>
      <c r="F164" s="84"/>
      <c r="G164" s="130"/>
    </row>
    <row r="165">
      <c r="A165" s="11" t="str">
        <f>IFERROR(__xludf.DUMMYFUNCTION("""COMPUTED_VALUE"""),"Noctowl")</f>
        <v>Noctowl</v>
      </c>
      <c r="B165" s="84"/>
      <c r="C165" s="130"/>
      <c r="D165" s="84"/>
      <c r="E165" s="130"/>
      <c r="F165" s="84"/>
      <c r="G165" s="130"/>
    </row>
    <row r="166">
      <c r="A166" s="11" t="str">
        <f>IFERROR(__xludf.DUMMYFUNCTION("""COMPUTED_VALUE"""),"Ledyba")</f>
        <v>Ledyba</v>
      </c>
      <c r="B166" s="84"/>
      <c r="C166" s="130"/>
      <c r="D166" s="84"/>
      <c r="E166" s="130"/>
      <c r="F166" s="84"/>
      <c r="G166" s="130"/>
    </row>
    <row r="167">
      <c r="A167" s="11" t="str">
        <f>IFERROR(__xludf.DUMMYFUNCTION("""COMPUTED_VALUE"""),"Ledian")</f>
        <v>Ledian</v>
      </c>
      <c r="B167" s="84"/>
      <c r="C167" s="130"/>
      <c r="D167" s="84"/>
      <c r="E167" s="130"/>
      <c r="F167" s="84"/>
      <c r="G167" s="130"/>
    </row>
    <row r="168">
      <c r="A168" s="11" t="str">
        <f>IFERROR(__xludf.DUMMYFUNCTION("""COMPUTED_VALUE"""),"Spinarak")</f>
        <v>Spinarak</v>
      </c>
      <c r="B168" s="84"/>
      <c r="C168" s="130"/>
      <c r="D168" s="84"/>
      <c r="E168" s="130"/>
      <c r="F168" s="84"/>
      <c r="G168" s="130"/>
    </row>
    <row r="169">
      <c r="A169" s="11" t="str">
        <f>IFERROR(__xludf.DUMMYFUNCTION("""COMPUTED_VALUE"""),"Ariados")</f>
        <v>Ariados</v>
      </c>
      <c r="B169" s="84"/>
      <c r="C169" s="130"/>
      <c r="D169" s="84"/>
      <c r="E169" s="130"/>
      <c r="F169" s="84"/>
      <c r="G169" s="130"/>
    </row>
    <row r="170">
      <c r="A170" s="11" t="str">
        <f>IFERROR(__xludf.DUMMYFUNCTION("""COMPUTED_VALUE"""),"Crobat")</f>
        <v>Crobat</v>
      </c>
      <c r="B170" s="84"/>
      <c r="C170" s="130"/>
      <c r="D170" s="84"/>
      <c r="E170" s="130"/>
      <c r="F170" s="84"/>
      <c r="G170" s="130"/>
    </row>
    <row r="171">
      <c r="A171" s="11" t="str">
        <f>IFERROR(__xludf.DUMMYFUNCTION("""COMPUTED_VALUE"""),"Chinchou")</f>
        <v>Chinchou</v>
      </c>
      <c r="B171" s="84"/>
      <c r="C171" s="130"/>
      <c r="D171" s="84"/>
      <c r="E171" s="130"/>
      <c r="F171" s="84"/>
      <c r="G171" s="130"/>
    </row>
    <row r="172">
      <c r="A172" s="11" t="str">
        <f>IFERROR(__xludf.DUMMYFUNCTION("""COMPUTED_VALUE"""),"Lanturn")</f>
        <v>Lanturn</v>
      </c>
      <c r="B172" s="84"/>
      <c r="C172" s="130"/>
      <c r="D172" s="84"/>
      <c r="E172" s="130"/>
      <c r="F172" s="84"/>
      <c r="G172" s="130"/>
    </row>
    <row r="173">
      <c r="A173" s="11" t="str">
        <f>IFERROR(__xludf.DUMMYFUNCTION("""COMPUTED_VALUE"""),"Pichu")</f>
        <v>Pichu</v>
      </c>
      <c r="B173" s="84"/>
      <c r="C173" s="130"/>
      <c r="D173" s="84"/>
      <c r="E173" s="130"/>
      <c r="F173" s="84"/>
      <c r="G173" s="130"/>
    </row>
    <row r="174">
      <c r="A174" s="11" t="str">
        <f>IFERROR(__xludf.DUMMYFUNCTION("""COMPUTED_VALUE"""),"Cleffa")</f>
        <v>Cleffa</v>
      </c>
      <c r="B174" s="84"/>
      <c r="C174" s="130"/>
      <c r="D174" s="84"/>
      <c r="E174" s="130"/>
      <c r="F174" s="84"/>
      <c r="G174" s="130"/>
    </row>
    <row r="175">
      <c r="A175" s="11" t="str">
        <f>IFERROR(__xludf.DUMMYFUNCTION("""COMPUTED_VALUE"""),"Igglybuff")</f>
        <v>Igglybuff</v>
      </c>
      <c r="B175" s="84"/>
      <c r="C175" s="130"/>
      <c r="D175" s="84"/>
      <c r="E175" s="130"/>
      <c r="F175" s="84"/>
      <c r="G175" s="130"/>
    </row>
    <row r="176">
      <c r="A176" s="11" t="str">
        <f>IFERROR(__xludf.DUMMYFUNCTION("""COMPUTED_VALUE"""),"Togepi")</f>
        <v>Togepi</v>
      </c>
      <c r="B176" s="84"/>
      <c r="C176" s="130"/>
      <c r="D176" s="84"/>
      <c r="E176" s="130"/>
      <c r="F176" s="84"/>
      <c r="G176" s="130"/>
    </row>
    <row r="177">
      <c r="A177" s="11" t="str">
        <f>IFERROR(__xludf.DUMMYFUNCTION("""COMPUTED_VALUE"""),"Togetic")</f>
        <v>Togetic</v>
      </c>
      <c r="B177" s="84"/>
      <c r="C177" s="130"/>
      <c r="D177" s="84"/>
      <c r="E177" s="130"/>
      <c r="F177" s="84"/>
      <c r="G177" s="130"/>
    </row>
    <row r="178">
      <c r="A178" s="11" t="str">
        <f>IFERROR(__xludf.DUMMYFUNCTION("""COMPUTED_VALUE"""),"Natu")</f>
        <v>Natu</v>
      </c>
      <c r="B178" s="84"/>
      <c r="C178" s="130"/>
      <c r="D178" s="84"/>
      <c r="E178" s="130"/>
      <c r="F178" s="84"/>
      <c r="G178" s="130"/>
    </row>
    <row r="179">
      <c r="A179" s="11" t="str">
        <f>IFERROR(__xludf.DUMMYFUNCTION("""COMPUTED_VALUE"""),"Xatu")</f>
        <v>Xatu</v>
      </c>
      <c r="B179" s="84"/>
      <c r="C179" s="130"/>
      <c r="D179" s="84"/>
      <c r="E179" s="130"/>
      <c r="F179" s="84"/>
      <c r="G179" s="130"/>
    </row>
    <row r="180">
      <c r="A180" s="11" t="str">
        <f>IFERROR(__xludf.DUMMYFUNCTION("""COMPUTED_VALUE"""),"Mareep")</f>
        <v>Mareep</v>
      </c>
      <c r="B180" s="84"/>
      <c r="C180" s="130"/>
      <c r="D180" s="84"/>
      <c r="E180" s="130"/>
      <c r="F180" s="84"/>
      <c r="G180" s="130"/>
    </row>
    <row r="181">
      <c r="A181" s="11" t="str">
        <f>IFERROR(__xludf.DUMMYFUNCTION("""COMPUTED_VALUE"""),"Flaaffy")</f>
        <v>Flaaffy</v>
      </c>
      <c r="B181" s="84"/>
      <c r="C181" s="130"/>
      <c r="D181" s="84"/>
      <c r="E181" s="130"/>
      <c r="F181" s="84"/>
      <c r="G181" s="130"/>
    </row>
    <row r="182">
      <c r="A182" s="11" t="str">
        <f>IFERROR(__xludf.DUMMYFUNCTION("""COMPUTED_VALUE"""),"Ampharos")</f>
        <v>Ampharos</v>
      </c>
      <c r="B182" s="84"/>
      <c r="C182" s="130"/>
      <c r="D182" s="84"/>
      <c r="E182" s="130"/>
      <c r="F182" s="84"/>
      <c r="G182" s="130"/>
    </row>
    <row r="183">
      <c r="A183" s="11" t="str">
        <f>IFERROR(__xludf.DUMMYFUNCTION("""COMPUTED_VALUE"""),"Bellossom")</f>
        <v>Bellossom</v>
      </c>
      <c r="B183" s="84"/>
      <c r="C183" s="130"/>
      <c r="D183" s="84"/>
      <c r="E183" s="130"/>
      <c r="F183" s="84"/>
      <c r="G183" s="130"/>
    </row>
    <row r="184">
      <c r="A184" s="11" t="str">
        <f>IFERROR(__xludf.DUMMYFUNCTION("""COMPUTED_VALUE"""),"Marill")</f>
        <v>Marill</v>
      </c>
      <c r="B184" s="84"/>
      <c r="C184" s="130"/>
      <c r="D184" s="84"/>
      <c r="E184" s="130"/>
      <c r="F184" s="84"/>
      <c r="G184" s="130"/>
    </row>
    <row r="185">
      <c r="A185" s="11" t="str">
        <f>IFERROR(__xludf.DUMMYFUNCTION("""COMPUTED_VALUE"""),"Azumarill")</f>
        <v>Azumarill</v>
      </c>
      <c r="B185" s="84"/>
      <c r="C185" s="130"/>
      <c r="D185" s="84"/>
      <c r="E185" s="130"/>
      <c r="F185" s="84"/>
      <c r="G185" s="130"/>
    </row>
    <row r="186">
      <c r="A186" s="11" t="str">
        <f>IFERROR(__xludf.DUMMYFUNCTION("""COMPUTED_VALUE"""),"Sudowoodo")</f>
        <v>Sudowoodo</v>
      </c>
      <c r="B186" s="84"/>
      <c r="C186" s="130"/>
      <c r="D186" s="84"/>
      <c r="E186" s="130"/>
      <c r="F186" s="84"/>
      <c r="G186" s="130"/>
    </row>
    <row r="187">
      <c r="A187" s="11" t="str">
        <f>IFERROR(__xludf.DUMMYFUNCTION("""COMPUTED_VALUE"""),"Politoed")</f>
        <v>Politoed</v>
      </c>
      <c r="B187" s="84"/>
      <c r="C187" s="130"/>
      <c r="D187" s="84"/>
      <c r="E187" s="130"/>
      <c r="F187" s="84"/>
      <c r="G187" s="130"/>
    </row>
    <row r="188">
      <c r="A188" s="11" t="str">
        <f>IFERROR(__xludf.DUMMYFUNCTION("""COMPUTED_VALUE"""),"Hoppip")</f>
        <v>Hoppip</v>
      </c>
      <c r="B188" s="84"/>
      <c r="C188" s="130"/>
      <c r="D188" s="84"/>
      <c r="E188" s="130"/>
      <c r="F188" s="84"/>
      <c r="G188" s="130"/>
    </row>
    <row r="189">
      <c r="A189" s="11" t="str">
        <f>IFERROR(__xludf.DUMMYFUNCTION("""COMPUTED_VALUE"""),"Skiploom")</f>
        <v>Skiploom</v>
      </c>
      <c r="B189" s="84"/>
      <c r="C189" s="130"/>
      <c r="D189" s="84"/>
      <c r="E189" s="130"/>
      <c r="F189" s="84"/>
      <c r="G189" s="130"/>
    </row>
    <row r="190">
      <c r="A190" s="11" t="str">
        <f>IFERROR(__xludf.DUMMYFUNCTION("""COMPUTED_VALUE"""),"Jumpluff")</f>
        <v>Jumpluff</v>
      </c>
      <c r="B190" s="84"/>
      <c r="C190" s="130"/>
      <c r="D190" s="84"/>
      <c r="E190" s="130"/>
      <c r="F190" s="84"/>
      <c r="G190" s="130"/>
    </row>
    <row r="191">
      <c r="A191" s="11" t="str">
        <f>IFERROR(__xludf.DUMMYFUNCTION("""COMPUTED_VALUE"""),"Aipom")</f>
        <v>Aipom</v>
      </c>
      <c r="B191" s="84"/>
      <c r="C191" s="130"/>
      <c r="D191" s="84"/>
      <c r="E191" s="130"/>
      <c r="F191" s="84"/>
      <c r="G191" s="130"/>
    </row>
    <row r="192">
      <c r="A192" s="11" t="str">
        <f>IFERROR(__xludf.DUMMYFUNCTION("""COMPUTED_VALUE"""),"Sunkern")</f>
        <v>Sunkern</v>
      </c>
      <c r="B192" s="84"/>
      <c r="C192" s="130"/>
      <c r="D192" s="84"/>
      <c r="E192" s="130"/>
      <c r="F192" s="84"/>
      <c r="G192" s="130"/>
    </row>
    <row r="193">
      <c r="A193" s="11" t="str">
        <f>IFERROR(__xludf.DUMMYFUNCTION("""COMPUTED_VALUE"""),"Sunflora")</f>
        <v>Sunflora</v>
      </c>
      <c r="B193" s="84"/>
      <c r="C193" s="130"/>
      <c r="D193" s="84"/>
      <c r="E193" s="130"/>
      <c r="F193" s="84"/>
      <c r="G193" s="130"/>
    </row>
    <row r="194">
      <c r="A194" s="11" t="str">
        <f>IFERROR(__xludf.DUMMYFUNCTION("""COMPUTED_VALUE"""),"Yanma")</f>
        <v>Yanma</v>
      </c>
      <c r="B194" s="84"/>
      <c r="C194" s="130"/>
      <c r="D194" s="84"/>
      <c r="E194" s="130"/>
      <c r="F194" s="84"/>
      <c r="G194" s="130"/>
    </row>
    <row r="195">
      <c r="A195" s="11" t="str">
        <f>IFERROR(__xludf.DUMMYFUNCTION("""COMPUTED_VALUE"""),"Wooper")</f>
        <v>Wooper</v>
      </c>
      <c r="B195" s="84"/>
      <c r="C195" s="130"/>
      <c r="D195" s="84"/>
      <c r="E195" s="130"/>
      <c r="F195" s="84"/>
      <c r="G195" s="130"/>
    </row>
    <row r="196">
      <c r="A196" s="11" t="str">
        <f>IFERROR(__xludf.DUMMYFUNCTION("""COMPUTED_VALUE"""),"Quagsire")</f>
        <v>Quagsire</v>
      </c>
      <c r="B196" s="84"/>
      <c r="C196" s="130"/>
      <c r="D196" s="84"/>
      <c r="E196" s="130"/>
      <c r="F196" s="84"/>
      <c r="G196" s="130"/>
    </row>
    <row r="197">
      <c r="A197" s="11" t="str">
        <f>IFERROR(__xludf.DUMMYFUNCTION("""COMPUTED_VALUE"""),"Espeon")</f>
        <v>Espeon</v>
      </c>
      <c r="B197" s="84"/>
      <c r="C197" s="130"/>
      <c r="D197" s="84"/>
      <c r="E197" s="130"/>
      <c r="F197" s="84"/>
      <c r="G197" s="130"/>
    </row>
    <row r="198">
      <c r="A198" s="11" t="str">
        <f>IFERROR(__xludf.DUMMYFUNCTION("""COMPUTED_VALUE"""),"Umbreon")</f>
        <v>Umbreon</v>
      </c>
      <c r="B198" s="84"/>
      <c r="C198" s="130"/>
      <c r="D198" s="84"/>
      <c r="E198" s="130"/>
      <c r="F198" s="84"/>
      <c r="G198" s="130"/>
    </row>
    <row r="199">
      <c r="A199" s="11" t="str">
        <f>IFERROR(__xludf.DUMMYFUNCTION("""COMPUTED_VALUE"""),"Murkrow")</f>
        <v>Murkrow</v>
      </c>
      <c r="B199" s="84"/>
      <c r="C199" s="130"/>
      <c r="D199" s="84"/>
      <c r="E199" s="130"/>
      <c r="F199" s="84"/>
      <c r="G199" s="130"/>
    </row>
    <row r="200">
      <c r="A200" s="11" t="str">
        <f>IFERROR(__xludf.DUMMYFUNCTION("""COMPUTED_VALUE"""),"Slowking")</f>
        <v>Slowking</v>
      </c>
      <c r="B200" s="84"/>
      <c r="C200" s="130"/>
      <c r="D200" s="84"/>
      <c r="E200" s="130"/>
      <c r="F200" s="84"/>
      <c r="G200" s="130"/>
    </row>
    <row r="201">
      <c r="A201" s="11" t="str">
        <f>IFERROR(__xludf.DUMMYFUNCTION("""COMPUTED_VALUE"""),"Misdreavus")</f>
        <v>Misdreavus</v>
      </c>
      <c r="B201" s="84" t="str">
        <f>IFERROR(__xludf.DUMMYFUNCTION("""COMPUTED_VALUE"""),"Mia")</f>
        <v>Mia</v>
      </c>
      <c r="C201" s="129" t="str">
        <f>IFERROR(__xludf.DUMMYFUNCTION("""COMPUTED_VALUE"""),"https://imgur.com/a/PBPp44A")</f>
        <v>https://imgur.com/a/PBPp44A</v>
      </c>
      <c r="D201" s="84" t="str">
        <f>IFERROR(__xludf.DUMMYFUNCTION("""COMPUTED_VALUE"""),"Wendy")</f>
        <v>Wendy</v>
      </c>
      <c r="E201" s="129" t="str">
        <f>IFERROR(__xludf.DUMMYFUNCTION("""COMPUTED_VALUE"""),"https://imgur.com/a/cDdMYdF")</f>
        <v>https://imgur.com/a/cDdMYdF</v>
      </c>
      <c r="F201" s="84"/>
      <c r="G201" s="130"/>
    </row>
    <row r="202">
      <c r="A202" s="11" t="str">
        <f>IFERROR(__xludf.DUMMYFUNCTION("""COMPUTED_VALUE"""),"Unown")</f>
        <v>Unown</v>
      </c>
      <c r="B202" s="84"/>
      <c r="C202" s="130"/>
      <c r="D202" s="84"/>
      <c r="E202" s="130"/>
      <c r="F202" s="84"/>
      <c r="G202" s="130"/>
    </row>
    <row r="203">
      <c r="A203" s="11" t="str">
        <f>IFERROR(__xludf.DUMMYFUNCTION("""COMPUTED_VALUE"""),"Wobbuffet")</f>
        <v>Wobbuffet</v>
      </c>
      <c r="B203" s="84" t="str">
        <f>IFERROR(__xludf.DUMMYFUNCTION("""COMPUTED_VALUE"""),"Wanda")</f>
        <v>Wanda</v>
      </c>
      <c r="C203" s="129" t="str">
        <f>IFERROR(__xludf.DUMMYFUNCTION("""COMPUTED_VALUE"""),"https://imgur.com/a/QY7kylO")</f>
        <v>https://imgur.com/a/QY7kylO</v>
      </c>
      <c r="D203" s="84"/>
      <c r="E203" s="130"/>
      <c r="F203" s="84"/>
      <c r="G203" s="130"/>
    </row>
    <row r="204">
      <c r="A204" s="11" t="str">
        <f>IFERROR(__xludf.DUMMYFUNCTION("""COMPUTED_VALUE"""),"Girafarig")</f>
        <v>Girafarig</v>
      </c>
      <c r="B204" s="84"/>
      <c r="C204" s="130"/>
      <c r="D204" s="84"/>
      <c r="E204" s="130"/>
      <c r="F204" s="84"/>
      <c r="G204" s="130"/>
    </row>
    <row r="205">
      <c r="A205" s="11" t="str">
        <f>IFERROR(__xludf.DUMMYFUNCTION("""COMPUTED_VALUE"""),"Pineco")</f>
        <v>Pineco</v>
      </c>
      <c r="B205" s="84"/>
      <c r="C205" s="130"/>
      <c r="D205" s="84"/>
      <c r="E205" s="130"/>
      <c r="F205" s="84"/>
      <c r="G205" s="130"/>
    </row>
    <row r="206">
      <c r="A206" s="11" t="str">
        <f>IFERROR(__xludf.DUMMYFUNCTION("""COMPUTED_VALUE"""),"Forretress")</f>
        <v>Forretress</v>
      </c>
      <c r="B206" s="84"/>
      <c r="C206" s="130"/>
      <c r="D206" s="84"/>
      <c r="E206" s="130"/>
      <c r="F206" s="84"/>
      <c r="G206" s="130"/>
    </row>
    <row r="207">
      <c r="A207" s="11" t="str">
        <f>IFERROR(__xludf.DUMMYFUNCTION("""COMPUTED_VALUE"""),"Dunsparce")</f>
        <v>Dunsparce</v>
      </c>
      <c r="B207" s="84"/>
      <c r="C207" s="130"/>
      <c r="D207" s="84"/>
      <c r="E207" s="130"/>
      <c r="F207" s="84"/>
      <c r="G207" s="130"/>
    </row>
    <row r="208">
      <c r="A208" s="11" t="str">
        <f>IFERROR(__xludf.DUMMYFUNCTION("""COMPUTED_VALUE"""),"Gligar")</f>
        <v>Gligar</v>
      </c>
      <c r="B208" s="84"/>
      <c r="C208" s="130"/>
      <c r="D208" s="84"/>
      <c r="E208" s="130"/>
      <c r="F208" s="84"/>
      <c r="G208" s="130"/>
    </row>
    <row r="209">
      <c r="A209" s="11" t="str">
        <f>IFERROR(__xludf.DUMMYFUNCTION("""COMPUTED_VALUE"""),"Steelix")</f>
        <v>Steelix</v>
      </c>
      <c r="B209" s="84"/>
      <c r="C209" s="130"/>
      <c r="D209" s="84"/>
      <c r="E209" s="130"/>
      <c r="F209" s="84"/>
      <c r="G209" s="130"/>
    </row>
    <row r="210">
      <c r="A210" s="11" t="str">
        <f>IFERROR(__xludf.DUMMYFUNCTION("""COMPUTED_VALUE"""),"Snubbull")</f>
        <v>Snubbull</v>
      </c>
      <c r="B210" s="84"/>
      <c r="C210" s="130"/>
      <c r="D210" s="84"/>
      <c r="E210" s="130"/>
      <c r="F210" s="84"/>
      <c r="G210" s="130"/>
    </row>
    <row r="211">
      <c r="A211" s="11" t="str">
        <f>IFERROR(__xludf.DUMMYFUNCTION("""COMPUTED_VALUE"""),"Granbull")</f>
        <v>Granbull</v>
      </c>
      <c r="B211" s="84"/>
      <c r="C211" s="130"/>
      <c r="D211" s="84"/>
      <c r="E211" s="130"/>
      <c r="F211" s="84"/>
      <c r="G211" s="130"/>
    </row>
    <row r="212">
      <c r="A212" s="11" t="str">
        <f>IFERROR(__xludf.DUMMYFUNCTION("""COMPUTED_VALUE"""),"Qwilfish")</f>
        <v>Qwilfish</v>
      </c>
      <c r="B212" s="84" t="str">
        <f>IFERROR(__xludf.DUMMYFUNCTION("""COMPUTED_VALUE"""),"Quill")</f>
        <v>Quill</v>
      </c>
      <c r="C212" s="129" t="str">
        <f>IFERROR(__xludf.DUMMYFUNCTION("""COMPUTED_VALUE"""),"https://imgur.com/a/fmnPze7")</f>
        <v>https://imgur.com/a/fmnPze7</v>
      </c>
      <c r="D212" s="84"/>
      <c r="E212" s="130"/>
      <c r="F212" s="84"/>
      <c r="G212" s="130"/>
    </row>
    <row r="213">
      <c r="A213" s="11" t="str">
        <f>IFERROR(__xludf.DUMMYFUNCTION("""COMPUTED_VALUE"""),"Scizor")</f>
        <v>Scizor</v>
      </c>
      <c r="B213" s="84"/>
      <c r="C213" s="130"/>
      <c r="D213" s="84"/>
      <c r="E213" s="130"/>
      <c r="F213" s="84"/>
      <c r="G213" s="130"/>
    </row>
    <row r="214">
      <c r="A214" s="11" t="str">
        <f>IFERROR(__xludf.DUMMYFUNCTION("""COMPUTED_VALUE"""),"Shuckle")</f>
        <v>Shuckle</v>
      </c>
      <c r="B214" s="84"/>
      <c r="C214" s="130"/>
      <c r="D214" s="84"/>
      <c r="E214" s="130"/>
      <c r="F214" s="84"/>
      <c r="G214" s="130"/>
    </row>
    <row r="215">
      <c r="A215" s="11" t="str">
        <f>IFERROR(__xludf.DUMMYFUNCTION("""COMPUTED_VALUE"""),"Heracross")</f>
        <v>Heracross</v>
      </c>
      <c r="B215" s="84" t="str">
        <f>IFERROR(__xludf.DUMMYFUNCTION("""COMPUTED_VALUE"""),"Atlas")</f>
        <v>Atlas</v>
      </c>
      <c r="C215" s="129" t="str">
        <f>IFERROR(__xludf.DUMMYFUNCTION("""COMPUTED_VALUE"""),"https://imgur.com/a/JrzuMGt")</f>
        <v>https://imgur.com/a/JrzuMGt</v>
      </c>
      <c r="D215" s="84"/>
      <c r="E215" s="130"/>
      <c r="F215" s="84"/>
      <c r="G215" s="130"/>
    </row>
    <row r="216">
      <c r="A216" s="11" t="str">
        <f>IFERROR(__xludf.DUMMYFUNCTION("""COMPUTED_VALUE"""),"Sneasel")</f>
        <v>Sneasel</v>
      </c>
      <c r="B216" s="84"/>
      <c r="C216" s="130"/>
      <c r="D216" s="84"/>
      <c r="E216" s="130"/>
      <c r="F216" s="84"/>
      <c r="G216" s="130"/>
    </row>
    <row r="217">
      <c r="A217" s="11" t="str">
        <f>IFERROR(__xludf.DUMMYFUNCTION("""COMPUTED_VALUE"""),"Teddiursa")</f>
        <v>Teddiursa</v>
      </c>
      <c r="B217" s="84"/>
      <c r="C217" s="130"/>
      <c r="D217" s="84"/>
      <c r="E217" s="130"/>
      <c r="F217" s="84"/>
      <c r="G217" s="130"/>
    </row>
    <row r="218">
      <c r="A218" s="11" t="str">
        <f>IFERROR(__xludf.DUMMYFUNCTION("""COMPUTED_VALUE"""),"Ursaring")</f>
        <v>Ursaring</v>
      </c>
      <c r="B218" s="84"/>
      <c r="C218" s="130"/>
      <c r="D218" s="84"/>
      <c r="E218" s="130"/>
      <c r="F218" s="84"/>
      <c r="G218" s="130"/>
    </row>
    <row r="219">
      <c r="A219" s="11" t="str">
        <f>IFERROR(__xludf.DUMMYFUNCTION("""COMPUTED_VALUE"""),"Slugma")</f>
        <v>Slugma</v>
      </c>
      <c r="B219" s="84"/>
      <c r="C219" s="130"/>
      <c r="D219" s="84"/>
      <c r="E219" s="130"/>
      <c r="F219" s="84"/>
      <c r="G219" s="130"/>
    </row>
    <row r="220">
      <c r="A220" s="11" t="str">
        <f>IFERROR(__xludf.DUMMYFUNCTION("""COMPUTED_VALUE"""),"Magcargo")</f>
        <v>Magcargo</v>
      </c>
      <c r="B220" s="84"/>
      <c r="C220" s="130"/>
      <c r="D220" s="84"/>
      <c r="E220" s="130"/>
      <c r="F220" s="84"/>
      <c r="G220" s="130"/>
    </row>
    <row r="221">
      <c r="A221" s="11" t="str">
        <f>IFERROR(__xludf.DUMMYFUNCTION("""COMPUTED_VALUE"""),"Swinub")</f>
        <v>Swinub</v>
      </c>
      <c r="B221" s="84"/>
      <c r="C221" s="130"/>
      <c r="D221" s="84"/>
      <c r="E221" s="130"/>
      <c r="F221" s="84"/>
      <c r="G221" s="130"/>
    </row>
    <row r="222">
      <c r="A222" s="11" t="str">
        <f>IFERROR(__xludf.DUMMYFUNCTION("""COMPUTED_VALUE"""),"Piloswine")</f>
        <v>Piloswine</v>
      </c>
      <c r="B222" s="84" t="str">
        <f>IFERROR(__xludf.DUMMYFUNCTION("""COMPUTED_VALUE"""),"Benjamin")</f>
        <v>Benjamin</v>
      </c>
      <c r="C222" s="129" t="str">
        <f>IFERROR(__xludf.DUMMYFUNCTION("""COMPUTED_VALUE"""),"https://imgur.com/a/5sRvkND")</f>
        <v>https://imgur.com/a/5sRvkND</v>
      </c>
      <c r="D222" s="84"/>
      <c r="E222" s="130"/>
      <c r="F222" s="84"/>
      <c r="G222" s="130"/>
    </row>
    <row r="223">
      <c r="A223" s="11" t="str">
        <f>IFERROR(__xludf.DUMMYFUNCTION("""COMPUTED_VALUE"""),"Corsola")</f>
        <v>Corsola</v>
      </c>
      <c r="B223" s="84"/>
      <c r="C223" s="130"/>
      <c r="D223" s="84"/>
      <c r="E223" s="130"/>
      <c r="F223" s="84"/>
      <c r="G223" s="130"/>
    </row>
    <row r="224">
      <c r="A224" s="11" t="str">
        <f>IFERROR(__xludf.DUMMYFUNCTION("""COMPUTED_VALUE"""),"Remoraid")</f>
        <v>Remoraid</v>
      </c>
      <c r="B224" s="84"/>
      <c r="C224" s="130"/>
      <c r="D224" s="84"/>
      <c r="E224" s="130"/>
      <c r="F224" s="84"/>
      <c r="G224" s="130"/>
    </row>
    <row r="225">
      <c r="A225" s="11" t="str">
        <f>IFERROR(__xludf.DUMMYFUNCTION("""COMPUTED_VALUE"""),"Octillery")</f>
        <v>Octillery</v>
      </c>
      <c r="B225" s="84"/>
      <c r="C225" s="130"/>
      <c r="D225" s="84"/>
      <c r="E225" s="130"/>
      <c r="F225" s="84"/>
      <c r="G225" s="130"/>
    </row>
    <row r="226">
      <c r="A226" s="11" t="str">
        <f>IFERROR(__xludf.DUMMYFUNCTION("""COMPUTED_VALUE"""),"Delibird")</f>
        <v>Delibird</v>
      </c>
      <c r="B226" s="84"/>
      <c r="C226" s="130"/>
      <c r="D226" s="84"/>
      <c r="E226" s="130"/>
      <c r="F226" s="84"/>
      <c r="G226" s="130"/>
    </row>
    <row r="227">
      <c r="A227" s="11" t="str">
        <f>IFERROR(__xludf.DUMMYFUNCTION("""COMPUTED_VALUE"""),"Mantine")</f>
        <v>Mantine</v>
      </c>
      <c r="B227" s="84" t="str">
        <f>IFERROR(__xludf.DUMMYFUNCTION("""COMPUTED_VALUE"""),"Marissa")</f>
        <v>Marissa</v>
      </c>
      <c r="C227" s="129" t="str">
        <f>IFERROR(__xludf.DUMMYFUNCTION("""COMPUTED_VALUE"""),"https://imgur.com/a/29hR1XF")</f>
        <v>https://imgur.com/a/29hR1XF</v>
      </c>
      <c r="D227" s="84"/>
      <c r="E227" s="130"/>
      <c r="F227" s="84"/>
      <c r="G227" s="130"/>
    </row>
    <row r="228">
      <c r="A228" s="11" t="str">
        <f>IFERROR(__xludf.DUMMYFUNCTION("""COMPUTED_VALUE"""),"Skarmory")</f>
        <v>Skarmory</v>
      </c>
      <c r="B228" s="84" t="str">
        <f>IFERROR(__xludf.DUMMYFUNCTION("""COMPUTED_VALUE"""),"Autumn")</f>
        <v>Autumn</v>
      </c>
      <c r="C228" s="129" t="str">
        <f>IFERROR(__xludf.DUMMYFUNCTION("""COMPUTED_VALUE"""),"https://imgur.com/a/TkJ6dSS")</f>
        <v>https://imgur.com/a/TkJ6dSS</v>
      </c>
      <c r="D228" s="84" t="str">
        <f>IFERROR(__xludf.DUMMYFUNCTION("""COMPUTED_VALUE"""),"Blaze")</f>
        <v>Blaze</v>
      </c>
      <c r="E228" s="129" t="str">
        <f>IFERROR(__xludf.DUMMYFUNCTION("""COMPUTED_VALUE"""),"https://imgur.com/a/HQZwt8g")</f>
        <v>https://imgur.com/a/HQZwt8g</v>
      </c>
      <c r="F228" s="84"/>
      <c r="G228" s="130"/>
    </row>
    <row r="229">
      <c r="A229" s="11" t="str">
        <f>IFERROR(__xludf.DUMMYFUNCTION("""COMPUTED_VALUE"""),"Houndour")</f>
        <v>Houndour</v>
      </c>
      <c r="B229" s="84"/>
      <c r="C229" s="130"/>
      <c r="D229" s="84"/>
      <c r="E229" s="130"/>
      <c r="F229" s="84"/>
      <c r="G229" s="130"/>
    </row>
    <row r="230">
      <c r="A230" s="11" t="str">
        <f>IFERROR(__xludf.DUMMYFUNCTION("""COMPUTED_VALUE"""),"Houndoom")</f>
        <v>Houndoom</v>
      </c>
      <c r="B230" s="84" t="str">
        <f>IFERROR(__xludf.DUMMYFUNCTION("""COMPUTED_VALUE"""),"Grayson")</f>
        <v>Grayson</v>
      </c>
      <c r="C230" s="129" t="str">
        <f>IFERROR(__xludf.DUMMYFUNCTION("""COMPUTED_VALUE"""),"https://imgur.com/a/4J1YTmD")</f>
        <v>https://imgur.com/a/4J1YTmD</v>
      </c>
      <c r="D230" s="84"/>
      <c r="E230" s="130"/>
      <c r="F230" s="84"/>
      <c r="G230" s="130"/>
    </row>
    <row r="231">
      <c r="A231" s="11" t="str">
        <f>IFERROR(__xludf.DUMMYFUNCTION("""COMPUTED_VALUE"""),"Kingdra")</f>
        <v>Kingdra</v>
      </c>
      <c r="B231" s="84"/>
      <c r="C231" s="130"/>
      <c r="D231" s="84"/>
      <c r="E231" s="130"/>
      <c r="F231" s="84"/>
      <c r="G231" s="130"/>
    </row>
    <row r="232">
      <c r="A232" s="11" t="str">
        <f>IFERROR(__xludf.DUMMYFUNCTION("""COMPUTED_VALUE"""),"Phanpy")</f>
        <v>Phanpy</v>
      </c>
      <c r="B232" s="84"/>
      <c r="C232" s="130"/>
      <c r="D232" s="84"/>
      <c r="E232" s="130"/>
      <c r="F232" s="84"/>
      <c r="G232" s="130"/>
    </row>
    <row r="233">
      <c r="A233" s="11" t="str">
        <f>IFERROR(__xludf.DUMMYFUNCTION("""COMPUTED_VALUE"""),"Donphan")</f>
        <v>Donphan</v>
      </c>
      <c r="B233" s="84"/>
      <c r="C233" s="130"/>
      <c r="D233" s="84"/>
      <c r="E233" s="130"/>
      <c r="F233" s="84"/>
      <c r="G233" s="130"/>
    </row>
    <row r="234">
      <c r="A234" s="11" t="str">
        <f>IFERROR(__xludf.DUMMYFUNCTION("""COMPUTED_VALUE"""),"Porygon2")</f>
        <v>Porygon2</v>
      </c>
      <c r="B234" s="84"/>
      <c r="C234" s="130"/>
      <c r="D234" s="84"/>
      <c r="E234" s="130"/>
      <c r="F234" s="84"/>
      <c r="G234" s="130"/>
    </row>
    <row r="235">
      <c r="A235" s="11" t="str">
        <f>IFERROR(__xludf.DUMMYFUNCTION("""COMPUTED_VALUE"""),"Stantler")</f>
        <v>Stantler</v>
      </c>
      <c r="B235" s="84"/>
      <c r="C235" s="130"/>
      <c r="D235" s="84"/>
      <c r="E235" s="130"/>
      <c r="F235" s="84"/>
      <c r="G235" s="130"/>
    </row>
    <row r="236">
      <c r="A236" s="11" t="str">
        <f>IFERROR(__xludf.DUMMYFUNCTION("""COMPUTED_VALUE"""),"Smeargle")</f>
        <v>Smeargle</v>
      </c>
      <c r="B236" s="84"/>
      <c r="C236" s="130"/>
      <c r="D236" s="84"/>
      <c r="E236" s="130"/>
      <c r="F236" s="84"/>
      <c r="G236" s="130"/>
    </row>
    <row r="237">
      <c r="A237" s="11" t="str">
        <f>IFERROR(__xludf.DUMMYFUNCTION("""COMPUTED_VALUE"""),"Tyrogue")</f>
        <v>Tyrogue</v>
      </c>
      <c r="B237" s="84"/>
      <c r="C237" s="130"/>
      <c r="D237" s="84"/>
      <c r="E237" s="130"/>
      <c r="F237" s="84"/>
      <c r="G237" s="130"/>
    </row>
    <row r="238">
      <c r="A238" s="11" t="str">
        <f>IFERROR(__xludf.DUMMYFUNCTION("""COMPUTED_VALUE"""),"Hitmontop")</f>
        <v>Hitmontop</v>
      </c>
      <c r="B238" s="84"/>
      <c r="C238" s="130"/>
      <c r="D238" s="84"/>
      <c r="E238" s="130"/>
      <c r="F238" s="84"/>
      <c r="G238" s="130"/>
    </row>
    <row r="239">
      <c r="A239" s="11" t="str">
        <f>IFERROR(__xludf.DUMMYFUNCTION("""COMPUTED_VALUE"""),"Smoochum")</f>
        <v>Smoochum</v>
      </c>
      <c r="B239" s="84"/>
      <c r="C239" s="130"/>
      <c r="D239" s="84"/>
      <c r="E239" s="130"/>
      <c r="F239" s="84"/>
      <c r="G239" s="130"/>
    </row>
    <row r="240">
      <c r="A240" s="11" t="str">
        <f>IFERROR(__xludf.DUMMYFUNCTION("""COMPUTED_VALUE"""),"Elekid")</f>
        <v>Elekid</v>
      </c>
      <c r="B240" s="84"/>
      <c r="C240" s="130"/>
      <c r="D240" s="84"/>
      <c r="E240" s="130"/>
      <c r="F240" s="84"/>
      <c r="G240" s="130"/>
    </row>
    <row r="241">
      <c r="A241" s="11" t="str">
        <f>IFERROR(__xludf.DUMMYFUNCTION("""COMPUTED_VALUE"""),"Magby")</f>
        <v>Magby</v>
      </c>
      <c r="B241" s="84"/>
      <c r="C241" s="130"/>
      <c r="D241" s="84"/>
      <c r="E241" s="130"/>
      <c r="F241" s="84"/>
      <c r="G241" s="130"/>
    </row>
    <row r="242">
      <c r="A242" s="11" t="str">
        <f>IFERROR(__xludf.DUMMYFUNCTION("""COMPUTED_VALUE"""),"Miltank")</f>
        <v>Miltank</v>
      </c>
      <c r="B242" s="84" t="str">
        <f>IFERROR(__xludf.DUMMYFUNCTION("""COMPUTED_VALUE"""),"Henry")</f>
        <v>Henry</v>
      </c>
      <c r="C242" s="129" t="str">
        <f>IFERROR(__xludf.DUMMYFUNCTION("""COMPUTED_VALUE"""),"https://imgur.com/a/D03hzNM")</f>
        <v>https://imgur.com/a/D03hzNM</v>
      </c>
      <c r="D242" s="84" t="str">
        <f>IFERROR(__xludf.DUMMYFUNCTION("""COMPUTED_VALUE"""),"Daisy")</f>
        <v>Daisy</v>
      </c>
      <c r="E242" s="129" t="str">
        <f>IFERROR(__xludf.DUMMYFUNCTION("""COMPUTED_VALUE"""),"https://imgur.com/a/D03hzNM")</f>
        <v>https://imgur.com/a/D03hzNM</v>
      </c>
      <c r="F242" s="84"/>
      <c r="G242" s="130"/>
    </row>
    <row r="243">
      <c r="A243" s="11" t="str">
        <f>IFERROR(__xludf.DUMMYFUNCTION("""COMPUTED_VALUE"""),"Blissey")</f>
        <v>Blissey</v>
      </c>
      <c r="B243" s="84"/>
      <c r="C243" s="130"/>
      <c r="D243" s="84"/>
      <c r="E243" s="130"/>
      <c r="F243" s="84"/>
      <c r="G243" s="130"/>
    </row>
    <row r="244">
      <c r="A244" s="11" t="str">
        <f>IFERROR(__xludf.DUMMYFUNCTION("""COMPUTED_VALUE"""),"Raikou")</f>
        <v>Raikou</v>
      </c>
      <c r="B244" s="84"/>
      <c r="C244" s="130"/>
      <c r="D244" s="84"/>
      <c r="E244" s="130"/>
      <c r="F244" s="84"/>
      <c r="G244" s="130"/>
    </row>
    <row r="245">
      <c r="A245" s="11" t="str">
        <f>IFERROR(__xludf.DUMMYFUNCTION("""COMPUTED_VALUE"""),"Entei")</f>
        <v>Entei</v>
      </c>
      <c r="B245" s="84"/>
      <c r="C245" s="130"/>
      <c r="D245" s="84"/>
      <c r="E245" s="130"/>
      <c r="F245" s="84"/>
      <c r="G245" s="130"/>
    </row>
    <row r="246">
      <c r="A246" s="11" t="str">
        <f>IFERROR(__xludf.DUMMYFUNCTION("""COMPUTED_VALUE"""),"Suicune")</f>
        <v>Suicune</v>
      </c>
      <c r="B246" s="84"/>
      <c r="C246" s="130"/>
      <c r="D246" s="84"/>
      <c r="E246" s="130"/>
      <c r="F246" s="84"/>
      <c r="G246" s="130"/>
    </row>
    <row r="247">
      <c r="A247" s="11" t="str">
        <f>IFERROR(__xludf.DUMMYFUNCTION("""COMPUTED_VALUE"""),"Larvitar")</f>
        <v>Larvitar</v>
      </c>
      <c r="B247" s="84"/>
      <c r="C247" s="130"/>
      <c r="D247" s="84"/>
      <c r="E247" s="130"/>
      <c r="F247" s="84"/>
      <c r="G247" s="130"/>
    </row>
    <row r="248">
      <c r="A248" s="11" t="str">
        <f>IFERROR(__xludf.DUMMYFUNCTION("""COMPUTED_VALUE"""),"Pupitar")</f>
        <v>Pupitar</v>
      </c>
      <c r="B248" s="84"/>
      <c r="C248" s="130"/>
      <c r="D248" s="84"/>
      <c r="E248" s="130"/>
      <c r="F248" s="84"/>
      <c r="G248" s="130"/>
    </row>
    <row r="249">
      <c r="A249" s="11" t="str">
        <f>IFERROR(__xludf.DUMMYFUNCTION("""COMPUTED_VALUE"""),"Tyranitar")</f>
        <v>Tyranitar</v>
      </c>
      <c r="B249" s="84"/>
      <c r="C249" s="130"/>
      <c r="D249" s="84"/>
      <c r="E249" s="130"/>
      <c r="F249" s="84"/>
      <c r="G249" s="130"/>
    </row>
    <row r="250">
      <c r="A250" s="11" t="str">
        <f>IFERROR(__xludf.DUMMYFUNCTION("""COMPUTED_VALUE"""),"Lugia")</f>
        <v>Lugia</v>
      </c>
      <c r="B250" s="84"/>
      <c r="C250" s="130"/>
      <c r="D250" s="84"/>
      <c r="E250" s="130"/>
      <c r="F250" s="84"/>
      <c r="G250" s="130"/>
    </row>
    <row r="251">
      <c r="A251" s="11" t="str">
        <f>IFERROR(__xludf.DUMMYFUNCTION("""COMPUTED_VALUE"""),"Ho-oh")</f>
        <v>Ho-oh</v>
      </c>
      <c r="B251" s="84"/>
      <c r="C251" s="130"/>
      <c r="D251" s="84"/>
      <c r="E251" s="130"/>
      <c r="F251" s="84"/>
      <c r="G251" s="130"/>
    </row>
    <row r="252">
      <c r="A252" s="11" t="str">
        <f>IFERROR(__xludf.DUMMYFUNCTION("""COMPUTED_VALUE"""),"Celebi")</f>
        <v>Celebi</v>
      </c>
      <c r="B252" s="84"/>
      <c r="C252" s="130"/>
      <c r="D252" s="84"/>
      <c r="E252" s="130"/>
      <c r="F252" s="84"/>
      <c r="G252" s="130"/>
    </row>
    <row r="253">
      <c r="A253" s="11" t="str">
        <f>IFERROR(__xludf.DUMMYFUNCTION("""COMPUTED_VALUE"""),"Treecko")</f>
        <v>Treecko</v>
      </c>
      <c r="B253" s="84"/>
      <c r="C253" s="130"/>
      <c r="D253" s="84"/>
      <c r="E253" s="130"/>
      <c r="F253" s="84"/>
      <c r="G253" s="130"/>
    </row>
    <row r="254">
      <c r="A254" s="11" t="str">
        <f>IFERROR(__xludf.DUMMYFUNCTION("""COMPUTED_VALUE"""),"Grovyle")</f>
        <v>Grovyle</v>
      </c>
      <c r="B254" s="84"/>
      <c r="C254" s="130"/>
      <c r="D254" s="84"/>
      <c r="E254" s="130"/>
      <c r="F254" s="84"/>
      <c r="G254" s="130"/>
    </row>
    <row r="255">
      <c r="A255" s="11" t="str">
        <f>IFERROR(__xludf.DUMMYFUNCTION("""COMPUTED_VALUE"""),"Sceptile")</f>
        <v>Sceptile</v>
      </c>
      <c r="B255" s="84" t="str">
        <f>IFERROR(__xludf.DUMMYFUNCTION("""COMPUTED_VALUE"""),"Kaela")</f>
        <v>Kaela</v>
      </c>
      <c r="C255" s="129" t="str">
        <f>IFERROR(__xludf.DUMMYFUNCTION("""COMPUTED_VALUE"""),"https://imgur.com/a/7Tok0hP")</f>
        <v>https://imgur.com/a/7Tok0hP</v>
      </c>
      <c r="D255" s="84"/>
      <c r="E255" s="130"/>
      <c r="F255" s="84"/>
      <c r="G255" s="130"/>
    </row>
    <row r="256">
      <c r="A256" s="11" t="str">
        <f>IFERROR(__xludf.DUMMYFUNCTION("""COMPUTED_VALUE"""),"Torchic")</f>
        <v>Torchic</v>
      </c>
      <c r="B256" s="84" t="str">
        <f>IFERROR(__xludf.DUMMYFUNCTION("""COMPUTED_VALUE"""),"Beatriz")</f>
        <v>Beatriz</v>
      </c>
      <c r="C256" s="129" t="str">
        <f>IFERROR(__xludf.DUMMYFUNCTION("""COMPUTED_VALUE"""),"https://imgur.com/a/13SqnNQ")</f>
        <v>https://imgur.com/a/13SqnNQ</v>
      </c>
      <c r="D256" s="84"/>
      <c r="E256" s="130"/>
      <c r="F256" s="84"/>
      <c r="G256" s="130"/>
    </row>
    <row r="257">
      <c r="A257" s="11" t="str">
        <f>IFERROR(__xludf.DUMMYFUNCTION("""COMPUTED_VALUE"""),"Combusken")</f>
        <v>Combusken</v>
      </c>
      <c r="B257" s="84" t="str">
        <f>IFERROR(__xludf.DUMMYFUNCTION("""COMPUTED_VALUE"""),"Beatriz")</f>
        <v>Beatriz</v>
      </c>
      <c r="C257" s="129" t="str">
        <f>IFERROR(__xludf.DUMMYFUNCTION("""COMPUTED_VALUE"""),"https://imgur.com/a/13SqnNQ")</f>
        <v>https://imgur.com/a/13SqnNQ</v>
      </c>
      <c r="D257" s="84"/>
      <c r="E257" s="130"/>
      <c r="F257" s="84"/>
      <c r="G257" s="130"/>
    </row>
    <row r="258">
      <c r="A258" s="11" t="str">
        <f>IFERROR(__xludf.DUMMYFUNCTION("""COMPUTED_VALUE"""),"Blaziken")</f>
        <v>Blaziken</v>
      </c>
      <c r="B258" s="84" t="str">
        <f>IFERROR(__xludf.DUMMYFUNCTION("""COMPUTED_VALUE"""),"Kaela")</f>
        <v>Kaela</v>
      </c>
      <c r="C258" s="129" t="str">
        <f>IFERROR(__xludf.DUMMYFUNCTION("""COMPUTED_VALUE"""),"https://imgur.com/a/7Tok0hP")</f>
        <v>https://imgur.com/a/7Tok0hP</v>
      </c>
      <c r="D258" s="84" t="str">
        <f>IFERROR(__xludf.DUMMYFUNCTION("""COMPUTED_VALUE"""),"Beatriz")</f>
        <v>Beatriz</v>
      </c>
      <c r="E258" s="129" t="str">
        <f>IFERROR(__xludf.DUMMYFUNCTION("""COMPUTED_VALUE"""),"https://imgur.com/a/13SqnNQ")</f>
        <v>https://imgur.com/a/13SqnNQ</v>
      </c>
      <c r="F258" s="84"/>
      <c r="G258" s="130"/>
    </row>
    <row r="259">
      <c r="A259" s="11" t="str">
        <f>IFERROR(__xludf.DUMMYFUNCTION("""COMPUTED_VALUE"""),"Mudkip")</f>
        <v>Mudkip</v>
      </c>
      <c r="B259" s="84" t="str">
        <f>IFERROR(__xludf.DUMMYFUNCTION("""COMPUTED_VALUE"""),"Cedric")</f>
        <v>Cedric</v>
      </c>
      <c r="C259" s="129" t="str">
        <f>IFERROR(__xludf.DUMMYFUNCTION("""COMPUTED_VALUE"""),"https://imgur.com/a/CilI2Qu")</f>
        <v>https://imgur.com/a/CilI2Qu</v>
      </c>
      <c r="D259" s="84"/>
      <c r="E259" s="130"/>
      <c r="F259" s="84"/>
      <c r="G259" s="130"/>
    </row>
    <row r="260">
      <c r="A260" s="11" t="str">
        <f>IFERROR(__xludf.DUMMYFUNCTION("""COMPUTED_VALUE"""),"Marshtomp")</f>
        <v>Marshtomp</v>
      </c>
      <c r="B260" s="84" t="str">
        <f>IFERROR(__xludf.DUMMYFUNCTION("""COMPUTED_VALUE"""),"Cedric")</f>
        <v>Cedric</v>
      </c>
      <c r="C260" s="129" t="str">
        <f>IFERROR(__xludf.DUMMYFUNCTION("""COMPUTED_VALUE"""),"https://imgur.com/a/CilI2Qu")</f>
        <v>https://imgur.com/a/CilI2Qu</v>
      </c>
      <c r="D260" s="84"/>
      <c r="E260" s="130"/>
      <c r="F260" s="84"/>
      <c r="G260" s="130"/>
    </row>
    <row r="261">
      <c r="A261" s="11" t="str">
        <f>IFERROR(__xludf.DUMMYFUNCTION("""COMPUTED_VALUE"""),"Swampert")</f>
        <v>Swampert</v>
      </c>
      <c r="B261" s="84" t="str">
        <f>IFERROR(__xludf.DUMMYFUNCTION("""COMPUTED_VALUE"""),"Cedric")</f>
        <v>Cedric</v>
      </c>
      <c r="C261" s="129" t="str">
        <f>IFERROR(__xludf.DUMMYFUNCTION("""COMPUTED_VALUE"""),"https://imgur.com/a/CilI2Qu")</f>
        <v>https://imgur.com/a/CilI2Qu</v>
      </c>
      <c r="D261" s="84" t="str">
        <f>IFERROR(__xludf.DUMMYFUNCTION("""COMPUTED_VALUE"""),"Kaela")</f>
        <v>Kaela</v>
      </c>
      <c r="E261" s="129" t="str">
        <f>IFERROR(__xludf.DUMMYFUNCTION("""COMPUTED_VALUE"""),"https://imgur.com/a/7Tok0hP")</f>
        <v>https://imgur.com/a/7Tok0hP</v>
      </c>
      <c r="F261" s="84"/>
      <c r="G261" s="130"/>
    </row>
    <row r="262">
      <c r="A262" s="11" t="str">
        <f>IFERROR(__xludf.DUMMYFUNCTION("""COMPUTED_VALUE"""),"Poochyena")</f>
        <v>Poochyena</v>
      </c>
      <c r="B262" s="84" t="str">
        <f>IFERROR(__xludf.DUMMYFUNCTION("""COMPUTED_VALUE"""),"Diana")</f>
        <v>Diana</v>
      </c>
      <c r="C262" s="129" t="str">
        <f>IFERROR(__xludf.DUMMYFUNCTION("""COMPUTED_VALUE"""),"https://imgur.com/a/quY35DH")</f>
        <v>https://imgur.com/a/quY35DH</v>
      </c>
      <c r="D262" s="84"/>
      <c r="E262" s="130"/>
      <c r="F262" s="84"/>
      <c r="G262" s="130"/>
    </row>
    <row r="263">
      <c r="A263" s="11" t="str">
        <f>IFERROR(__xludf.DUMMYFUNCTION("""COMPUTED_VALUE"""),"Mightyena")</f>
        <v>Mightyena</v>
      </c>
      <c r="B263" s="84" t="str">
        <f>IFERROR(__xludf.DUMMYFUNCTION("""COMPUTED_VALUE"""),"Diana")</f>
        <v>Diana</v>
      </c>
      <c r="C263" s="129" t="str">
        <f>IFERROR(__xludf.DUMMYFUNCTION("""COMPUTED_VALUE"""),"https://imgur.com/a/quY35DH")</f>
        <v>https://imgur.com/a/quY35DH</v>
      </c>
      <c r="D263" s="84"/>
      <c r="E263" s="130"/>
      <c r="F263" s="84"/>
      <c r="G263" s="130"/>
    </row>
    <row r="264">
      <c r="A264" s="11" t="str">
        <f>IFERROR(__xludf.DUMMYFUNCTION("""COMPUTED_VALUE"""),"Zigzagoon")</f>
        <v>Zigzagoon</v>
      </c>
      <c r="B264" s="84" t="str">
        <f>IFERROR(__xludf.DUMMYFUNCTION("""COMPUTED_VALUE"""),"Eduardo")</f>
        <v>Eduardo</v>
      </c>
      <c r="C264" s="129" t="str">
        <f>IFERROR(__xludf.DUMMYFUNCTION("""COMPUTED_VALUE"""),"https://imgur.com/a/srQujl5")</f>
        <v>https://imgur.com/a/srQujl5</v>
      </c>
      <c r="D264" s="84"/>
      <c r="E264" s="130"/>
      <c r="F264" s="84"/>
      <c r="G264" s="130"/>
    </row>
    <row r="265">
      <c r="A265" s="11" t="str">
        <f>IFERROR(__xludf.DUMMYFUNCTION("""COMPUTED_VALUE"""),"Linoone")</f>
        <v>Linoone</v>
      </c>
      <c r="B265" s="84" t="str">
        <f>IFERROR(__xludf.DUMMYFUNCTION("""COMPUTED_VALUE"""),"Eduardo")</f>
        <v>Eduardo</v>
      </c>
      <c r="C265" s="129" t="str">
        <f>IFERROR(__xludf.DUMMYFUNCTION("""COMPUTED_VALUE"""),"https://imgur.com/a/srQujl5")</f>
        <v>https://imgur.com/a/srQujl5</v>
      </c>
      <c r="D265" s="84"/>
      <c r="E265" s="130"/>
      <c r="F265" s="84"/>
      <c r="G265" s="130"/>
    </row>
    <row r="266">
      <c r="A266" s="11" t="str">
        <f>IFERROR(__xludf.DUMMYFUNCTION("""COMPUTED_VALUE"""),"Wurmple")</f>
        <v>Wurmple</v>
      </c>
      <c r="B266" s="84"/>
      <c r="C266" s="130"/>
      <c r="D266" s="84"/>
      <c r="E266" s="130"/>
      <c r="F266" s="84"/>
      <c r="G266" s="130"/>
    </row>
    <row r="267">
      <c r="A267" s="11" t="str">
        <f>IFERROR(__xludf.DUMMYFUNCTION("""COMPUTED_VALUE"""),"Silcoon")</f>
        <v>Silcoon</v>
      </c>
      <c r="B267" s="84" t="str">
        <f>IFERROR(__xludf.DUMMYFUNCTION("""COMPUTED_VALUE"""),"Fernanda")</f>
        <v>Fernanda</v>
      </c>
      <c r="C267" s="129" t="str">
        <f>IFERROR(__xludf.DUMMYFUNCTION("""COMPUTED_VALUE"""),"https://imgur.com/a/DzCTHuU")</f>
        <v>https://imgur.com/a/DzCTHuU</v>
      </c>
      <c r="D267" s="84"/>
      <c r="E267" s="130"/>
      <c r="F267" s="84"/>
      <c r="G267" s="130"/>
    </row>
    <row r="268">
      <c r="A268" s="11" t="str">
        <f>IFERROR(__xludf.DUMMYFUNCTION("""COMPUTED_VALUE"""),"Beautifly")</f>
        <v>Beautifly</v>
      </c>
      <c r="B268" s="84" t="str">
        <f>IFERROR(__xludf.DUMMYFUNCTION("""COMPUTED_VALUE"""),"Fernanda")</f>
        <v>Fernanda</v>
      </c>
      <c r="C268" s="129" t="str">
        <f>IFERROR(__xludf.DUMMYFUNCTION("""COMPUTED_VALUE"""),"https://imgur.com/a/DzCTHuU")</f>
        <v>https://imgur.com/a/DzCTHuU</v>
      </c>
      <c r="D268" s="84"/>
      <c r="E268" s="130"/>
      <c r="F268" s="84"/>
      <c r="G268" s="130"/>
    </row>
    <row r="269">
      <c r="A269" s="11" t="str">
        <f>IFERROR(__xludf.DUMMYFUNCTION("""COMPUTED_VALUE"""),"Cascoon")</f>
        <v>Cascoon</v>
      </c>
      <c r="B269" s="84" t="str">
        <f>IFERROR(__xludf.DUMMYFUNCTION("""COMPUTED_VALUE"""),"Gustavo")</f>
        <v>Gustavo</v>
      </c>
      <c r="C269" s="129" t="str">
        <f>IFERROR(__xludf.DUMMYFUNCTION("""COMPUTED_VALUE"""),"https://imgur.com/a/qWFHjSa")</f>
        <v>https://imgur.com/a/qWFHjSa</v>
      </c>
      <c r="D269" s="84"/>
      <c r="E269" s="130"/>
      <c r="F269" s="84"/>
      <c r="G269" s="130"/>
    </row>
    <row r="270">
      <c r="A270" s="11" t="str">
        <f>IFERROR(__xludf.DUMMYFUNCTION("""COMPUTED_VALUE"""),"Dustox")</f>
        <v>Dustox</v>
      </c>
      <c r="B270" s="84" t="str">
        <f>IFERROR(__xludf.DUMMYFUNCTION("""COMPUTED_VALUE"""),"Gustavo")</f>
        <v>Gustavo</v>
      </c>
      <c r="C270" s="129" t="str">
        <f>IFERROR(__xludf.DUMMYFUNCTION("""COMPUTED_VALUE"""),"https://imgur.com/a/qWFHjSa")</f>
        <v>https://imgur.com/a/qWFHjSa</v>
      </c>
      <c r="D270" s="84"/>
      <c r="E270" s="130"/>
      <c r="F270" s="84"/>
      <c r="G270" s="130"/>
    </row>
    <row r="271">
      <c r="A271" s="11" t="str">
        <f>IFERROR(__xludf.DUMMYFUNCTION("""COMPUTED_VALUE"""),"Lotad")</f>
        <v>Lotad</v>
      </c>
      <c r="B271" s="84" t="str">
        <f>IFERROR(__xludf.DUMMYFUNCTION("""COMPUTED_VALUE"""),"Helena")</f>
        <v>Helena</v>
      </c>
      <c r="C271" s="129" t="str">
        <f>IFERROR(__xludf.DUMMYFUNCTION("""COMPUTED_VALUE"""),"https://imgur.com/a/bVXSMgI")</f>
        <v>https://imgur.com/a/bVXSMgI</v>
      </c>
      <c r="D271" s="84"/>
      <c r="E271" s="130"/>
      <c r="F271" s="84"/>
      <c r="G271" s="130"/>
    </row>
    <row r="272">
      <c r="A272" s="11" t="str">
        <f>IFERROR(__xludf.DUMMYFUNCTION("""COMPUTED_VALUE"""),"Lombre")</f>
        <v>Lombre</v>
      </c>
      <c r="B272" s="84" t="str">
        <f>IFERROR(__xludf.DUMMYFUNCTION("""COMPUTED_VALUE"""),"Helena")</f>
        <v>Helena</v>
      </c>
      <c r="C272" s="129" t="str">
        <f>IFERROR(__xludf.DUMMYFUNCTION("""COMPUTED_VALUE"""),"https://imgur.com/a/bVXSMgI")</f>
        <v>https://imgur.com/a/bVXSMgI</v>
      </c>
      <c r="D272" s="84"/>
      <c r="E272" s="130"/>
      <c r="F272" s="84"/>
      <c r="G272" s="130"/>
    </row>
    <row r="273">
      <c r="A273" s="11" t="str">
        <f>IFERROR(__xludf.DUMMYFUNCTION("""COMPUTED_VALUE"""),"Ludicolo")</f>
        <v>Ludicolo</v>
      </c>
      <c r="B273" s="84" t="str">
        <f>IFERROR(__xludf.DUMMYFUNCTION("""COMPUTED_VALUE"""),"Helena")</f>
        <v>Helena</v>
      </c>
      <c r="C273" s="129" t="str">
        <f>IFERROR(__xludf.DUMMYFUNCTION("""COMPUTED_VALUE"""),"https://imgur.com/a/bVXSMgI")</f>
        <v>https://imgur.com/a/bVXSMgI</v>
      </c>
      <c r="D273" s="84"/>
      <c r="E273" s="130"/>
      <c r="F273" s="84"/>
      <c r="G273" s="130"/>
    </row>
    <row r="274">
      <c r="A274" s="11" t="str">
        <f>IFERROR(__xludf.DUMMYFUNCTION("""COMPUTED_VALUE"""),"Seedot")</f>
        <v>Seedot</v>
      </c>
      <c r="B274" s="84" t="str">
        <f>IFERROR(__xludf.DUMMYFUNCTION("""COMPUTED_VALUE"""),"Igor")</f>
        <v>Igor</v>
      </c>
      <c r="C274" s="129" t="str">
        <f>IFERROR(__xludf.DUMMYFUNCTION("""COMPUTED_VALUE"""),"https://imgur.com/a/5qzdvFp")</f>
        <v>https://imgur.com/a/5qzdvFp</v>
      </c>
      <c r="D274" s="84"/>
      <c r="E274" s="130"/>
      <c r="F274" s="84"/>
      <c r="G274" s="130"/>
    </row>
    <row r="275">
      <c r="A275" s="11" t="str">
        <f>IFERROR(__xludf.DUMMYFUNCTION("""COMPUTED_VALUE"""),"Nuzleaf")</f>
        <v>Nuzleaf</v>
      </c>
      <c r="B275" s="84" t="str">
        <f>IFERROR(__xludf.DUMMYFUNCTION("""COMPUTED_VALUE"""),"Igor")</f>
        <v>Igor</v>
      </c>
      <c r="C275" s="129" t="str">
        <f>IFERROR(__xludf.DUMMYFUNCTION("""COMPUTED_VALUE"""),"https://imgur.com/a/5qzdvFp")</f>
        <v>https://imgur.com/a/5qzdvFp</v>
      </c>
      <c r="D275" s="84"/>
      <c r="E275" s="130"/>
      <c r="F275" s="84"/>
      <c r="G275" s="130"/>
    </row>
    <row r="276">
      <c r="A276" s="11" t="str">
        <f>IFERROR(__xludf.DUMMYFUNCTION("""COMPUTED_VALUE"""),"Shiftry")</f>
        <v>Shiftry</v>
      </c>
      <c r="B276" s="84" t="str">
        <f>IFERROR(__xludf.DUMMYFUNCTION("""COMPUTED_VALUE"""),"Igor")</f>
        <v>Igor</v>
      </c>
      <c r="C276" s="129" t="str">
        <f>IFERROR(__xludf.DUMMYFUNCTION("""COMPUTED_VALUE"""),"https://imgur.com/a/5qzdvFp")</f>
        <v>https://imgur.com/a/5qzdvFp</v>
      </c>
      <c r="D276" s="84"/>
      <c r="E276" s="130"/>
      <c r="F276" s="84"/>
      <c r="G276" s="130"/>
    </row>
    <row r="277">
      <c r="A277" s="11" t="str">
        <f>IFERROR(__xludf.DUMMYFUNCTION("""COMPUTED_VALUE"""),"Taillow")</f>
        <v>Taillow</v>
      </c>
      <c r="B277" s="84"/>
      <c r="C277" s="130"/>
      <c r="D277" s="84"/>
      <c r="E277" s="130"/>
      <c r="F277" s="84"/>
      <c r="G277" s="130"/>
    </row>
    <row r="278">
      <c r="A278" s="11" t="str">
        <f>IFERROR(__xludf.DUMMYFUNCTION("""COMPUTED_VALUE"""),"Swellow")</f>
        <v>Swellow</v>
      </c>
      <c r="B278" s="84"/>
      <c r="C278" s="130"/>
      <c r="D278" s="84"/>
      <c r="E278" s="130"/>
      <c r="F278" s="84"/>
      <c r="G278" s="130"/>
    </row>
    <row r="279">
      <c r="A279" s="11" t="str">
        <f>IFERROR(__xludf.DUMMYFUNCTION("""COMPUTED_VALUE"""),"Wingull")</f>
        <v>Wingull</v>
      </c>
      <c r="B279" s="84" t="str">
        <f>IFERROR(__xludf.DUMMYFUNCTION("""COMPUTED_VALUE"""),"Kevin")</f>
        <v>Kevin</v>
      </c>
      <c r="C279" s="129" t="str">
        <f>IFERROR(__xludf.DUMMYFUNCTION("""COMPUTED_VALUE"""),"https://imgur.com/a/3uzfVdr")</f>
        <v>https://imgur.com/a/3uzfVdr</v>
      </c>
      <c r="D279" s="84"/>
      <c r="E279" s="130"/>
      <c r="F279" s="84"/>
      <c r="G279" s="130"/>
    </row>
    <row r="280">
      <c r="A280" s="11" t="str">
        <f>IFERROR(__xludf.DUMMYFUNCTION("""COMPUTED_VALUE"""),"Pelipper")</f>
        <v>Pelipper</v>
      </c>
      <c r="B280" s="84" t="str">
        <f>IFERROR(__xludf.DUMMYFUNCTION("""COMPUTED_VALUE"""),"Kevin")</f>
        <v>Kevin</v>
      </c>
      <c r="C280" s="129" t="str">
        <f>IFERROR(__xludf.DUMMYFUNCTION("""COMPUTED_VALUE"""),"https://imgur.com/a/3uzfVdr")</f>
        <v>https://imgur.com/a/3uzfVdr</v>
      </c>
      <c r="D280" s="84"/>
      <c r="E280" s="130"/>
      <c r="F280" s="84"/>
      <c r="G280" s="130"/>
    </row>
    <row r="281">
      <c r="A281" s="11" t="str">
        <f>IFERROR(__xludf.DUMMYFUNCTION("""COMPUTED_VALUE"""),"Ralts")</f>
        <v>Ralts</v>
      </c>
      <c r="B281" s="84" t="str">
        <f>IFERROR(__xludf.DUMMYFUNCTION("""COMPUTED_VALUE"""),"Larissa")</f>
        <v>Larissa</v>
      </c>
      <c r="C281" s="129" t="str">
        <f>IFERROR(__xludf.DUMMYFUNCTION("""COMPUTED_VALUE"""),"https://imgur.com/a/4qZv6j4")</f>
        <v>https://imgur.com/a/4qZv6j4</v>
      </c>
      <c r="D281" s="84"/>
      <c r="E281" s="130"/>
      <c r="F281" s="84"/>
      <c r="G281" s="130"/>
    </row>
    <row r="282">
      <c r="A282" s="11" t="str">
        <f>IFERROR(__xludf.DUMMYFUNCTION("""COMPUTED_VALUE"""),"Kirlia")</f>
        <v>Kirlia</v>
      </c>
      <c r="B282" s="84" t="str">
        <f>IFERROR(__xludf.DUMMYFUNCTION("""COMPUTED_VALUE"""),"Larissa")</f>
        <v>Larissa</v>
      </c>
      <c r="C282" s="129" t="str">
        <f>IFERROR(__xludf.DUMMYFUNCTION("""COMPUTED_VALUE"""),"https://imgur.com/a/4qZv6j4")</f>
        <v>https://imgur.com/a/4qZv6j4</v>
      </c>
      <c r="D282" s="84"/>
      <c r="E282" s="130"/>
      <c r="F282" s="84"/>
      <c r="G282" s="130"/>
    </row>
    <row r="283">
      <c r="A283" s="11" t="str">
        <f>IFERROR(__xludf.DUMMYFUNCTION("""COMPUTED_VALUE"""),"Gardevoir")</f>
        <v>Gardevoir</v>
      </c>
      <c r="B283" s="84" t="str">
        <f>IFERROR(__xludf.DUMMYFUNCTION("""COMPUTED_VALUE"""),"Larissa")</f>
        <v>Larissa</v>
      </c>
      <c r="C283" s="129" t="str">
        <f>IFERROR(__xludf.DUMMYFUNCTION("""COMPUTED_VALUE"""),"https://imgur.com/a/4qZv6j4")</f>
        <v>https://imgur.com/a/4qZv6j4</v>
      </c>
      <c r="D283" s="84"/>
      <c r="E283" s="130"/>
      <c r="F283" s="84"/>
      <c r="G283" s="130"/>
    </row>
    <row r="284">
      <c r="A284" s="11" t="str">
        <f>IFERROR(__xludf.DUMMYFUNCTION("""COMPUTED_VALUE"""),"Surskit")</f>
        <v>Surskit</v>
      </c>
      <c r="B284" s="84" t="str">
        <f>IFERROR(__xludf.DUMMYFUNCTION("""COMPUTED_VALUE"""),"Marcelo")</f>
        <v>Marcelo</v>
      </c>
      <c r="C284" s="129" t="str">
        <f>IFERROR(__xludf.DUMMYFUNCTION("""COMPUTED_VALUE"""),"https://imgur.com/a/7RyMS2g")</f>
        <v>https://imgur.com/a/7RyMS2g</v>
      </c>
      <c r="D284" s="84"/>
      <c r="E284" s="130"/>
      <c r="F284" s="84"/>
      <c r="G284" s="130"/>
    </row>
    <row r="285">
      <c r="A285" s="11" t="str">
        <f>IFERROR(__xludf.DUMMYFUNCTION("""COMPUTED_VALUE"""),"Masquerain")</f>
        <v>Masquerain</v>
      </c>
      <c r="B285" s="84" t="str">
        <f>IFERROR(__xludf.DUMMYFUNCTION("""COMPUTED_VALUE"""),"Marcelo")</f>
        <v>Marcelo</v>
      </c>
      <c r="C285" s="129" t="str">
        <f>IFERROR(__xludf.DUMMYFUNCTION("""COMPUTED_VALUE"""),"https://imgur.com/a/7RyMS2g")</f>
        <v>https://imgur.com/a/7RyMS2g</v>
      </c>
      <c r="D285" s="84"/>
      <c r="E285" s="130"/>
      <c r="F285" s="84"/>
      <c r="G285" s="130"/>
    </row>
    <row r="286">
      <c r="A286" s="11" t="str">
        <f>IFERROR(__xludf.DUMMYFUNCTION("""COMPUTED_VALUE"""),"Shroomish")</f>
        <v>Shroomish</v>
      </c>
      <c r="B286" s="84" t="str">
        <f>IFERROR(__xludf.DUMMYFUNCTION("""COMPUTED_VALUE"""),"Nicole")</f>
        <v>Nicole</v>
      </c>
      <c r="C286" s="129" t="str">
        <f>IFERROR(__xludf.DUMMYFUNCTION("""COMPUTED_VALUE"""),"https://imgur.com/a/s6WzxSe")</f>
        <v>https://imgur.com/a/s6WzxSe</v>
      </c>
      <c r="D286" s="84"/>
      <c r="E286" s="130"/>
      <c r="F286" s="84"/>
      <c r="G286" s="130"/>
    </row>
    <row r="287">
      <c r="A287" s="11" t="str">
        <f>IFERROR(__xludf.DUMMYFUNCTION("""COMPUTED_VALUE"""),"Breloom")</f>
        <v>Breloom</v>
      </c>
      <c r="B287" s="84" t="str">
        <f>IFERROR(__xludf.DUMMYFUNCTION("""COMPUTED_VALUE"""),"Nicole")</f>
        <v>Nicole</v>
      </c>
      <c r="C287" s="129" t="str">
        <f>IFERROR(__xludf.DUMMYFUNCTION("""COMPUTED_VALUE"""),"https://imgur.com/a/s6WzxSe")</f>
        <v>https://imgur.com/a/s6WzxSe</v>
      </c>
      <c r="D287" s="84"/>
      <c r="E287" s="130"/>
      <c r="F287" s="84"/>
      <c r="G287" s="130"/>
    </row>
    <row r="288">
      <c r="A288" s="11" t="str">
        <f>IFERROR(__xludf.DUMMYFUNCTION("""COMPUTED_VALUE"""),"Slakoth")</f>
        <v>Slakoth</v>
      </c>
      <c r="B288" s="84" t="str">
        <f>IFERROR(__xludf.DUMMYFUNCTION("""COMPUTED_VALUE"""),"Octavio")</f>
        <v>Octavio</v>
      </c>
      <c r="C288" s="129" t="str">
        <f>IFERROR(__xludf.DUMMYFUNCTION("""COMPUTED_VALUE"""),"https://imgur.com/a/Rv0FwSX")</f>
        <v>https://imgur.com/a/Rv0FwSX</v>
      </c>
      <c r="D288" s="84"/>
      <c r="E288" s="130"/>
      <c r="F288" s="84"/>
      <c r="G288" s="130"/>
    </row>
    <row r="289">
      <c r="A289" s="11" t="str">
        <f>IFERROR(__xludf.DUMMYFUNCTION("""COMPUTED_VALUE"""),"Vigoroth")</f>
        <v>Vigoroth</v>
      </c>
      <c r="B289" s="84" t="str">
        <f>IFERROR(__xludf.DUMMYFUNCTION("""COMPUTED_VALUE"""),"Octavio")</f>
        <v>Octavio</v>
      </c>
      <c r="C289" s="129" t="str">
        <f>IFERROR(__xludf.DUMMYFUNCTION("""COMPUTED_VALUE"""),"https://imgur.com/a/Rv0FwSX")</f>
        <v>https://imgur.com/a/Rv0FwSX</v>
      </c>
      <c r="D289" s="84"/>
      <c r="E289" s="130"/>
      <c r="F289" s="84"/>
      <c r="G289" s="130"/>
    </row>
    <row r="290">
      <c r="A290" s="11" t="str">
        <f>IFERROR(__xludf.DUMMYFUNCTION("""COMPUTED_VALUE"""),"Slaking")</f>
        <v>Slaking</v>
      </c>
      <c r="B290" s="84" t="str">
        <f>IFERROR(__xludf.DUMMYFUNCTION("""COMPUTED_VALUE"""),"Octavio")</f>
        <v>Octavio</v>
      </c>
      <c r="C290" s="129" t="str">
        <f>IFERROR(__xludf.DUMMYFUNCTION("""COMPUTED_VALUE"""),"https://imgur.com/a/Rv0FwSX")</f>
        <v>https://imgur.com/a/Rv0FwSX</v>
      </c>
      <c r="D290" s="84"/>
      <c r="E290" s="130"/>
      <c r="F290" s="84"/>
      <c r="G290" s="130"/>
    </row>
    <row r="291">
      <c r="A291" s="11" t="str">
        <f>IFERROR(__xludf.DUMMYFUNCTION("""COMPUTED_VALUE"""),"Nincada")</f>
        <v>Nincada</v>
      </c>
      <c r="B291" s="84" t="str">
        <f>IFERROR(__xludf.DUMMYFUNCTION("""COMPUTED_VALUE"""),"Patricia")</f>
        <v>Patricia</v>
      </c>
      <c r="C291" s="129" t="str">
        <f>IFERROR(__xludf.DUMMYFUNCTION("""COMPUTED_VALUE"""),"https://imgur.com/a/E8qjeH8")</f>
        <v>https://imgur.com/a/E8qjeH8</v>
      </c>
      <c r="D291" s="84"/>
      <c r="E291" s="130"/>
      <c r="F291" s="84"/>
      <c r="G291" s="130"/>
    </row>
    <row r="292">
      <c r="A292" s="11" t="str">
        <f>IFERROR(__xludf.DUMMYFUNCTION("""COMPUTED_VALUE"""),"Ninjask")</f>
        <v>Ninjask</v>
      </c>
      <c r="B292" s="84" t="str">
        <f>IFERROR(__xludf.DUMMYFUNCTION("""COMPUTED_VALUE"""),"Patricia")</f>
        <v>Patricia</v>
      </c>
      <c r="C292" s="129" t="str">
        <f>IFERROR(__xludf.DUMMYFUNCTION("""COMPUTED_VALUE"""),"https://imgur.com/a/E8qjeH8")</f>
        <v>https://imgur.com/a/E8qjeH8</v>
      </c>
      <c r="D292" s="84"/>
      <c r="E292" s="130"/>
      <c r="F292" s="84"/>
      <c r="G292" s="130"/>
    </row>
    <row r="293">
      <c r="A293" s="11" t="str">
        <f>IFERROR(__xludf.DUMMYFUNCTION("""COMPUTED_VALUE"""),"Shedinja")</f>
        <v>Shedinja</v>
      </c>
      <c r="B293" s="84" t="str">
        <f>IFERROR(__xludf.DUMMYFUNCTION("""COMPUTED_VALUE"""),"Patricia")</f>
        <v>Patricia</v>
      </c>
      <c r="C293" s="129" t="str">
        <f>IFERROR(__xludf.DUMMYFUNCTION("""COMPUTED_VALUE"""),"https://imgur.com/a/E8qjeH8")</f>
        <v>https://imgur.com/a/E8qjeH8</v>
      </c>
      <c r="D293" s="84"/>
      <c r="E293" s="130"/>
      <c r="F293" s="84"/>
      <c r="G293" s="130"/>
    </row>
    <row r="294">
      <c r="A294" s="11" t="str">
        <f>IFERROR(__xludf.DUMMYFUNCTION("""COMPUTED_VALUE"""),"Whismur")</f>
        <v>Whismur</v>
      </c>
      <c r="B294" s="84" t="str">
        <f>IFERROR(__xludf.DUMMYFUNCTION("""COMPUTED_VALUE"""),"Quirino")</f>
        <v>Quirino</v>
      </c>
      <c r="C294" s="129" t="str">
        <f>IFERROR(__xludf.DUMMYFUNCTION("""COMPUTED_VALUE"""),"https://imgur.com/a/rGxGeVU")</f>
        <v>https://imgur.com/a/rGxGeVU</v>
      </c>
      <c r="D294" s="84"/>
      <c r="E294" s="130"/>
      <c r="F294" s="84"/>
      <c r="G294" s="130"/>
    </row>
    <row r="295">
      <c r="A295" s="11" t="str">
        <f>IFERROR(__xludf.DUMMYFUNCTION("""COMPUTED_VALUE"""),"Loudred")</f>
        <v>Loudred</v>
      </c>
      <c r="B295" s="84" t="str">
        <f>IFERROR(__xludf.DUMMYFUNCTION("""COMPUTED_VALUE"""),"Quirino")</f>
        <v>Quirino</v>
      </c>
      <c r="C295" s="129" t="str">
        <f>IFERROR(__xludf.DUMMYFUNCTION("""COMPUTED_VALUE"""),"https://imgur.com/a/rGxGeVU")</f>
        <v>https://imgur.com/a/rGxGeVU</v>
      </c>
      <c r="D295" s="84"/>
      <c r="E295" s="130"/>
      <c r="F295" s="84"/>
      <c r="G295" s="130"/>
    </row>
    <row r="296">
      <c r="A296" s="11" t="str">
        <f>IFERROR(__xludf.DUMMYFUNCTION("""COMPUTED_VALUE"""),"Exploud")</f>
        <v>Exploud</v>
      </c>
      <c r="B296" s="84" t="str">
        <f>IFERROR(__xludf.DUMMYFUNCTION("""COMPUTED_VALUE"""),"Quirino")</f>
        <v>Quirino</v>
      </c>
      <c r="C296" s="129" t="str">
        <f>IFERROR(__xludf.DUMMYFUNCTION("""COMPUTED_VALUE"""),"https://imgur.com/a/rGxGeVU")</f>
        <v>https://imgur.com/a/rGxGeVU</v>
      </c>
      <c r="D296" s="84"/>
      <c r="E296" s="130"/>
      <c r="F296" s="84"/>
      <c r="G296" s="130"/>
    </row>
    <row r="297">
      <c r="A297" s="11" t="str">
        <f>IFERROR(__xludf.DUMMYFUNCTION("""COMPUTED_VALUE"""),"Makuhita")</f>
        <v>Makuhita</v>
      </c>
      <c r="B297" s="84" t="str">
        <f>IFERROR(__xludf.DUMMYFUNCTION("""COMPUTED_VALUE"""),"Rafaela")</f>
        <v>Rafaela</v>
      </c>
      <c r="C297" s="129" t="str">
        <f>IFERROR(__xludf.DUMMYFUNCTION("""COMPUTED_VALUE"""),"https://imgur.com/a/subt538")</f>
        <v>https://imgur.com/a/subt538</v>
      </c>
      <c r="D297" s="84"/>
      <c r="E297" s="130"/>
      <c r="F297" s="84"/>
      <c r="G297" s="130"/>
    </row>
    <row r="298">
      <c r="A298" s="11" t="str">
        <f>IFERROR(__xludf.DUMMYFUNCTION("""COMPUTED_VALUE"""),"Hariyama")</f>
        <v>Hariyama</v>
      </c>
      <c r="B298" s="84" t="str">
        <f>IFERROR(__xludf.DUMMYFUNCTION("""COMPUTED_VALUE"""),"Rafaela")</f>
        <v>Rafaela</v>
      </c>
      <c r="C298" s="129" t="str">
        <f>IFERROR(__xludf.DUMMYFUNCTION("""COMPUTED_VALUE"""),"https://imgur.com/a/subt538")</f>
        <v>https://imgur.com/a/subt538</v>
      </c>
      <c r="D298" s="84"/>
      <c r="E298" s="130"/>
      <c r="F298" s="84"/>
      <c r="G298" s="130"/>
    </row>
    <row r="299">
      <c r="A299" s="11" t="str">
        <f>IFERROR(__xludf.DUMMYFUNCTION("""COMPUTED_VALUE"""),"Azurill")</f>
        <v>Azurill</v>
      </c>
      <c r="B299" s="84"/>
      <c r="C299" s="130"/>
      <c r="D299" s="84"/>
      <c r="E299" s="130"/>
      <c r="F299" s="84"/>
      <c r="G299" s="130"/>
    </row>
    <row r="300">
      <c r="A300" s="11" t="str">
        <f>IFERROR(__xludf.DUMMYFUNCTION("""COMPUTED_VALUE"""),"Nosepass")</f>
        <v>Nosepass</v>
      </c>
      <c r="B300" s="84"/>
      <c r="C300" s="130"/>
      <c r="D300" s="84"/>
      <c r="E300" s="130"/>
      <c r="F300" s="84"/>
      <c r="G300" s="130"/>
    </row>
    <row r="301">
      <c r="A301" s="11" t="str">
        <f>IFERROR(__xludf.DUMMYFUNCTION("""COMPUTED_VALUE"""),"Skitty")</f>
        <v>Skitty</v>
      </c>
      <c r="B301" s="84" t="str">
        <f>IFERROR(__xludf.DUMMYFUNCTION("""COMPUTED_VALUE"""),"Ulisses")</f>
        <v>Ulisses</v>
      </c>
      <c r="C301" s="129" t="str">
        <f>IFERROR(__xludf.DUMMYFUNCTION("""COMPUTED_VALUE"""),"https://imgur.com/a/aKu4S0S")</f>
        <v>https://imgur.com/a/aKu4S0S</v>
      </c>
      <c r="D301" s="84"/>
      <c r="E301" s="130"/>
      <c r="F301" s="84"/>
      <c r="G301" s="130"/>
    </row>
    <row r="302">
      <c r="A302" s="11" t="str">
        <f>IFERROR(__xludf.DUMMYFUNCTION("""COMPUTED_VALUE"""),"Delcatty")</f>
        <v>Delcatty</v>
      </c>
      <c r="B302" s="84" t="str">
        <f>IFERROR(__xludf.DUMMYFUNCTION("""COMPUTED_VALUE"""),"Ulisses")</f>
        <v>Ulisses</v>
      </c>
      <c r="C302" s="129" t="str">
        <f>IFERROR(__xludf.DUMMYFUNCTION("""COMPUTED_VALUE"""),"https://imgur.com/a/aKu4S0S")</f>
        <v>https://imgur.com/a/aKu4S0S</v>
      </c>
      <c r="D302" s="84"/>
      <c r="E302" s="130"/>
      <c r="F302" s="84"/>
      <c r="G302" s="130"/>
    </row>
    <row r="303">
      <c r="A303" s="11" t="str">
        <f>IFERROR(__xludf.DUMMYFUNCTION("""COMPUTED_VALUE"""),"Sableye")</f>
        <v>Sableye</v>
      </c>
      <c r="B303" s="84" t="str">
        <f>IFERROR(__xludf.DUMMYFUNCTION("""COMPUTED_VALUE"""),"Wagner")</f>
        <v>Wagner</v>
      </c>
      <c r="C303" s="129" t="str">
        <f>IFERROR(__xludf.DUMMYFUNCTION("""COMPUTED_VALUE"""),"https://imgur.com/a/pPbHeWc")</f>
        <v>https://imgur.com/a/pPbHeWc</v>
      </c>
      <c r="D303" s="84"/>
      <c r="E303" s="130"/>
      <c r="F303" s="84"/>
      <c r="G303" s="130"/>
    </row>
    <row r="304">
      <c r="A304" s="11" t="str">
        <f>IFERROR(__xludf.DUMMYFUNCTION("""COMPUTED_VALUE"""),"Mawile")</f>
        <v>Mawile</v>
      </c>
      <c r="B304" s="84" t="str">
        <f>IFERROR(__xludf.DUMMYFUNCTION("""COMPUTED_VALUE"""),"Xenia")</f>
        <v>Xenia</v>
      </c>
      <c r="C304" s="129" t="str">
        <f>IFERROR(__xludf.DUMMYFUNCTION("""COMPUTED_VALUE"""),"https://imgur.com/a/SJjIR88")</f>
        <v>https://imgur.com/a/SJjIR88</v>
      </c>
      <c r="D304" s="84"/>
      <c r="E304" s="130"/>
      <c r="F304" s="84"/>
      <c r="G304" s="130"/>
    </row>
    <row r="305">
      <c r="A305" s="11" t="str">
        <f>IFERROR(__xludf.DUMMYFUNCTION("""COMPUTED_VALUE"""),"Aron")</f>
        <v>Aron</v>
      </c>
      <c r="B305" s="84" t="str">
        <f>IFERROR(__xludf.DUMMYFUNCTION("""COMPUTED_VALUE"""),"Ygor")</f>
        <v>Ygor</v>
      </c>
      <c r="C305" s="130"/>
      <c r="D305" s="84"/>
      <c r="E305" s="130"/>
      <c r="F305" s="84"/>
      <c r="G305" s="130"/>
    </row>
    <row r="306">
      <c r="A306" s="11" t="str">
        <f>IFERROR(__xludf.DUMMYFUNCTION("""COMPUTED_VALUE"""),"Lairon")</f>
        <v>Lairon</v>
      </c>
      <c r="B306" s="84" t="str">
        <f>IFERROR(__xludf.DUMMYFUNCTION("""COMPUTED_VALUE"""),"Ygor")</f>
        <v>Ygor</v>
      </c>
      <c r="C306" s="130"/>
      <c r="D306" s="84"/>
      <c r="E306" s="130"/>
      <c r="F306" s="84"/>
      <c r="G306" s="130"/>
    </row>
    <row r="307">
      <c r="A307" s="11" t="str">
        <f>IFERROR(__xludf.DUMMYFUNCTION("""COMPUTED_VALUE"""),"Aggron")</f>
        <v>Aggron</v>
      </c>
      <c r="B307" s="84" t="str">
        <f>IFERROR(__xludf.DUMMYFUNCTION("""COMPUTED_VALUE"""),"Ygor")</f>
        <v>Ygor</v>
      </c>
      <c r="C307" s="130"/>
      <c r="D307" s="84"/>
      <c r="E307" s="130"/>
      <c r="F307" s="84"/>
      <c r="G307" s="130"/>
    </row>
    <row r="308">
      <c r="A308" s="11" t="str">
        <f>IFERROR(__xludf.DUMMYFUNCTION("""COMPUTED_VALUE"""),"Meditite")</f>
        <v>Meditite</v>
      </c>
      <c r="B308" s="84" t="str">
        <f>IFERROR(__xludf.DUMMYFUNCTION("""COMPUTED_VALUE"""),"Zuleica")</f>
        <v>Zuleica</v>
      </c>
      <c r="C308" s="129" t="str">
        <f>IFERROR(__xludf.DUMMYFUNCTION("""COMPUTED_VALUE"""),"https://imgur.com/a/0irrv1r")</f>
        <v>https://imgur.com/a/0irrv1r</v>
      </c>
      <c r="D308" s="84"/>
      <c r="E308" s="130"/>
      <c r="F308" s="84"/>
      <c r="G308" s="130"/>
    </row>
    <row r="309">
      <c r="A309" s="11" t="str">
        <f>IFERROR(__xludf.DUMMYFUNCTION("""COMPUTED_VALUE"""),"Medicham")</f>
        <v>Medicham</v>
      </c>
      <c r="B309" s="84" t="str">
        <f>IFERROR(__xludf.DUMMYFUNCTION("""COMPUTED_VALUE"""),"Zuleica")</f>
        <v>Zuleica</v>
      </c>
      <c r="C309" s="129" t="str">
        <f>IFERROR(__xludf.DUMMYFUNCTION("""COMPUTED_VALUE"""),"https://imgur.com/a/0irrv1r")</f>
        <v>https://imgur.com/a/0irrv1r</v>
      </c>
      <c r="D309" s="84"/>
      <c r="E309" s="130"/>
      <c r="F309" s="84"/>
      <c r="G309" s="130"/>
    </row>
    <row r="310">
      <c r="A310" s="11" t="str">
        <f>IFERROR(__xludf.DUMMYFUNCTION("""COMPUTED_VALUE"""),"Electrike")</f>
        <v>Electrike</v>
      </c>
      <c r="B310" s="84" t="str">
        <f>IFERROR(__xludf.DUMMYFUNCTION("""COMPUTED_VALUE"""),"Adriano")</f>
        <v>Adriano</v>
      </c>
      <c r="C310" s="129" t="str">
        <f>IFERROR(__xludf.DUMMYFUNCTION("""COMPUTED_VALUE"""),"https://imgur.com/a/gZXKevQ")</f>
        <v>https://imgur.com/a/gZXKevQ</v>
      </c>
      <c r="D310" s="84"/>
      <c r="E310" s="130"/>
      <c r="F310" s="84"/>
      <c r="G310" s="130"/>
    </row>
    <row r="311">
      <c r="A311" s="11" t="str">
        <f>IFERROR(__xludf.DUMMYFUNCTION("""COMPUTED_VALUE"""),"Manectric")</f>
        <v>Manectric</v>
      </c>
      <c r="B311" s="84" t="str">
        <f>IFERROR(__xludf.DUMMYFUNCTION("""COMPUTED_VALUE"""),"Adriano")</f>
        <v>Adriano</v>
      </c>
      <c r="C311" s="129" t="str">
        <f>IFERROR(__xludf.DUMMYFUNCTION("""COMPUTED_VALUE"""),"https://imgur.com/a/gZXKevQ")</f>
        <v>https://imgur.com/a/gZXKevQ</v>
      </c>
      <c r="D311" s="84"/>
      <c r="E311" s="130"/>
      <c r="F311" s="84"/>
      <c r="G311" s="130"/>
    </row>
    <row r="312">
      <c r="A312" s="11" t="str">
        <f>IFERROR(__xludf.DUMMYFUNCTION("""COMPUTED_VALUE"""),"Plusle")</f>
        <v>Plusle</v>
      </c>
      <c r="B312" s="84" t="str">
        <f>IFERROR(__xludf.DUMMYFUNCTION("""COMPUTED_VALUE"""),"Bianca")</f>
        <v>Bianca</v>
      </c>
      <c r="C312" s="129" t="str">
        <f>IFERROR(__xludf.DUMMYFUNCTION("""COMPUTED_VALUE"""),"https://imgur.com/a/NP74ZdI")</f>
        <v>https://imgur.com/a/NP74ZdI</v>
      </c>
      <c r="D312" s="84"/>
      <c r="E312" s="130"/>
      <c r="F312" s="84"/>
      <c r="G312" s="130"/>
    </row>
    <row r="313">
      <c r="A313" s="11" t="str">
        <f>IFERROR(__xludf.DUMMYFUNCTION("""COMPUTED_VALUE"""),"Minun")</f>
        <v>Minun</v>
      </c>
      <c r="B313" s="84" t="str">
        <f>IFERROR(__xludf.DUMMYFUNCTION("""COMPUTED_VALUE"""),"Bianca")</f>
        <v>Bianca</v>
      </c>
      <c r="C313" s="129" t="str">
        <f>IFERROR(__xludf.DUMMYFUNCTION("""COMPUTED_VALUE"""),"https://imgur.com/a/NP74ZdI")</f>
        <v>https://imgur.com/a/NP74ZdI</v>
      </c>
      <c r="D313" s="84"/>
      <c r="E313" s="130"/>
      <c r="F313" s="84"/>
      <c r="G313" s="130"/>
    </row>
    <row r="314">
      <c r="A314" s="11" t="str">
        <f>IFERROR(__xludf.DUMMYFUNCTION("""COMPUTED_VALUE"""),"Volbeat")</f>
        <v>Volbeat</v>
      </c>
      <c r="B314" s="84"/>
      <c r="C314" s="130"/>
      <c r="D314" s="84"/>
      <c r="E314" s="130"/>
      <c r="F314" s="84"/>
      <c r="G314" s="130"/>
    </row>
    <row r="315">
      <c r="A315" s="11" t="str">
        <f>IFERROR(__xludf.DUMMYFUNCTION("""COMPUTED_VALUE"""),"Illumise")</f>
        <v>Illumise</v>
      </c>
      <c r="B315" s="84"/>
      <c r="C315" s="130"/>
      <c r="D315" s="84"/>
      <c r="E315" s="130"/>
      <c r="F315" s="84"/>
      <c r="G315" s="130"/>
    </row>
    <row r="316">
      <c r="A316" s="11" t="str">
        <f>IFERROR(__xludf.DUMMYFUNCTION("""COMPUTED_VALUE"""),"Roselia")</f>
        <v>Roselia</v>
      </c>
      <c r="B316" s="84" t="str">
        <f>IFERROR(__xludf.DUMMYFUNCTION("""COMPUTED_VALUE"""),"Daniela")</f>
        <v>Daniela</v>
      </c>
      <c r="C316" s="129" t="str">
        <f>IFERROR(__xludf.DUMMYFUNCTION("""COMPUTED_VALUE"""),"https://imgur.com/a/wTW0rgt")</f>
        <v>https://imgur.com/a/wTW0rgt</v>
      </c>
      <c r="D316" s="84"/>
      <c r="E316" s="130"/>
      <c r="F316" s="84"/>
      <c r="G316" s="130"/>
    </row>
    <row r="317">
      <c r="A317" s="11" t="str">
        <f>IFERROR(__xludf.DUMMYFUNCTION("""COMPUTED_VALUE"""),"Gulpin")</f>
        <v>Gulpin</v>
      </c>
      <c r="B317" s="84" t="str">
        <f>IFERROR(__xludf.DUMMYFUNCTION("""COMPUTED_VALUE"""),"Fabiana")</f>
        <v>Fabiana</v>
      </c>
      <c r="C317" s="129" t="str">
        <f>IFERROR(__xludf.DUMMYFUNCTION("""COMPUTED_VALUE"""),"https://imgur.com/a/W1n420E")</f>
        <v>https://imgur.com/a/W1n420E</v>
      </c>
      <c r="D317" s="84"/>
      <c r="E317" s="130"/>
      <c r="F317" s="84"/>
      <c r="G317" s="130"/>
    </row>
    <row r="318">
      <c r="A318" s="11" t="str">
        <f>IFERROR(__xludf.DUMMYFUNCTION("""COMPUTED_VALUE"""),"Swalot")</f>
        <v>Swalot</v>
      </c>
      <c r="B318" s="84" t="str">
        <f>IFERROR(__xludf.DUMMYFUNCTION("""COMPUTED_VALUE"""),"Fabiana")</f>
        <v>Fabiana</v>
      </c>
      <c r="C318" s="129" t="str">
        <f>IFERROR(__xludf.DUMMYFUNCTION("""COMPUTED_VALUE"""),"https://imgur.com/a/W1n420E")</f>
        <v>https://imgur.com/a/W1n420E</v>
      </c>
      <c r="D318" s="84"/>
      <c r="E318" s="130"/>
      <c r="F318" s="84"/>
      <c r="G318" s="130"/>
    </row>
    <row r="319">
      <c r="A319" s="11" t="str">
        <f>IFERROR(__xludf.DUMMYFUNCTION("""COMPUTED_VALUE"""),"Carvanha")</f>
        <v>Carvanha</v>
      </c>
      <c r="B319" s="84" t="str">
        <f>IFERROR(__xludf.DUMMYFUNCTION("""COMPUTED_VALUE"""),"Gilberto")</f>
        <v>Gilberto</v>
      </c>
      <c r="C319" s="129" t="str">
        <f>IFERROR(__xludf.DUMMYFUNCTION("""COMPUTED_VALUE"""),"https://imgur.com/a/cG8jdq3")</f>
        <v>https://imgur.com/a/cG8jdq3</v>
      </c>
      <c r="D319" s="84"/>
      <c r="E319" s="130"/>
      <c r="F319" s="84"/>
      <c r="G319" s="130"/>
    </row>
    <row r="320">
      <c r="A320" s="11" t="str">
        <f>IFERROR(__xludf.DUMMYFUNCTION("""COMPUTED_VALUE"""),"Sharpedo")</f>
        <v>Sharpedo</v>
      </c>
      <c r="B320" s="84" t="str">
        <f>IFERROR(__xludf.DUMMYFUNCTION("""COMPUTED_VALUE"""),"Gilberto")</f>
        <v>Gilberto</v>
      </c>
      <c r="C320" s="129" t="str">
        <f>IFERROR(__xludf.DUMMYFUNCTION("""COMPUTED_VALUE"""),"https://imgur.com/a/cG8jdq3")</f>
        <v>https://imgur.com/a/cG8jdq3</v>
      </c>
      <c r="D320" s="84"/>
      <c r="E320" s="130"/>
      <c r="F320" s="84"/>
      <c r="G320" s="130"/>
    </row>
    <row r="321">
      <c r="A321" s="11" t="str">
        <f>IFERROR(__xludf.DUMMYFUNCTION("""COMPUTED_VALUE"""),"Wailmer")</f>
        <v>Wailmer</v>
      </c>
      <c r="B321" s="84" t="str">
        <f>IFERROR(__xludf.DUMMYFUNCTION("""COMPUTED_VALUE"""),"Heloisa")</f>
        <v>Heloisa</v>
      </c>
      <c r="C321" s="129" t="str">
        <f>IFERROR(__xludf.DUMMYFUNCTION("""COMPUTED_VALUE"""),"https://imgur.com/a/f1vbCNC")</f>
        <v>https://imgur.com/a/f1vbCNC</v>
      </c>
      <c r="D321" s="84"/>
      <c r="E321" s="130"/>
      <c r="F321" s="84"/>
      <c r="G321" s="130"/>
    </row>
    <row r="322">
      <c r="A322" s="11" t="str">
        <f>IFERROR(__xludf.DUMMYFUNCTION("""COMPUTED_VALUE"""),"Wailord")</f>
        <v>Wailord</v>
      </c>
      <c r="B322" s="84" t="str">
        <f>IFERROR(__xludf.DUMMYFUNCTION("""COMPUTED_VALUE"""),"Heloisa")</f>
        <v>Heloisa</v>
      </c>
      <c r="C322" s="129" t="str">
        <f>IFERROR(__xludf.DUMMYFUNCTION("""COMPUTED_VALUE"""),"https://imgur.com/a/f1vbCNC")</f>
        <v>https://imgur.com/a/f1vbCNC</v>
      </c>
      <c r="D322" s="84"/>
      <c r="E322" s="130"/>
      <c r="F322" s="84"/>
      <c r="G322" s="130"/>
    </row>
    <row r="323">
      <c r="A323" s="11" t="str">
        <f>IFERROR(__xludf.DUMMYFUNCTION("""COMPUTED_VALUE"""),"Numel")</f>
        <v>Numel</v>
      </c>
      <c r="B323" s="84" t="str">
        <f>IFERROR(__xludf.DUMMYFUNCTION("""COMPUTED_VALUE"""),"Iuri")</f>
        <v>Iuri</v>
      </c>
      <c r="C323" s="129" t="str">
        <f>IFERROR(__xludf.DUMMYFUNCTION("""COMPUTED_VALUE"""),"https://imgur.com/a/LltpRYe")</f>
        <v>https://imgur.com/a/LltpRYe</v>
      </c>
      <c r="D323" s="84"/>
      <c r="E323" s="130"/>
      <c r="F323" s="84"/>
      <c r="G323" s="130"/>
    </row>
    <row r="324">
      <c r="A324" s="11" t="str">
        <f>IFERROR(__xludf.DUMMYFUNCTION("""COMPUTED_VALUE"""),"Camerupt")</f>
        <v>Camerupt</v>
      </c>
      <c r="B324" s="84" t="str">
        <f>IFERROR(__xludf.DUMMYFUNCTION("""COMPUTED_VALUE"""),"Iuri")</f>
        <v>Iuri</v>
      </c>
      <c r="C324" s="129" t="str">
        <f>IFERROR(__xludf.DUMMYFUNCTION("""COMPUTED_VALUE"""),"https://imgur.com/a/LltpRYe")</f>
        <v>https://imgur.com/a/LltpRYe</v>
      </c>
      <c r="D324" s="84"/>
      <c r="E324" s="130"/>
      <c r="F324" s="84"/>
      <c r="G324" s="130"/>
    </row>
    <row r="325">
      <c r="A325" s="11" t="str">
        <f>IFERROR(__xludf.DUMMYFUNCTION("""COMPUTED_VALUE"""),"Torkoal")</f>
        <v>Torkoal</v>
      </c>
      <c r="B325" s="84" t="str">
        <f>IFERROR(__xludf.DUMMYFUNCTION("""COMPUTED_VALUE"""),"Jaqueline")</f>
        <v>Jaqueline</v>
      </c>
      <c r="C325" s="129" t="str">
        <f>IFERROR(__xludf.DUMMYFUNCTION("""COMPUTED_VALUE"""),"https://imgur.com/a/e9oSags")</f>
        <v>https://imgur.com/a/e9oSags</v>
      </c>
      <c r="D325" s="84"/>
      <c r="E325" s="130"/>
      <c r="F325" s="84"/>
      <c r="G325" s="130"/>
    </row>
    <row r="326">
      <c r="A326" s="11" t="str">
        <f>IFERROR(__xludf.DUMMYFUNCTION("""COMPUTED_VALUE"""),"Spoink")</f>
        <v>Spoink</v>
      </c>
      <c r="B326" s="84" t="str">
        <f>IFERROR(__xludf.DUMMYFUNCTION("""COMPUTED_VALUE"""),"Kaue")</f>
        <v>Kaue</v>
      </c>
      <c r="C326" s="129" t="str">
        <f>IFERROR(__xludf.DUMMYFUNCTION("""COMPUTED_VALUE"""),"https://imgur.com/a/iViOJtA")</f>
        <v>https://imgur.com/a/iViOJtA</v>
      </c>
      <c r="D326" s="84"/>
      <c r="E326" s="130"/>
      <c r="F326" s="84"/>
      <c r="G326" s="130"/>
    </row>
    <row r="327">
      <c r="A327" s="11" t="str">
        <f>IFERROR(__xludf.DUMMYFUNCTION("""COMPUTED_VALUE"""),"Grumpig")</f>
        <v>Grumpig</v>
      </c>
      <c r="B327" s="84" t="str">
        <f>IFERROR(__xludf.DUMMYFUNCTION("""COMPUTED_VALUE"""),"Kaue")</f>
        <v>Kaue</v>
      </c>
      <c r="C327" s="129" t="str">
        <f>IFERROR(__xludf.DUMMYFUNCTION("""COMPUTED_VALUE"""),"https://imgur.com/a/iViOJtA")</f>
        <v>https://imgur.com/a/iViOJtA</v>
      </c>
      <c r="D327" s="84"/>
      <c r="E327" s="130"/>
      <c r="F327" s="84"/>
      <c r="G327" s="130"/>
    </row>
    <row r="328">
      <c r="A328" s="11" t="str">
        <f>IFERROR(__xludf.DUMMYFUNCTION("""COMPUTED_VALUE"""),"Spinda")</f>
        <v>Spinda</v>
      </c>
      <c r="B328" s="84"/>
      <c r="C328" s="130"/>
      <c r="D328" s="84"/>
      <c r="E328" s="130"/>
      <c r="F328" s="84"/>
      <c r="G328" s="130"/>
    </row>
    <row r="329">
      <c r="A329" s="11" t="str">
        <f>IFERROR(__xludf.DUMMYFUNCTION("""COMPUTED_VALUE"""),"Trapinch")</f>
        <v>Trapinch</v>
      </c>
      <c r="B329" s="84" t="str">
        <f>IFERROR(__xludf.DUMMYFUNCTION("""COMPUTED_VALUE"""),"Mario")</f>
        <v>Mario</v>
      </c>
      <c r="C329" s="129" t="str">
        <f>IFERROR(__xludf.DUMMYFUNCTION("""COMPUTED_VALUE"""),"https://imgur.com/a/J2yH0M6")</f>
        <v>https://imgur.com/a/J2yH0M6</v>
      </c>
      <c r="D329" s="84"/>
      <c r="E329" s="130"/>
      <c r="F329" s="84"/>
      <c r="G329" s="130"/>
    </row>
    <row r="330">
      <c r="A330" s="11" t="str">
        <f>IFERROR(__xludf.DUMMYFUNCTION("""COMPUTED_VALUE"""),"Vibrava")</f>
        <v>Vibrava</v>
      </c>
      <c r="B330" s="84" t="str">
        <f>IFERROR(__xludf.DUMMYFUNCTION("""COMPUTED_VALUE"""),"Mario")</f>
        <v>Mario</v>
      </c>
      <c r="C330" s="129" t="str">
        <f>IFERROR(__xludf.DUMMYFUNCTION("""COMPUTED_VALUE"""),"https://imgur.com/a/J2yH0M6")</f>
        <v>https://imgur.com/a/J2yH0M6</v>
      </c>
      <c r="D330" s="84"/>
      <c r="E330" s="130"/>
      <c r="F330" s="84"/>
      <c r="G330" s="130"/>
    </row>
    <row r="331">
      <c r="A331" s="11" t="str">
        <f>IFERROR(__xludf.DUMMYFUNCTION("""COMPUTED_VALUE"""),"Flygon")</f>
        <v>Flygon</v>
      </c>
      <c r="B331" s="84" t="str">
        <f>IFERROR(__xludf.DUMMYFUNCTION("""COMPUTED_VALUE"""),"Mario")</f>
        <v>Mario</v>
      </c>
      <c r="C331" s="129" t="str">
        <f>IFERROR(__xludf.DUMMYFUNCTION("""COMPUTED_VALUE"""),"https://imgur.com/a/J2yH0M6")</f>
        <v>https://imgur.com/a/J2yH0M6</v>
      </c>
      <c r="D331" s="84"/>
      <c r="E331" s="130"/>
      <c r="F331" s="84"/>
      <c r="G331" s="130"/>
    </row>
    <row r="332">
      <c r="A332" s="11" t="str">
        <f>IFERROR(__xludf.DUMMYFUNCTION("""COMPUTED_VALUE"""),"Cacnea")</f>
        <v>Cacnea</v>
      </c>
      <c r="B332" s="84" t="str">
        <f>IFERROR(__xludf.DUMMYFUNCTION("""COMPUTED_VALUE"""),"Natalia")</f>
        <v>Natalia</v>
      </c>
      <c r="C332" s="129" t="str">
        <f>IFERROR(__xludf.DUMMYFUNCTION("""COMPUTED_VALUE"""),"https://imgur.com/a/CHRjs14")</f>
        <v>https://imgur.com/a/CHRjs14</v>
      </c>
      <c r="D332" s="84"/>
      <c r="E332" s="130"/>
      <c r="F332" s="84"/>
      <c r="G332" s="130"/>
    </row>
    <row r="333">
      <c r="A333" s="11" t="str">
        <f>IFERROR(__xludf.DUMMYFUNCTION("""COMPUTED_VALUE"""),"Cacturne")</f>
        <v>Cacturne</v>
      </c>
      <c r="B333" s="84" t="str">
        <f>IFERROR(__xludf.DUMMYFUNCTION("""COMPUTED_VALUE"""),"Natalia")</f>
        <v>Natalia</v>
      </c>
      <c r="C333" s="129" t="str">
        <f>IFERROR(__xludf.DUMMYFUNCTION("""COMPUTED_VALUE"""),"https://imgur.com/a/CHRjs14")</f>
        <v>https://imgur.com/a/CHRjs14</v>
      </c>
      <c r="D333" s="84"/>
      <c r="E333" s="130"/>
      <c r="F333" s="84"/>
      <c r="G333" s="130"/>
    </row>
    <row r="334">
      <c r="A334" s="11" t="str">
        <f>IFERROR(__xludf.DUMMYFUNCTION("""COMPUTED_VALUE"""),"Swablu")</f>
        <v>Swablu</v>
      </c>
      <c r="B334" s="84" t="str">
        <f>IFERROR(__xludf.DUMMYFUNCTION("""COMPUTED_VALUE"""),"Osvaldo")</f>
        <v>Osvaldo</v>
      </c>
      <c r="C334" s="129" t="str">
        <f>IFERROR(__xludf.DUMMYFUNCTION("""COMPUTED_VALUE"""),"https://imgur.com/a/4BU3DIw")</f>
        <v>https://imgur.com/a/4BU3DIw</v>
      </c>
      <c r="D334" s="84"/>
      <c r="E334" s="130"/>
      <c r="F334" s="84"/>
      <c r="G334" s="130"/>
    </row>
    <row r="335">
      <c r="A335" s="11" t="str">
        <f>IFERROR(__xludf.DUMMYFUNCTION("""COMPUTED_VALUE"""),"Altaria")</f>
        <v>Altaria</v>
      </c>
      <c r="B335" s="84" t="str">
        <f>IFERROR(__xludf.DUMMYFUNCTION("""COMPUTED_VALUE"""),"Osvaldo")</f>
        <v>Osvaldo</v>
      </c>
      <c r="C335" s="129" t="str">
        <f>IFERROR(__xludf.DUMMYFUNCTION("""COMPUTED_VALUE"""),"https://imgur.com/a/4BU3DIw")</f>
        <v>https://imgur.com/a/4BU3DIw</v>
      </c>
      <c r="D335" s="84"/>
      <c r="E335" s="130"/>
      <c r="F335" s="84"/>
      <c r="G335" s="130"/>
    </row>
    <row r="336">
      <c r="A336" s="11" t="str">
        <f>IFERROR(__xludf.DUMMYFUNCTION("""COMPUTED_VALUE"""),"Zangoose")</f>
        <v>Zangoose</v>
      </c>
      <c r="B336" s="84" t="str">
        <f>IFERROR(__xludf.DUMMYFUNCTION("""COMPUTED_VALUE"""),"Priscila")</f>
        <v>Priscila</v>
      </c>
      <c r="C336" s="129" t="str">
        <f>IFERROR(__xludf.DUMMYFUNCTION("""COMPUTED_VALUE"""),"https://imgur.com/a/UZYLkq1")</f>
        <v>https://imgur.com/a/UZYLkq1</v>
      </c>
      <c r="D336" s="84"/>
      <c r="E336" s="130"/>
      <c r="F336" s="84"/>
      <c r="G336" s="130"/>
    </row>
    <row r="337">
      <c r="A337" s="11" t="str">
        <f>IFERROR(__xludf.DUMMYFUNCTION("""COMPUTED_VALUE"""),"Seviper")</f>
        <v>Seviper</v>
      </c>
      <c r="B337" s="84" t="str">
        <f>IFERROR(__xludf.DUMMYFUNCTION("""COMPUTED_VALUE"""),"Renato")</f>
        <v>Renato</v>
      </c>
      <c r="C337" s="129" t="str">
        <f>IFERROR(__xludf.DUMMYFUNCTION("""COMPUTED_VALUE"""),"https://imgur.com/a/8blMAEF")</f>
        <v>https://imgur.com/a/8blMAEF</v>
      </c>
      <c r="D337" s="84" t="str">
        <f>IFERROR(__xludf.DUMMYFUNCTION("""COMPUTED_VALUE"""),"Sergio")</f>
        <v>Sergio</v>
      </c>
      <c r="E337" s="129" t="str">
        <f>IFERROR(__xludf.DUMMYFUNCTION("""COMPUTED_VALUE"""),"https://imgur.com/a/xp2NokO")</f>
        <v>https://imgur.com/a/xp2NokO</v>
      </c>
      <c r="F337" s="84"/>
      <c r="G337" s="130"/>
    </row>
    <row r="338">
      <c r="A338" s="11" t="str">
        <f>IFERROR(__xludf.DUMMYFUNCTION("""COMPUTED_VALUE"""),"Lunatone")</f>
        <v>Lunatone</v>
      </c>
      <c r="B338" s="84" t="str">
        <f>IFERROR(__xludf.DUMMYFUNCTION("""COMPUTED_VALUE"""),"Lyra")</f>
        <v>Lyra</v>
      </c>
      <c r="C338" s="129" t="str">
        <f>IFERROR(__xludf.DUMMYFUNCTION("""COMPUTED_VALUE"""),"https://imgur.com/a/ZNfrPlF")</f>
        <v>https://imgur.com/a/ZNfrPlF</v>
      </c>
      <c r="D338" s="84" t="str">
        <f>IFERROR(__xludf.DUMMYFUNCTION("""COMPUTED_VALUE"""),"Thiago")</f>
        <v>Thiago</v>
      </c>
      <c r="E338" s="129" t="str">
        <f>IFERROR(__xludf.DUMMYFUNCTION("""COMPUTED_VALUE"""),"https://imgur.com/a/tHVsIsX")</f>
        <v>https://imgur.com/a/tHVsIsX</v>
      </c>
      <c r="F338" s="84"/>
      <c r="G338" s="130"/>
    </row>
    <row r="339">
      <c r="A339" s="11" t="str">
        <f>IFERROR(__xludf.DUMMYFUNCTION("""COMPUTED_VALUE"""),"Solrock")</f>
        <v>Solrock</v>
      </c>
      <c r="B339" s="84" t="str">
        <f>IFERROR(__xludf.DUMMYFUNCTION("""COMPUTED_VALUE"""),"Helio")</f>
        <v>Helio</v>
      </c>
      <c r="C339" s="129" t="str">
        <f>IFERROR(__xludf.DUMMYFUNCTION("""COMPUTED_VALUE"""),"https://imgur.com/a/W937hgf")</f>
        <v>https://imgur.com/a/W937hgf</v>
      </c>
      <c r="D339" s="84" t="str">
        <f>IFERROR(__xludf.DUMMYFUNCTION("""COMPUTED_VALUE"""),"Thiago")</f>
        <v>Thiago</v>
      </c>
      <c r="E339" s="129" t="str">
        <f>IFERROR(__xludf.DUMMYFUNCTION("""COMPUTED_VALUE"""),"https://imgur.com/a/tHVsIsX")</f>
        <v>https://imgur.com/a/tHVsIsX</v>
      </c>
      <c r="F339" s="84"/>
      <c r="G339" s="130"/>
    </row>
    <row r="340">
      <c r="A340" s="11" t="str">
        <f>IFERROR(__xludf.DUMMYFUNCTION("""COMPUTED_VALUE"""),"Barboach")</f>
        <v>Barboach</v>
      </c>
      <c r="B340" s="84" t="str">
        <f>IFERROR(__xludf.DUMMYFUNCTION("""COMPUTED_VALUE"""),"Vicente")</f>
        <v>Vicente</v>
      </c>
      <c r="C340" s="129" t="str">
        <f>IFERROR(__xludf.DUMMYFUNCTION("""COMPUTED_VALUE"""),"https://imgur.com/a/3VwW2qZ")</f>
        <v>https://imgur.com/a/3VwW2qZ</v>
      </c>
      <c r="D340" s="84"/>
      <c r="E340" s="130"/>
      <c r="F340" s="84"/>
      <c r="G340" s="130"/>
    </row>
    <row r="341">
      <c r="A341" s="11" t="str">
        <f>IFERROR(__xludf.DUMMYFUNCTION("""COMPUTED_VALUE"""),"Whiscash")</f>
        <v>Whiscash</v>
      </c>
      <c r="B341" s="84" t="str">
        <f>IFERROR(__xludf.DUMMYFUNCTION("""COMPUTED_VALUE"""),"Vicente")</f>
        <v>Vicente</v>
      </c>
      <c r="C341" s="129" t="str">
        <f>IFERROR(__xludf.DUMMYFUNCTION("""COMPUTED_VALUE"""),"https://imgur.com/a/3VwW2qZ")</f>
        <v>https://imgur.com/a/3VwW2qZ</v>
      </c>
      <c r="D341" s="84"/>
      <c r="E341" s="130"/>
      <c r="F341" s="84"/>
      <c r="G341" s="130"/>
    </row>
    <row r="342">
      <c r="A342" s="11" t="str">
        <f>IFERROR(__xludf.DUMMYFUNCTION("""COMPUTED_VALUE"""),"Corphish")</f>
        <v>Corphish</v>
      </c>
      <c r="B342" s="84" t="str">
        <f>IFERROR(__xludf.DUMMYFUNCTION("""COMPUTED_VALUE"""),"Xisto")</f>
        <v>Xisto</v>
      </c>
      <c r="C342" s="129" t="str">
        <f>IFERROR(__xludf.DUMMYFUNCTION("""COMPUTED_VALUE"""),"https://imgur.com/a/8N0wTGr")</f>
        <v>https://imgur.com/a/8N0wTGr</v>
      </c>
      <c r="D342" s="84"/>
      <c r="E342" s="130"/>
      <c r="F342" s="84"/>
      <c r="G342" s="130"/>
    </row>
    <row r="343">
      <c r="A343" s="11" t="str">
        <f>IFERROR(__xludf.DUMMYFUNCTION("""COMPUTED_VALUE"""),"Crawdaunt")</f>
        <v>Crawdaunt</v>
      </c>
      <c r="B343" s="84" t="str">
        <f>IFERROR(__xludf.DUMMYFUNCTION("""COMPUTED_VALUE"""),"Xisto")</f>
        <v>Xisto</v>
      </c>
      <c r="C343" s="129" t="str">
        <f>IFERROR(__xludf.DUMMYFUNCTION("""COMPUTED_VALUE"""),"https://imgur.com/a/8N0wTGr")</f>
        <v>https://imgur.com/a/8N0wTGr</v>
      </c>
      <c r="D343" s="84"/>
      <c r="E343" s="130"/>
      <c r="F343" s="84"/>
      <c r="G343" s="130"/>
    </row>
    <row r="344">
      <c r="A344" s="11" t="str">
        <f>IFERROR(__xludf.DUMMYFUNCTION("""COMPUTED_VALUE"""),"Baltoy")</f>
        <v>Baltoy</v>
      </c>
      <c r="B344" s="84" t="str">
        <f>IFERROR(__xludf.DUMMYFUNCTION("""COMPUTED_VALUE"""),"Yasmin")</f>
        <v>Yasmin</v>
      </c>
      <c r="C344" s="129" t="str">
        <f>IFERROR(__xludf.DUMMYFUNCTION("""COMPUTED_VALUE"""),"https://imgur.com/a/91iZYub")</f>
        <v>https://imgur.com/a/91iZYub</v>
      </c>
      <c r="D344" s="84"/>
      <c r="E344" s="130"/>
      <c r="F344" s="84"/>
      <c r="G344" s="130"/>
    </row>
    <row r="345">
      <c r="A345" s="11" t="str">
        <f>IFERROR(__xludf.DUMMYFUNCTION("""COMPUTED_VALUE"""),"Claydol")</f>
        <v>Claydol</v>
      </c>
      <c r="B345" s="84" t="str">
        <f>IFERROR(__xludf.DUMMYFUNCTION("""COMPUTED_VALUE"""),"Yasmin")</f>
        <v>Yasmin</v>
      </c>
      <c r="C345" s="129" t="str">
        <f>IFERROR(__xludf.DUMMYFUNCTION("""COMPUTED_VALUE"""),"https://imgur.com/a/91iZYub")</f>
        <v>https://imgur.com/a/91iZYub</v>
      </c>
      <c r="D345" s="84"/>
      <c r="E345" s="130"/>
      <c r="F345" s="84"/>
      <c r="G345" s="130"/>
    </row>
    <row r="346">
      <c r="A346" s="11" t="str">
        <f>IFERROR(__xludf.DUMMYFUNCTION("""COMPUTED_VALUE"""),"Lileep")</f>
        <v>Lileep</v>
      </c>
      <c r="B346" s="84"/>
      <c r="C346" s="130"/>
      <c r="D346" s="84"/>
      <c r="E346" s="130"/>
      <c r="F346" s="84"/>
      <c r="G346" s="130"/>
    </row>
    <row r="347">
      <c r="A347" s="11" t="str">
        <f>IFERROR(__xludf.DUMMYFUNCTION("""COMPUTED_VALUE"""),"Cradily")</f>
        <v>Cradily</v>
      </c>
      <c r="B347" s="84" t="str">
        <f>IFERROR(__xludf.DUMMYFUNCTION("""COMPUTED_VALUE"""),"Zeca")</f>
        <v>Zeca</v>
      </c>
      <c r="C347" s="129" t="str">
        <f>IFERROR(__xludf.DUMMYFUNCTION("""COMPUTED_VALUE"""),"https://imgur.com/a/dhBNsP3")</f>
        <v>https://imgur.com/a/dhBNsP3</v>
      </c>
      <c r="D347" s="84"/>
      <c r="E347" s="130"/>
      <c r="F347" s="84"/>
      <c r="G347" s="130"/>
    </row>
    <row r="348">
      <c r="A348" s="11" t="str">
        <f>IFERROR(__xludf.DUMMYFUNCTION("""COMPUTED_VALUE"""),"Anorith")</f>
        <v>Anorith</v>
      </c>
      <c r="B348" s="84" t="str">
        <f>IFERROR(__xludf.DUMMYFUNCTION("""COMPUTED_VALUE"""),"Alessandra")</f>
        <v>Alessandra</v>
      </c>
      <c r="C348" s="129" t="str">
        <f>IFERROR(__xludf.DUMMYFUNCTION("""COMPUTED_VALUE"""),"https://imgur.com/a/3TH2eLX")</f>
        <v>https://imgur.com/a/3TH2eLX</v>
      </c>
      <c r="D348" s="84"/>
      <c r="E348" s="130"/>
      <c r="F348" s="84"/>
      <c r="G348" s="130"/>
    </row>
    <row r="349">
      <c r="A349" s="11" t="str">
        <f>IFERROR(__xludf.DUMMYFUNCTION("""COMPUTED_VALUE"""),"Armaldo")</f>
        <v>Armaldo</v>
      </c>
      <c r="B349" s="84" t="str">
        <f>IFERROR(__xludf.DUMMYFUNCTION("""COMPUTED_VALUE"""),"Alessandra")</f>
        <v>Alessandra</v>
      </c>
      <c r="C349" s="129" t="str">
        <f>IFERROR(__xludf.DUMMYFUNCTION("""COMPUTED_VALUE"""),"https://imgur.com/a/3TH2eLX")</f>
        <v>https://imgur.com/a/3TH2eLX</v>
      </c>
      <c r="D349" s="84"/>
      <c r="E349" s="130"/>
      <c r="F349" s="84"/>
      <c r="G349" s="130"/>
    </row>
    <row r="350">
      <c r="A350" s="11" t="str">
        <f>IFERROR(__xludf.DUMMYFUNCTION("""COMPUTED_VALUE"""),"Feebas")</f>
        <v>Feebas</v>
      </c>
      <c r="B350" s="84" t="str">
        <f>IFERROR(__xludf.DUMMYFUNCTION("""COMPUTED_VALUE"""),"Elisa")</f>
        <v>Elisa</v>
      </c>
      <c r="C350" s="129" t="str">
        <f>IFERROR(__xludf.DUMMYFUNCTION("""COMPUTED_VALUE"""),"https://imgur.com/a/KXcgrGa")</f>
        <v>https://imgur.com/a/KXcgrGa</v>
      </c>
      <c r="D350" s="84"/>
      <c r="E350" s="130"/>
      <c r="F350" s="84"/>
      <c r="G350" s="130"/>
    </row>
    <row r="351">
      <c r="A351" s="11" t="str">
        <f>IFERROR(__xludf.DUMMYFUNCTION("""COMPUTED_VALUE"""),"Milotic")</f>
        <v>Milotic</v>
      </c>
      <c r="B351" s="84" t="str">
        <f>IFERROR(__xludf.DUMMYFUNCTION("""COMPUTED_VALUE"""),"Elisa")</f>
        <v>Elisa</v>
      </c>
      <c r="C351" s="129" t="str">
        <f>IFERROR(__xludf.DUMMYFUNCTION("""COMPUTED_VALUE"""),"https://imgur.com/a/KXcgrGa")</f>
        <v>https://imgur.com/a/KXcgrGa</v>
      </c>
      <c r="D351" s="84"/>
      <c r="E351" s="130"/>
      <c r="F351" s="84"/>
      <c r="G351" s="130"/>
    </row>
    <row r="352">
      <c r="A352" s="11" t="str">
        <f>IFERROR(__xludf.DUMMYFUNCTION("""COMPUTED_VALUE"""),"Castform")</f>
        <v>Castform</v>
      </c>
      <c r="B352" s="84"/>
      <c r="C352" s="130"/>
      <c r="D352" s="84"/>
      <c r="E352" s="130"/>
      <c r="F352" s="84"/>
      <c r="G352" s="130"/>
    </row>
    <row r="353">
      <c r="A353" s="11" t="str">
        <f>IFERROR(__xludf.DUMMYFUNCTION("""COMPUTED_VALUE"""),"Kecleon")</f>
        <v>Kecleon</v>
      </c>
      <c r="B353" s="84" t="str">
        <f>IFERROR(__xludf.DUMMYFUNCTION("""COMPUTED_VALUE"""),"Fernando")</f>
        <v>Fernando</v>
      </c>
      <c r="C353" s="129" t="str">
        <f>IFERROR(__xludf.DUMMYFUNCTION("""COMPUTED_VALUE"""),"https://imgur.com/a/tIZh4hQ")</f>
        <v>https://imgur.com/a/tIZh4hQ</v>
      </c>
      <c r="D353" s="84"/>
      <c r="E353" s="130"/>
      <c r="F353" s="84"/>
      <c r="G353" s="130"/>
    </row>
    <row r="354">
      <c r="A354" s="11" t="str">
        <f>IFERROR(__xludf.DUMMYFUNCTION("""COMPUTED_VALUE"""),"Shuppet")</f>
        <v>Shuppet</v>
      </c>
      <c r="B354" s="84"/>
      <c r="C354" s="130"/>
      <c r="D354" s="84"/>
      <c r="E354" s="130"/>
      <c r="F354" s="84"/>
      <c r="G354" s="130"/>
    </row>
    <row r="355">
      <c r="A355" s="11" t="str">
        <f>IFERROR(__xludf.DUMMYFUNCTION("""COMPUTED_VALUE"""),"Banette")</f>
        <v>Banette</v>
      </c>
      <c r="B355" s="84"/>
      <c r="C355" s="130"/>
      <c r="D355" s="84"/>
      <c r="E355" s="130"/>
      <c r="F355" s="84"/>
      <c r="G355" s="130"/>
    </row>
    <row r="356">
      <c r="A356" s="11" t="str">
        <f>IFERROR(__xludf.DUMMYFUNCTION("""COMPUTED_VALUE"""),"Duskull")</f>
        <v>Duskull</v>
      </c>
      <c r="B356" s="84"/>
      <c r="C356" s="130"/>
      <c r="D356" s="84"/>
      <c r="E356" s="130"/>
      <c r="F356" s="84"/>
      <c r="G356" s="130"/>
    </row>
    <row r="357">
      <c r="A357" s="11" t="str">
        <f>IFERROR(__xludf.DUMMYFUNCTION("""COMPUTED_VALUE"""),"Dusclops")</f>
        <v>Dusclops</v>
      </c>
      <c r="B357" s="84"/>
      <c r="C357" s="130"/>
      <c r="D357" s="84"/>
      <c r="E357" s="130"/>
      <c r="F357" s="84"/>
      <c r="G357" s="130"/>
    </row>
    <row r="358">
      <c r="A358" s="11" t="str">
        <f>IFERROR(__xludf.DUMMYFUNCTION("""COMPUTED_VALUE"""),"Tropius")</f>
        <v>Tropius</v>
      </c>
      <c r="B358" s="84" t="str">
        <f>IFERROR(__xludf.DUMMYFUNCTION("""COMPUTED_VALUE"""),"Henrique")</f>
        <v>Henrique</v>
      </c>
      <c r="C358" s="129" t="str">
        <f>IFERROR(__xludf.DUMMYFUNCTION("""COMPUTED_VALUE"""),"https://imgur.com/a/4tWBIfg")</f>
        <v>https://imgur.com/a/4tWBIfg</v>
      </c>
      <c r="D358" s="84"/>
      <c r="E358" s="130"/>
      <c r="F358" s="84"/>
      <c r="G358" s="130"/>
    </row>
    <row r="359">
      <c r="A359" s="11" t="str">
        <f>IFERROR(__xludf.DUMMYFUNCTION("""COMPUTED_VALUE"""),"Chimecho")</f>
        <v>Chimecho</v>
      </c>
      <c r="B359" s="84" t="str">
        <f>IFERROR(__xludf.DUMMYFUNCTION("""COMPUTED_VALUE"""),"Isadora")</f>
        <v>Isadora</v>
      </c>
      <c r="C359" s="129" t="str">
        <f>IFERROR(__xludf.DUMMYFUNCTION("""COMPUTED_VALUE"""),"https://imgur.com/a/makffiD")</f>
        <v>https://imgur.com/a/makffiD</v>
      </c>
      <c r="D359" s="84"/>
      <c r="E359" s="130"/>
      <c r="F359" s="84"/>
      <c r="G359" s="130"/>
    </row>
    <row r="360">
      <c r="A360" s="11" t="str">
        <f>IFERROR(__xludf.DUMMYFUNCTION("""COMPUTED_VALUE"""),"Absol")</f>
        <v>Absol</v>
      </c>
      <c r="B360" s="84" t="str">
        <f>IFERROR(__xludf.DUMMYFUNCTION("""COMPUTED_VALUE"""),"Jorge")</f>
        <v>Jorge</v>
      </c>
      <c r="C360" s="129" t="str">
        <f>IFERROR(__xludf.DUMMYFUNCTION("""COMPUTED_VALUE"""),"https://imgur.com/a/JvDgg2S")</f>
        <v>https://imgur.com/a/JvDgg2S</v>
      </c>
      <c r="D360" s="84" t="str">
        <f>IFERROR(__xludf.DUMMYFUNCTION("""COMPUTED_VALUE"""),"Rowena")</f>
        <v>Rowena</v>
      </c>
      <c r="E360" s="129" t="str">
        <f>IFERROR(__xludf.DUMMYFUNCTION("""COMPUTED_VALUE"""),"https://imgur.com/a/3CUDkD2")</f>
        <v>https://imgur.com/a/3CUDkD2</v>
      </c>
      <c r="F360" s="84"/>
      <c r="G360" s="130"/>
    </row>
    <row r="361">
      <c r="A361" s="11" t="str">
        <f>IFERROR(__xludf.DUMMYFUNCTION("""COMPUTED_VALUE"""),"Wynaut")</f>
        <v>Wynaut</v>
      </c>
      <c r="B361" s="84"/>
      <c r="C361" s="130"/>
      <c r="D361" s="84"/>
      <c r="E361" s="130"/>
      <c r="F361" s="84"/>
      <c r="G361" s="130"/>
    </row>
    <row r="362">
      <c r="A362" s="11" t="str">
        <f>IFERROR(__xludf.DUMMYFUNCTION("""COMPUTED_VALUE"""),"Snorunt")</f>
        <v>Snorunt</v>
      </c>
      <c r="B362" s="84"/>
      <c r="C362" s="130"/>
      <c r="D362" s="84"/>
      <c r="E362" s="130"/>
      <c r="F362" s="84"/>
      <c r="G362" s="130"/>
    </row>
    <row r="363">
      <c r="A363" s="11" t="str">
        <f>IFERROR(__xludf.DUMMYFUNCTION("""COMPUTED_VALUE"""),"Glalie")</f>
        <v>Glalie</v>
      </c>
      <c r="B363" s="84"/>
      <c r="C363" s="130"/>
      <c r="D363" s="84"/>
      <c r="E363" s="130"/>
      <c r="F363" s="84"/>
      <c r="G363" s="130"/>
    </row>
    <row r="364">
      <c r="A364" s="11" t="str">
        <f>IFERROR(__xludf.DUMMYFUNCTION("""COMPUTED_VALUE"""),"Spheal")</f>
        <v>Spheal</v>
      </c>
      <c r="B364" s="84" t="str">
        <f>IFERROR(__xludf.DUMMYFUNCTION("""COMPUTED_VALUE"""),"Nelio")</f>
        <v>Nelio</v>
      </c>
      <c r="C364" s="129" t="str">
        <f>IFERROR(__xludf.DUMMYFUNCTION("""COMPUTED_VALUE"""),"https://imgur.com/a/1SDaMvq")</f>
        <v>https://imgur.com/a/1SDaMvq</v>
      </c>
      <c r="D364" s="84"/>
      <c r="E364" s="130"/>
      <c r="F364" s="84"/>
      <c r="G364" s="130"/>
    </row>
    <row r="365">
      <c r="A365" s="11" t="str">
        <f>IFERROR(__xludf.DUMMYFUNCTION("""COMPUTED_VALUE"""),"Sealeo")</f>
        <v>Sealeo</v>
      </c>
      <c r="B365" s="84" t="str">
        <f>IFERROR(__xludf.DUMMYFUNCTION("""COMPUTED_VALUE"""),"Nelio")</f>
        <v>Nelio</v>
      </c>
      <c r="C365" s="129" t="str">
        <f>IFERROR(__xludf.DUMMYFUNCTION("""COMPUTED_VALUE"""),"https://imgur.com/a/1SDaMvq")</f>
        <v>https://imgur.com/a/1SDaMvq</v>
      </c>
      <c r="D365" s="84"/>
      <c r="E365" s="130"/>
      <c r="F365" s="84"/>
      <c r="G365" s="130"/>
    </row>
    <row r="366">
      <c r="A366" s="11" t="str">
        <f>IFERROR(__xludf.DUMMYFUNCTION("""COMPUTED_VALUE"""),"Walrein")</f>
        <v>Walrein</v>
      </c>
      <c r="B366" s="84" t="str">
        <f>IFERROR(__xludf.DUMMYFUNCTION("""COMPUTED_VALUE"""),"Nelio")</f>
        <v>Nelio</v>
      </c>
      <c r="C366" s="129" t="str">
        <f>IFERROR(__xludf.DUMMYFUNCTION("""COMPUTED_VALUE"""),"https://imgur.com/a/1SDaMvq")</f>
        <v>https://imgur.com/a/1SDaMvq</v>
      </c>
      <c r="D366" s="84"/>
      <c r="E366" s="130"/>
      <c r="F366" s="84"/>
      <c r="G366" s="130"/>
    </row>
    <row r="367">
      <c r="A367" s="11" t="str">
        <f>IFERROR(__xludf.DUMMYFUNCTION("""COMPUTED_VALUE"""),"Clamperl")</f>
        <v>Clamperl</v>
      </c>
      <c r="B367" s="84" t="str">
        <f>IFERROR(__xludf.DUMMYFUNCTION("""COMPUTED_VALUE"""),"Leonardo")</f>
        <v>Leonardo</v>
      </c>
      <c r="C367" s="129" t="str">
        <f>IFERROR(__xludf.DUMMYFUNCTION("""COMPUTED_VALUE"""),"https://imgur.com/a/7plXUBy")</f>
        <v>https://imgur.com/a/7plXUBy</v>
      </c>
      <c r="D367" s="84"/>
      <c r="E367" s="130"/>
      <c r="F367" s="84"/>
      <c r="G367" s="130"/>
    </row>
    <row r="368">
      <c r="A368" s="11" t="str">
        <f>IFERROR(__xludf.DUMMYFUNCTION("""COMPUTED_VALUE"""),"Huntail")</f>
        <v>Huntail</v>
      </c>
      <c r="B368" s="84" t="str">
        <f>IFERROR(__xludf.DUMMYFUNCTION("""COMPUTED_VALUE"""),"Olivia")</f>
        <v>Olivia</v>
      </c>
      <c r="C368" s="129" t="str">
        <f>IFERROR(__xludf.DUMMYFUNCTION("""COMPUTED_VALUE"""),"https://imgur.com/a/GvUNfvI")</f>
        <v>https://imgur.com/a/GvUNfvI</v>
      </c>
      <c r="D368" s="84" t="str">
        <f>IFERROR(__xludf.DUMMYFUNCTION("""COMPUTED_VALUE"""),"Darian")</f>
        <v>Darian</v>
      </c>
      <c r="E368" s="129" t="str">
        <f>IFERROR(__xludf.DUMMYFUNCTION("""COMPUTED_VALUE"""),"https://imgur.com/a/yf8McW8")</f>
        <v>https://imgur.com/a/yf8McW8</v>
      </c>
      <c r="F368" s="84"/>
      <c r="G368" s="130"/>
    </row>
    <row r="369">
      <c r="A369" s="11" t="str">
        <f>IFERROR(__xludf.DUMMYFUNCTION("""COMPUTED_VALUE"""),"Gorebyss")</f>
        <v>Gorebyss</v>
      </c>
      <c r="B369" s="84" t="str">
        <f>IFERROR(__xludf.DUMMYFUNCTION("""COMPUTED_VALUE"""),"Quezia")</f>
        <v>Quezia</v>
      </c>
      <c r="C369" s="129" t="str">
        <f>IFERROR(__xludf.DUMMYFUNCTION("""COMPUTED_VALUE"""),"https://imgur.com/a/rPNCYPx")</f>
        <v>https://imgur.com/a/rPNCYPx</v>
      </c>
      <c r="D369" s="84"/>
      <c r="E369" s="130"/>
      <c r="F369" s="84"/>
      <c r="G369" s="130"/>
    </row>
    <row r="370">
      <c r="A370" s="11" t="str">
        <f>IFERROR(__xludf.DUMMYFUNCTION("""COMPUTED_VALUE"""),"Relicanth")</f>
        <v>Relicanth</v>
      </c>
      <c r="B370" s="84" t="str">
        <f>IFERROR(__xludf.DUMMYFUNCTION("""COMPUTED_VALUE"""),"Roberto")</f>
        <v>Roberto</v>
      </c>
      <c r="C370" s="129" t="str">
        <f>IFERROR(__xludf.DUMMYFUNCTION("""COMPUTED_VALUE"""),"https://imgur.com/a/6rbv74w")</f>
        <v>https://imgur.com/a/6rbv74w</v>
      </c>
      <c r="D370" s="84" t="str">
        <f>IFERROR(__xludf.DUMMYFUNCTION("""COMPUTED_VALUE"""),"Aldric")</f>
        <v>Aldric</v>
      </c>
      <c r="E370" s="129" t="str">
        <f>IFERROR(__xludf.DUMMYFUNCTION("""COMPUTED_VALUE"""),"https://imgur.com/a/FWC14O8")</f>
        <v>https://imgur.com/a/FWC14O8</v>
      </c>
      <c r="F370" s="84"/>
      <c r="G370" s="130"/>
    </row>
    <row r="371">
      <c r="A371" s="11" t="str">
        <f>IFERROR(__xludf.DUMMYFUNCTION("""COMPUTED_VALUE"""),"Luvdisc")</f>
        <v>Luvdisc</v>
      </c>
      <c r="B371" s="84" t="str">
        <f>IFERROR(__xludf.DUMMYFUNCTION("""COMPUTED_VALUE"""),"Tiago")</f>
        <v>Tiago</v>
      </c>
      <c r="C371" s="129" t="str">
        <f>IFERROR(__xludf.DUMMYFUNCTION("""COMPUTED_VALUE"""),"https://imgur.com/a/TD4brVl")</f>
        <v>https://imgur.com/a/TD4brVl</v>
      </c>
      <c r="D371" s="84"/>
      <c r="E371" s="130"/>
      <c r="F371" s="84"/>
      <c r="G371" s="130"/>
    </row>
    <row r="372">
      <c r="A372" s="11" t="str">
        <f>IFERROR(__xludf.DUMMYFUNCTION("""COMPUTED_VALUE"""),"Bagon")</f>
        <v>Bagon</v>
      </c>
      <c r="B372" s="84" t="str">
        <f>IFERROR(__xludf.DUMMYFUNCTION("""COMPUTED_VALUE"""),"Sonia")</f>
        <v>Sonia</v>
      </c>
      <c r="C372" s="129" t="str">
        <f>IFERROR(__xludf.DUMMYFUNCTION("""COMPUTED_VALUE"""),"https://imgur.com/a/aH6C5Aa")</f>
        <v>https://imgur.com/a/aH6C5Aa</v>
      </c>
      <c r="D372" s="84"/>
      <c r="E372" s="130"/>
      <c r="F372" s="84"/>
      <c r="G372" s="130"/>
    </row>
    <row r="373">
      <c r="A373" s="11" t="str">
        <f>IFERROR(__xludf.DUMMYFUNCTION("""COMPUTED_VALUE"""),"Shelgon")</f>
        <v>Shelgon</v>
      </c>
      <c r="B373" s="84" t="str">
        <f>IFERROR(__xludf.DUMMYFUNCTION("""COMPUTED_VALUE"""),"Sonia")</f>
        <v>Sonia</v>
      </c>
      <c r="C373" s="129" t="str">
        <f>IFERROR(__xludf.DUMMYFUNCTION("""COMPUTED_VALUE"""),"https://imgur.com/a/aH6C5Aa")</f>
        <v>https://imgur.com/a/aH6C5Aa</v>
      </c>
      <c r="D373" s="84"/>
      <c r="E373" s="130"/>
      <c r="F373" s="84"/>
      <c r="G373" s="130"/>
    </row>
    <row r="374">
      <c r="A374" s="11" t="str">
        <f>IFERROR(__xludf.DUMMYFUNCTION("""COMPUTED_VALUE"""),"Salamence")</f>
        <v>Salamence</v>
      </c>
      <c r="B374" s="84" t="str">
        <f>IFERROR(__xludf.DUMMYFUNCTION("""COMPUTED_VALUE"""),"Sonia")</f>
        <v>Sonia</v>
      </c>
      <c r="C374" s="129" t="str">
        <f>IFERROR(__xludf.DUMMYFUNCTION("""COMPUTED_VALUE"""),"https://imgur.com/a/aH6C5Aa")</f>
        <v>https://imgur.com/a/aH6C5Aa</v>
      </c>
      <c r="D374" s="84"/>
      <c r="E374" s="130"/>
      <c r="F374" s="84"/>
      <c r="G374" s="130"/>
    </row>
    <row r="375">
      <c r="A375" s="11" t="str">
        <f>IFERROR(__xludf.DUMMYFUNCTION("""COMPUTED_VALUE"""),"Beldum")</f>
        <v>Beldum</v>
      </c>
      <c r="B375" s="84" t="str">
        <f>IFERROR(__xludf.DUMMYFUNCTION("""COMPUTED_VALUE"""),"Ester")</f>
        <v>Ester</v>
      </c>
      <c r="C375" s="129" t="str">
        <f>IFERROR(__xludf.DUMMYFUNCTION("""COMPUTED_VALUE"""),"https://imgur.com/a/63Z6NBG")</f>
        <v>https://imgur.com/a/63Z6NBG</v>
      </c>
      <c r="D375" s="84"/>
      <c r="E375" s="130"/>
      <c r="F375" s="84"/>
      <c r="G375" s="130"/>
    </row>
    <row r="376">
      <c r="A376" s="11" t="str">
        <f>IFERROR(__xludf.DUMMYFUNCTION("""COMPUTED_VALUE"""),"Metang")</f>
        <v>Metang</v>
      </c>
      <c r="B376" s="84" t="str">
        <f>IFERROR(__xludf.DUMMYFUNCTION("""COMPUTED_VALUE"""),"Ester")</f>
        <v>Ester</v>
      </c>
      <c r="C376" s="129" t="str">
        <f>IFERROR(__xludf.DUMMYFUNCTION("""COMPUTED_VALUE"""),"https://imgur.com/a/63Z6NBG")</f>
        <v>https://imgur.com/a/63Z6NBG</v>
      </c>
      <c r="D376" s="84"/>
      <c r="E376" s="130"/>
      <c r="F376" s="84"/>
      <c r="G376" s="130"/>
    </row>
    <row r="377">
      <c r="A377" s="11" t="str">
        <f>IFERROR(__xludf.DUMMYFUNCTION("""COMPUTED_VALUE"""),"Metagross")</f>
        <v>Metagross</v>
      </c>
      <c r="B377" s="84" t="str">
        <f>IFERROR(__xludf.DUMMYFUNCTION("""COMPUTED_VALUE"""),"Ester")</f>
        <v>Ester</v>
      </c>
      <c r="C377" s="129" t="str">
        <f>IFERROR(__xludf.DUMMYFUNCTION("""COMPUTED_VALUE"""),"https://imgur.com/a/63Z6NBG")</f>
        <v>https://imgur.com/a/63Z6NBG</v>
      </c>
      <c r="D377" s="84"/>
      <c r="E377" s="130"/>
      <c r="F377" s="84"/>
      <c r="G377" s="130"/>
    </row>
    <row r="378">
      <c r="A378" s="11" t="str">
        <f>IFERROR(__xludf.DUMMYFUNCTION("""COMPUTED_VALUE"""),"Regirock")</f>
        <v>Regirock</v>
      </c>
      <c r="B378" s="84"/>
      <c r="C378" s="130"/>
      <c r="D378" s="84"/>
      <c r="E378" s="130"/>
      <c r="F378" s="84"/>
      <c r="G378" s="130"/>
    </row>
    <row r="379">
      <c r="A379" s="11" t="str">
        <f>IFERROR(__xludf.DUMMYFUNCTION("""COMPUTED_VALUE"""),"Regice")</f>
        <v>Regice</v>
      </c>
      <c r="B379" s="84"/>
      <c r="C379" s="130"/>
      <c r="D379" s="84"/>
      <c r="E379" s="130"/>
      <c r="F379" s="84"/>
      <c r="G379" s="130"/>
    </row>
    <row r="380">
      <c r="A380" s="11" t="str">
        <f>IFERROR(__xludf.DUMMYFUNCTION("""COMPUTED_VALUE"""),"Registeel")</f>
        <v>Registeel</v>
      </c>
      <c r="B380" s="84"/>
      <c r="C380" s="130"/>
      <c r="D380" s="84"/>
      <c r="E380" s="130"/>
      <c r="F380" s="84"/>
      <c r="G380" s="130"/>
    </row>
    <row r="381">
      <c r="A381" s="11" t="str">
        <f>IFERROR(__xludf.DUMMYFUNCTION("""COMPUTED_VALUE"""),"Latios")</f>
        <v>Latios</v>
      </c>
      <c r="B381" s="84"/>
      <c r="C381" s="130"/>
      <c r="D381" s="84"/>
      <c r="E381" s="130"/>
      <c r="F381" s="84"/>
      <c r="G381" s="130"/>
    </row>
    <row r="382">
      <c r="A382" s="11" t="str">
        <f>IFERROR(__xludf.DUMMYFUNCTION("""COMPUTED_VALUE"""),"Latias")</f>
        <v>Latias</v>
      </c>
      <c r="B382" s="84"/>
      <c r="C382" s="130"/>
      <c r="D382" s="84"/>
      <c r="E382" s="130"/>
      <c r="F382" s="84"/>
      <c r="G382" s="130"/>
    </row>
    <row r="383">
      <c r="A383" s="11" t="str">
        <f>IFERROR(__xludf.DUMMYFUNCTION("""COMPUTED_VALUE"""),"Kyogre")</f>
        <v>Kyogre</v>
      </c>
      <c r="B383" s="84"/>
      <c r="C383" s="130"/>
      <c r="D383" s="84"/>
      <c r="E383" s="130"/>
      <c r="F383" s="84"/>
      <c r="G383" s="130"/>
    </row>
    <row r="384">
      <c r="A384" s="11" t="str">
        <f>IFERROR(__xludf.DUMMYFUNCTION("""COMPUTED_VALUE"""),"Groudon")</f>
        <v>Groudon</v>
      </c>
      <c r="B384" s="84"/>
      <c r="C384" s="130"/>
      <c r="D384" s="84"/>
      <c r="E384" s="130"/>
      <c r="F384" s="84"/>
      <c r="G384" s="130"/>
    </row>
    <row r="385">
      <c r="A385" s="11" t="str">
        <f>IFERROR(__xludf.DUMMYFUNCTION("""COMPUTED_VALUE"""),"Rayquaza")</f>
        <v>Rayquaza</v>
      </c>
      <c r="B385" s="84"/>
      <c r="C385" s="130"/>
      <c r="D385" s="84"/>
      <c r="E385" s="130"/>
      <c r="F385" s="84"/>
      <c r="G385" s="130"/>
    </row>
    <row r="386">
      <c r="A386" s="11" t="str">
        <f>IFERROR(__xludf.DUMMYFUNCTION("""COMPUTED_VALUE"""),"Jirachi")</f>
        <v>Jirachi</v>
      </c>
      <c r="B386" s="84"/>
      <c r="C386" s="130"/>
      <c r="D386" s="84"/>
      <c r="E386" s="130"/>
      <c r="F386" s="84"/>
      <c r="G386" s="130"/>
    </row>
    <row r="387">
      <c r="A387" s="11" t="str">
        <f>IFERROR(__xludf.DUMMYFUNCTION("""COMPUTED_VALUE"""),"Deoxys")</f>
        <v>Deoxys</v>
      </c>
      <c r="B387" s="84"/>
      <c r="C387" s="130"/>
      <c r="D387" s="84"/>
      <c r="E387" s="130"/>
      <c r="F387" s="84"/>
      <c r="G387" s="130"/>
    </row>
    <row r="388">
      <c r="A388" s="11" t="str">
        <f>IFERROR(__xludf.DUMMYFUNCTION("""COMPUTED_VALUE"""),"Turtwig")</f>
        <v>Turtwig</v>
      </c>
      <c r="B388" s="84"/>
      <c r="C388" s="130"/>
      <c r="D388" s="84"/>
      <c r="E388" s="130"/>
      <c r="F388" s="84"/>
      <c r="G388" s="130"/>
    </row>
    <row r="389">
      <c r="A389" s="11" t="str">
        <f>IFERROR(__xludf.DUMMYFUNCTION("""COMPUTED_VALUE"""),"Grotle")</f>
        <v>Grotle</v>
      </c>
      <c r="B389" s="84"/>
      <c r="C389" s="130"/>
      <c r="D389" s="84"/>
      <c r="E389" s="130"/>
      <c r="F389" s="84"/>
      <c r="G389" s="130"/>
    </row>
    <row r="390">
      <c r="A390" s="11" t="str">
        <f>IFERROR(__xludf.DUMMYFUNCTION("""COMPUTED_VALUE"""),"Torterra")</f>
        <v>Torterra</v>
      </c>
      <c r="B390" s="84"/>
      <c r="C390" s="130"/>
      <c r="D390" s="84"/>
      <c r="E390" s="130"/>
      <c r="F390" s="84"/>
      <c r="G390" s="130"/>
    </row>
    <row r="391">
      <c r="A391" s="11" t="str">
        <f>IFERROR(__xludf.DUMMYFUNCTION("""COMPUTED_VALUE"""),"Chimchar")</f>
        <v>Chimchar</v>
      </c>
      <c r="B391" s="84"/>
      <c r="C391" s="130"/>
      <c r="D391" s="84"/>
      <c r="E391" s="130"/>
      <c r="F391" s="84"/>
      <c r="G391" s="130"/>
    </row>
    <row r="392">
      <c r="A392" s="11" t="str">
        <f>IFERROR(__xludf.DUMMYFUNCTION("""COMPUTED_VALUE"""),"Monferno")</f>
        <v>Monferno</v>
      </c>
      <c r="B392" s="84"/>
      <c r="C392" s="130"/>
      <c r="D392" s="84"/>
      <c r="E392" s="130"/>
      <c r="F392" s="84"/>
      <c r="G392" s="130"/>
    </row>
    <row r="393">
      <c r="A393" s="11" t="str">
        <f>IFERROR(__xludf.DUMMYFUNCTION("""COMPUTED_VALUE"""),"Infernape")</f>
        <v>Infernape</v>
      </c>
      <c r="B393" s="84"/>
      <c r="C393" s="130"/>
      <c r="D393" s="84"/>
      <c r="E393" s="130"/>
      <c r="F393" s="84"/>
      <c r="G393" s="130"/>
    </row>
    <row r="394">
      <c r="A394" s="11" t="str">
        <f>IFERROR(__xludf.DUMMYFUNCTION("""COMPUTED_VALUE"""),"Shinx")</f>
        <v>Shinx</v>
      </c>
      <c r="B394" s="84"/>
      <c r="C394" s="130"/>
      <c r="D394" s="84"/>
      <c r="E394" s="130"/>
      <c r="F394" s="84"/>
      <c r="G394" s="130"/>
    </row>
    <row r="395">
      <c r="A395" s="11" t="str">
        <f>IFERROR(__xludf.DUMMYFUNCTION("""COMPUTED_VALUE"""),"Luxio")</f>
        <v>Luxio</v>
      </c>
      <c r="B395" s="84"/>
      <c r="C395" s="130"/>
      <c r="D395" s="84"/>
      <c r="E395" s="130"/>
      <c r="F395" s="84"/>
      <c r="G395" s="130"/>
    </row>
    <row r="396">
      <c r="A396" s="11" t="str">
        <f>IFERROR(__xludf.DUMMYFUNCTION("""COMPUTED_VALUE"""),"Luxray")</f>
        <v>Luxray</v>
      </c>
      <c r="B396" s="84"/>
      <c r="C396" s="130"/>
      <c r="D396" s="84"/>
      <c r="E396" s="130"/>
      <c r="F396" s="84"/>
      <c r="G396" s="130"/>
    </row>
    <row r="397">
      <c r="A397" s="11" t="str">
        <f>IFERROR(__xludf.DUMMYFUNCTION("""COMPUTED_VALUE"""),"Cranidos")</f>
        <v>Cranidos</v>
      </c>
      <c r="B397" s="84"/>
      <c r="C397" s="130"/>
      <c r="D397" s="84"/>
      <c r="E397" s="130"/>
      <c r="F397" s="84"/>
      <c r="G397" s="130"/>
    </row>
    <row r="398">
      <c r="A398" s="11" t="str">
        <f>IFERROR(__xludf.DUMMYFUNCTION("""COMPUTED_VALUE"""),"Rampardos")</f>
        <v>Rampardos</v>
      </c>
      <c r="B398" s="84"/>
      <c r="C398" s="130"/>
      <c r="D398" s="84"/>
      <c r="E398" s="130"/>
      <c r="F398" s="84"/>
      <c r="G398" s="130"/>
    </row>
    <row r="399">
      <c r="A399" s="11" t="str">
        <f>IFERROR(__xludf.DUMMYFUNCTION("""COMPUTED_VALUE"""),"Pachirisu")</f>
        <v>Pachirisu</v>
      </c>
      <c r="B399" s="84" t="str">
        <f>IFERROR(__xludf.DUMMYFUNCTION("""COMPUTED_VALUE"""),"Edmund")</f>
        <v>Edmund</v>
      </c>
      <c r="C399" s="129" t="str">
        <f>IFERROR(__xludf.DUMMYFUNCTION("""COMPUTED_VALUE"""),"https://imgur.com/a/AHqoyTH")</f>
        <v>https://imgur.com/a/AHqoyTH</v>
      </c>
      <c r="D399" s="84"/>
      <c r="E399" s="130"/>
      <c r="F399" s="84"/>
      <c r="G399" s="130"/>
    </row>
    <row r="400">
      <c r="A400" s="11" t="str">
        <f>IFERROR(__xludf.DUMMYFUNCTION("""COMPUTED_VALUE"""),"Lopuny")</f>
        <v>Lopuny</v>
      </c>
      <c r="B400" s="84"/>
      <c r="C400" s="130"/>
      <c r="D400" s="84"/>
      <c r="E400" s="130"/>
      <c r="F400" s="84"/>
      <c r="G400" s="130"/>
    </row>
    <row r="401">
      <c r="A401" s="11" t="str">
        <f>IFERROR(__xludf.DUMMYFUNCTION("""COMPUTED_VALUE"""),"Riolu")</f>
        <v>Riolu</v>
      </c>
      <c r="B401" s="84"/>
      <c r="C401" s="130"/>
      <c r="D401" s="84"/>
      <c r="E401" s="130"/>
      <c r="F401" s="84"/>
      <c r="G401" s="130"/>
    </row>
    <row r="402">
      <c r="A402" s="11" t="str">
        <f>IFERROR(__xludf.DUMMYFUNCTION("""COMPUTED_VALUE"""),"Lucario")</f>
        <v>Lucario</v>
      </c>
      <c r="B402" s="84"/>
      <c r="C402" s="130"/>
      <c r="D402" s="84"/>
      <c r="E402" s="130"/>
      <c r="F402" s="84"/>
      <c r="G402" s="130"/>
    </row>
    <row r="403">
      <c r="A403" s="11" t="str">
        <f>IFERROR(__xludf.DUMMYFUNCTION("""COMPUTED_VALUE"""),"Croagunk")</f>
        <v>Croagunk</v>
      </c>
      <c r="B403" s="84"/>
      <c r="C403" s="130"/>
      <c r="D403" s="84"/>
      <c r="E403" s="130"/>
      <c r="F403" s="84"/>
      <c r="G403" s="130"/>
    </row>
    <row r="404">
      <c r="A404" s="11" t="str">
        <f>IFERROR(__xludf.DUMMYFUNCTION("""COMPUTED_VALUE"""),"Toxicroak")</f>
        <v>Toxicroak</v>
      </c>
      <c r="B404" s="84"/>
      <c r="C404" s="130"/>
      <c r="D404" s="84"/>
      <c r="E404" s="130"/>
      <c r="F404" s="84"/>
      <c r="G404" s="130"/>
    </row>
    <row r="405">
      <c r="A405" s="11" t="str">
        <f>IFERROR(__xludf.DUMMYFUNCTION("""COMPUTED_VALUE"""),"Abomasnow")</f>
        <v>Abomasnow</v>
      </c>
      <c r="B405" s="84"/>
      <c r="C405" s="130"/>
      <c r="D405" s="84"/>
      <c r="E405" s="130"/>
      <c r="F405" s="84"/>
      <c r="G405" s="130"/>
    </row>
    <row r="406">
      <c r="A406" s="11" t="str">
        <f>IFERROR(__xludf.DUMMYFUNCTION("""COMPUTED_VALUE"""),"Rhyperior")</f>
        <v>Rhyperior</v>
      </c>
      <c r="B406" s="84"/>
      <c r="C406" s="130"/>
      <c r="D406" s="84"/>
      <c r="E406" s="130"/>
      <c r="F406" s="84"/>
      <c r="G406" s="130"/>
    </row>
    <row r="407">
      <c r="A407" s="11" t="str">
        <f>IFERROR(__xludf.DUMMYFUNCTION("""COMPUTED_VALUE"""),"Tangrowth")</f>
        <v>Tangrowth</v>
      </c>
      <c r="B407" s="84"/>
      <c r="C407" s="130"/>
      <c r="D407" s="84"/>
      <c r="E407" s="130"/>
      <c r="F407" s="84"/>
      <c r="G407" s="130"/>
    </row>
    <row r="408">
      <c r="A408" s="11" t="str">
        <f>IFERROR(__xludf.DUMMYFUNCTION("""COMPUTED_VALUE"""),"Leafeon")</f>
        <v>Leafeon</v>
      </c>
      <c r="B408" s="84"/>
      <c r="C408" s="130"/>
      <c r="D408" s="84"/>
      <c r="E408" s="130"/>
      <c r="F408" s="84"/>
      <c r="G408" s="130"/>
    </row>
    <row r="409">
      <c r="A409" s="11" t="str">
        <f>IFERROR(__xludf.DUMMYFUNCTION("""COMPUTED_VALUE"""),"Glaceon")</f>
        <v>Glaceon</v>
      </c>
      <c r="B409" s="84"/>
      <c r="C409" s="130"/>
      <c r="D409" s="84"/>
      <c r="E409" s="130"/>
      <c r="F409" s="84"/>
      <c r="G409" s="130"/>
    </row>
    <row r="410">
      <c r="A410" s="11" t="str">
        <f>IFERROR(__xludf.DUMMYFUNCTION("""COMPUTED_VALUE"""),"Gliscor")</f>
        <v>Gliscor</v>
      </c>
      <c r="B410" s="84"/>
      <c r="C410" s="130"/>
      <c r="D410" s="84"/>
      <c r="E410" s="130"/>
      <c r="F410" s="84"/>
      <c r="G410" s="130"/>
    </row>
    <row r="411">
      <c r="A411" s="11" t="str">
        <f>IFERROR(__xludf.DUMMYFUNCTION("""COMPUTED_VALUE"""),"Dusknoir")</f>
        <v>Dusknoir</v>
      </c>
      <c r="B411" s="84"/>
      <c r="C411" s="130"/>
      <c r="D411" s="84"/>
      <c r="E411" s="130"/>
      <c r="F411" s="84"/>
      <c r="G411" s="130"/>
    </row>
    <row r="412">
      <c r="A412" s="11" t="str">
        <f>IFERROR(__xludf.DUMMYFUNCTION("""COMPUTED_VALUE"""),"Audino")</f>
        <v>Audino</v>
      </c>
      <c r="B412" s="84"/>
      <c r="C412" s="130"/>
      <c r="D412" s="84"/>
      <c r="E412" s="130"/>
      <c r="F412" s="84"/>
      <c r="G412" s="130"/>
    </row>
    <row r="413">
      <c r="A413" s="11" t="str">
        <f>IFERROR(__xludf.DUMMYFUNCTION("""COMPUTED_VALUE"""),"Scolipede")</f>
        <v>Scolipede</v>
      </c>
      <c r="B413" s="84"/>
      <c r="C413" s="130"/>
      <c r="D413" s="84"/>
      <c r="E413" s="130"/>
      <c r="F413" s="84"/>
      <c r="G413" s="130"/>
    </row>
    <row r="414">
      <c r="A414" s="11" t="str">
        <f>IFERROR(__xludf.DUMMYFUNCTION("""COMPUTED_VALUE"""),"Trubbish")</f>
        <v>Trubbish</v>
      </c>
      <c r="B414" s="84"/>
      <c r="C414" s="130"/>
      <c r="D414" s="84"/>
      <c r="E414" s="130"/>
      <c r="F414" s="84"/>
      <c r="G414" s="130"/>
    </row>
    <row r="415">
      <c r="A415" s="11" t="str">
        <f>IFERROR(__xludf.DUMMYFUNCTION("""COMPUTED_VALUE"""),"Garbodor")</f>
        <v>Garbodor</v>
      </c>
      <c r="B415" s="84"/>
      <c r="C415" s="130"/>
      <c r="D415" s="84"/>
      <c r="E415" s="130"/>
      <c r="F415" s="84"/>
      <c r="G415" s="130"/>
    </row>
    <row r="416">
      <c r="A416" s="11" t="str">
        <f>IFERROR(__xludf.DUMMYFUNCTION("""COMPUTED_VALUE"""),"Druddigon")</f>
        <v>Druddigon</v>
      </c>
      <c r="B416" s="84"/>
      <c r="C416" s="130"/>
      <c r="D416" s="84"/>
      <c r="E416" s="130"/>
      <c r="F416" s="84"/>
      <c r="G416" s="130"/>
    </row>
    <row r="417">
      <c r="A417" s="11" t="str">
        <f>IFERROR(__xludf.DUMMYFUNCTION("""COMPUTED_VALUE"""),"Deino")</f>
        <v>Deino</v>
      </c>
      <c r="B417" s="84"/>
      <c r="C417" s="130"/>
      <c r="D417" s="84"/>
      <c r="E417" s="130"/>
      <c r="F417" s="84"/>
      <c r="G417" s="130"/>
    </row>
    <row r="418">
      <c r="A418" s="11" t="str">
        <f>IFERROR(__xludf.DUMMYFUNCTION("""COMPUTED_VALUE"""),"Zweilous")</f>
        <v>Zweilous</v>
      </c>
      <c r="B418" s="84"/>
      <c r="C418" s="130"/>
      <c r="D418" s="84"/>
      <c r="E418" s="130"/>
      <c r="F418" s="84"/>
      <c r="G418" s="130"/>
    </row>
    <row r="419">
      <c r="A419" s="11" t="str">
        <f>IFERROR(__xludf.DUMMYFUNCTION("""COMPUTED_VALUE"""),"Hydreigon")</f>
        <v>Hydreigon</v>
      </c>
      <c r="B419" s="84"/>
      <c r="C419" s="130"/>
      <c r="D419" s="84"/>
      <c r="E419" s="130"/>
      <c r="F419" s="84"/>
      <c r="G419" s="130"/>
    </row>
    <row r="420">
      <c r="A420" s="11" t="str">
        <f>IFERROR(__xludf.DUMMYFUNCTION("""COMPUTED_VALUE"""),"Flabébé")</f>
        <v>Flabébé</v>
      </c>
      <c r="B420" s="84"/>
      <c r="C420" s="130"/>
      <c r="D420" s="84"/>
      <c r="E420" s="130"/>
      <c r="F420" s="84"/>
      <c r="G420" s="130"/>
    </row>
    <row r="421">
      <c r="A421" s="11" t="str">
        <f>IFERROR(__xludf.DUMMYFUNCTION("""COMPUTED_VALUE"""),"Floette")</f>
        <v>Floette</v>
      </c>
      <c r="B421" s="84"/>
      <c r="C421" s="130"/>
      <c r="D421" s="84"/>
      <c r="E421" s="130"/>
      <c r="F421" s="84"/>
      <c r="G421" s="130"/>
    </row>
    <row r="422">
      <c r="A422" s="11" t="str">
        <f>IFERROR(__xludf.DUMMYFUNCTION("""COMPUTED_VALUE"""),"Florges")</f>
        <v>Florges</v>
      </c>
      <c r="B422" s="84"/>
      <c r="C422" s="130"/>
      <c r="D422" s="84"/>
      <c r="E422" s="130"/>
      <c r="F422" s="84"/>
      <c r="G422" s="130"/>
    </row>
    <row r="423">
      <c r="A423" s="11" t="str">
        <f>IFERROR(__xludf.DUMMYFUNCTION("""COMPUTED_VALUE"""),"Skiddo")</f>
        <v>Skiddo</v>
      </c>
      <c r="B423" s="84"/>
      <c r="C423" s="130"/>
      <c r="D423" s="84"/>
      <c r="E423" s="130"/>
      <c r="F423" s="84"/>
      <c r="G423" s="130"/>
    </row>
    <row r="424">
      <c r="A424" s="11" t="str">
        <f>IFERROR(__xludf.DUMMYFUNCTION("""COMPUTED_VALUE"""),"Gogoat")</f>
        <v>Gogoat</v>
      </c>
      <c r="B424" s="84"/>
      <c r="C424" s="130"/>
      <c r="D424" s="84"/>
      <c r="E424" s="130"/>
      <c r="F424" s="84"/>
      <c r="G424" s="130"/>
    </row>
    <row r="425">
      <c r="A425" s="11" t="str">
        <f>IFERROR(__xludf.DUMMYFUNCTION("""COMPUTED_VALUE"""),"Dragalge")</f>
        <v>Dragalge</v>
      </c>
      <c r="B425" s="84"/>
      <c r="C425" s="130"/>
      <c r="D425" s="84"/>
      <c r="E425" s="130"/>
      <c r="F425" s="84"/>
      <c r="G425" s="130"/>
    </row>
    <row r="426">
      <c r="A426" s="11" t="str">
        <f>IFERROR(__xludf.DUMMYFUNCTION("""COMPUTED_VALUE"""),"Sylveon")</f>
        <v>Sylveon</v>
      </c>
      <c r="B426" s="84"/>
      <c r="C426" s="130"/>
      <c r="D426" s="84"/>
      <c r="E426" s="130"/>
      <c r="F426" s="84"/>
      <c r="G426" s="130"/>
    </row>
    <row r="427">
      <c r="A427" s="11" t="str">
        <f>IFERROR(__xludf.DUMMYFUNCTION("""COMPUTED_VALUE"""),"Mimikyu")</f>
        <v>Mimikyu</v>
      </c>
      <c r="B427" s="84" t="str">
        <f>IFERROR(__xludf.DUMMYFUNCTION("""COMPUTED_VALUE"""),"Kyra")</f>
        <v>Kyra</v>
      </c>
      <c r="C427" s="129" t="str">
        <f>IFERROR(__xludf.DUMMYFUNCTION("""COMPUTED_VALUE"""),"https://imgur.com/a/UvNX1DL")</f>
        <v>https://imgur.com/a/UvNX1DL</v>
      </c>
      <c r="D427" s="84"/>
      <c r="E427" s="130"/>
      <c r="F427" s="84"/>
      <c r="G427" s="130"/>
    </row>
    <row r="428">
      <c r="A428" s="11"/>
      <c r="B428" s="84"/>
      <c r="C428" s="130"/>
      <c r="D428" s="84"/>
      <c r="E428" s="130"/>
      <c r="F428" s="84"/>
      <c r="G428" s="130"/>
    </row>
    <row r="429">
      <c r="A429" s="11"/>
      <c r="B429" s="84"/>
      <c r="C429" s="130"/>
      <c r="D429" s="84"/>
      <c r="E429" s="130"/>
      <c r="F429" s="84"/>
      <c r="G429" s="130"/>
    </row>
    <row r="430">
      <c r="A430" s="11"/>
      <c r="B430" s="84"/>
      <c r="C430" s="130"/>
      <c r="D430" s="84"/>
      <c r="E430" s="130"/>
      <c r="F430" s="84"/>
      <c r="G430" s="130"/>
    </row>
    <row r="431">
      <c r="A431" s="11"/>
      <c r="B431" s="84"/>
      <c r="C431" s="130"/>
      <c r="D431" s="84"/>
      <c r="E431" s="130"/>
      <c r="F431" s="84"/>
      <c r="G431" s="130"/>
    </row>
    <row r="432">
      <c r="A432" s="11"/>
      <c r="B432" s="84"/>
      <c r="C432" s="130"/>
      <c r="D432" s="84"/>
      <c r="E432" s="130"/>
      <c r="F432" s="84"/>
      <c r="G432" s="130"/>
    </row>
    <row r="433">
      <c r="A433" s="11"/>
      <c r="B433" s="84"/>
      <c r="C433" s="130"/>
      <c r="D433" s="84"/>
      <c r="E433" s="130"/>
      <c r="F433" s="84"/>
      <c r="G433" s="130"/>
    </row>
    <row r="434">
      <c r="A434" s="11"/>
      <c r="B434" s="84"/>
      <c r="C434" s="130"/>
      <c r="D434" s="84"/>
      <c r="E434" s="130"/>
      <c r="F434" s="84"/>
      <c r="G434" s="130"/>
    </row>
    <row r="435">
      <c r="A435" s="11"/>
      <c r="B435" s="84"/>
      <c r="C435" s="130"/>
      <c r="D435" s="84"/>
      <c r="E435" s="130"/>
      <c r="F435" s="84"/>
      <c r="G435" s="130"/>
    </row>
    <row r="436">
      <c r="A436" s="11"/>
      <c r="B436" s="84"/>
      <c r="C436" s="130"/>
      <c r="D436" s="84"/>
      <c r="E436" s="130"/>
      <c r="F436" s="84"/>
      <c r="G436" s="130"/>
    </row>
    <row r="437">
      <c r="A437" s="11"/>
      <c r="B437" s="84"/>
      <c r="C437" s="130"/>
      <c r="D437" s="84"/>
      <c r="E437" s="130"/>
      <c r="F437" s="84"/>
      <c r="G437" s="130"/>
    </row>
    <row r="438">
      <c r="A438" s="11"/>
      <c r="B438" s="84"/>
      <c r="C438" s="130"/>
      <c r="D438" s="84"/>
      <c r="E438" s="130"/>
      <c r="F438" s="84"/>
      <c r="G438" s="130"/>
    </row>
    <row r="439">
      <c r="A439" s="11"/>
      <c r="B439" s="84"/>
      <c r="C439" s="130"/>
      <c r="D439" s="84"/>
      <c r="E439" s="130"/>
      <c r="F439" s="84"/>
      <c r="G439" s="130"/>
    </row>
    <row r="440">
      <c r="A440" s="11"/>
      <c r="B440" s="84"/>
      <c r="C440" s="130"/>
      <c r="D440" s="84"/>
      <c r="E440" s="130"/>
      <c r="F440" s="84"/>
      <c r="G440" s="130"/>
    </row>
    <row r="441">
      <c r="A441" s="11"/>
      <c r="B441" s="84"/>
      <c r="C441" s="130"/>
      <c r="D441" s="84"/>
      <c r="E441" s="130"/>
      <c r="F441" s="84"/>
      <c r="G441" s="130"/>
    </row>
    <row r="442">
      <c r="A442" s="11"/>
      <c r="B442" s="84"/>
      <c r="C442" s="130"/>
      <c r="D442" s="84"/>
      <c r="E442" s="130"/>
      <c r="F442" s="84"/>
      <c r="G442" s="130"/>
    </row>
    <row r="443">
      <c r="A443" s="11"/>
      <c r="B443" s="84"/>
      <c r="C443" s="130"/>
      <c r="D443" s="84"/>
      <c r="E443" s="130"/>
      <c r="F443" s="84"/>
      <c r="G443" s="130"/>
    </row>
    <row r="444">
      <c r="A444" s="11"/>
      <c r="B444" s="84"/>
      <c r="C444" s="130"/>
      <c r="D444" s="84"/>
      <c r="E444" s="130"/>
      <c r="F444" s="84"/>
      <c r="G444" s="130"/>
    </row>
    <row r="445">
      <c r="A445" s="11"/>
      <c r="B445" s="84"/>
      <c r="C445" s="130"/>
      <c r="D445" s="84"/>
      <c r="E445" s="130"/>
      <c r="F445" s="84"/>
      <c r="G445" s="130"/>
    </row>
    <row r="446">
      <c r="A446" s="11"/>
      <c r="B446" s="84"/>
      <c r="C446" s="130"/>
      <c r="D446" s="84"/>
      <c r="E446" s="130"/>
      <c r="F446" s="84"/>
      <c r="G446" s="130"/>
    </row>
    <row r="447">
      <c r="A447" s="11"/>
      <c r="B447" s="84"/>
      <c r="C447" s="130"/>
      <c r="D447" s="84"/>
      <c r="E447" s="130"/>
      <c r="F447" s="84"/>
      <c r="G447" s="130"/>
    </row>
    <row r="448">
      <c r="A448" s="11"/>
      <c r="B448" s="84"/>
      <c r="C448" s="130"/>
      <c r="D448" s="84"/>
      <c r="E448" s="130"/>
      <c r="F448" s="84"/>
      <c r="G448" s="130"/>
    </row>
    <row r="449">
      <c r="A449" s="11"/>
      <c r="B449" s="84"/>
      <c r="C449" s="130"/>
      <c r="D449" s="84"/>
      <c r="E449" s="130"/>
      <c r="F449" s="84"/>
      <c r="G449" s="130"/>
    </row>
    <row r="450">
      <c r="A450" s="11"/>
      <c r="B450" s="84"/>
      <c r="C450" s="130"/>
      <c r="D450" s="84"/>
      <c r="E450" s="130"/>
      <c r="F450" s="84"/>
      <c r="G450" s="130"/>
    </row>
    <row r="451">
      <c r="A451" s="11"/>
      <c r="B451" s="84"/>
      <c r="C451" s="130"/>
      <c r="D451" s="84"/>
      <c r="E451" s="130"/>
      <c r="F451" s="84"/>
      <c r="G451" s="130"/>
    </row>
    <row r="452">
      <c r="A452" s="11"/>
      <c r="B452" s="84"/>
      <c r="C452" s="130"/>
      <c r="D452" s="84"/>
      <c r="E452" s="130"/>
      <c r="F452" s="84"/>
      <c r="G452" s="130"/>
    </row>
    <row r="453">
      <c r="A453" s="11"/>
      <c r="B453" s="84"/>
      <c r="C453" s="130"/>
      <c r="D453" s="84"/>
      <c r="E453" s="130"/>
      <c r="F453" s="84"/>
      <c r="G453" s="130"/>
    </row>
    <row r="454">
      <c r="A454" s="11"/>
      <c r="B454" s="84"/>
      <c r="C454" s="130"/>
      <c r="D454" s="84"/>
      <c r="E454" s="130"/>
      <c r="F454" s="84"/>
      <c r="G454" s="130"/>
    </row>
    <row r="455">
      <c r="A455" s="11"/>
      <c r="B455" s="84"/>
      <c r="C455" s="130"/>
      <c r="D455" s="84"/>
      <c r="E455" s="130"/>
      <c r="F455" s="84"/>
      <c r="G455" s="130"/>
    </row>
    <row r="456">
      <c r="A456" s="11"/>
      <c r="B456" s="84"/>
      <c r="C456" s="130"/>
      <c r="D456" s="84"/>
      <c r="E456" s="130"/>
      <c r="F456" s="84"/>
      <c r="G456" s="130"/>
    </row>
    <row r="457">
      <c r="A457" s="11"/>
      <c r="B457" s="84"/>
      <c r="C457" s="130"/>
      <c r="D457" s="84"/>
      <c r="E457" s="130"/>
      <c r="F457" s="84"/>
      <c r="G457" s="130"/>
    </row>
    <row r="458">
      <c r="A458" s="11"/>
      <c r="B458" s="84"/>
      <c r="C458" s="130"/>
      <c r="D458" s="84"/>
      <c r="E458" s="130"/>
      <c r="F458" s="84"/>
      <c r="G458" s="130"/>
    </row>
    <row r="459">
      <c r="A459" s="11"/>
      <c r="B459" s="84"/>
      <c r="C459" s="130"/>
      <c r="D459" s="84"/>
      <c r="E459" s="130"/>
      <c r="F459" s="84"/>
      <c r="G459" s="130"/>
    </row>
    <row r="460">
      <c r="A460" s="11"/>
      <c r="B460" s="84"/>
      <c r="C460" s="130"/>
      <c r="D460" s="84"/>
      <c r="E460" s="130"/>
      <c r="F460" s="84"/>
      <c r="G460" s="130"/>
    </row>
    <row r="461">
      <c r="A461" s="11"/>
      <c r="B461" s="84"/>
      <c r="C461" s="130"/>
      <c r="D461" s="84"/>
      <c r="E461" s="130"/>
      <c r="F461" s="84"/>
      <c r="G461" s="130"/>
    </row>
    <row r="462">
      <c r="A462" s="11"/>
      <c r="B462" s="84"/>
      <c r="C462" s="130"/>
      <c r="D462" s="84"/>
      <c r="E462" s="130"/>
      <c r="F462" s="84"/>
      <c r="G462" s="130"/>
    </row>
    <row r="463">
      <c r="A463" s="11"/>
      <c r="B463" s="84"/>
      <c r="C463" s="130"/>
      <c r="D463" s="84"/>
      <c r="E463" s="130"/>
      <c r="F463" s="84"/>
      <c r="G463" s="130"/>
    </row>
    <row r="464">
      <c r="A464" s="11"/>
      <c r="B464" s="84"/>
      <c r="C464" s="130"/>
      <c r="D464" s="84"/>
      <c r="E464" s="130"/>
      <c r="F464" s="84"/>
      <c r="G464" s="130"/>
    </row>
    <row r="465">
      <c r="A465" s="11"/>
      <c r="B465" s="84"/>
      <c r="C465" s="130"/>
      <c r="D465" s="84"/>
      <c r="E465" s="130"/>
      <c r="F465" s="84"/>
      <c r="G465" s="130"/>
    </row>
    <row r="466">
      <c r="A466" s="11"/>
      <c r="B466" s="84"/>
      <c r="C466" s="130"/>
      <c r="D466" s="84"/>
      <c r="E466" s="130"/>
      <c r="F466" s="84"/>
      <c r="G466" s="130"/>
    </row>
    <row r="467">
      <c r="A467" s="11"/>
      <c r="B467" s="84"/>
      <c r="C467" s="130"/>
      <c r="D467" s="84"/>
      <c r="E467" s="130"/>
      <c r="F467" s="84"/>
      <c r="G467" s="130"/>
    </row>
    <row r="468">
      <c r="A468" s="11"/>
      <c r="B468" s="84"/>
      <c r="C468" s="130"/>
      <c r="D468" s="84"/>
      <c r="E468" s="130"/>
      <c r="F468" s="84"/>
      <c r="G468" s="130"/>
    </row>
    <row r="469">
      <c r="A469" s="11"/>
      <c r="B469" s="84"/>
      <c r="C469" s="130"/>
      <c r="D469" s="84"/>
      <c r="E469" s="130"/>
      <c r="F469" s="84"/>
      <c r="G469" s="130"/>
    </row>
    <row r="470">
      <c r="A470" s="11"/>
      <c r="B470" s="84"/>
      <c r="C470" s="130"/>
      <c r="D470" s="84"/>
      <c r="E470" s="130"/>
      <c r="F470" s="84"/>
      <c r="G470" s="130"/>
    </row>
    <row r="471">
      <c r="A471" s="11"/>
      <c r="B471" s="84"/>
      <c r="C471" s="130"/>
      <c r="D471" s="84"/>
      <c r="E471" s="130"/>
      <c r="F471" s="84"/>
      <c r="G471" s="130"/>
    </row>
    <row r="472">
      <c r="A472" s="11"/>
      <c r="B472" s="84"/>
      <c r="C472" s="130"/>
      <c r="D472" s="84"/>
      <c r="E472" s="130"/>
      <c r="F472" s="84"/>
      <c r="G472" s="130"/>
    </row>
    <row r="473">
      <c r="A473" s="11"/>
      <c r="B473" s="84"/>
      <c r="C473" s="130"/>
      <c r="D473" s="84"/>
      <c r="E473" s="130"/>
      <c r="F473" s="84"/>
      <c r="G473" s="130"/>
    </row>
    <row r="474">
      <c r="A474" s="11"/>
      <c r="B474" s="84"/>
      <c r="C474" s="130"/>
      <c r="D474" s="84"/>
      <c r="E474" s="130"/>
      <c r="F474" s="84"/>
      <c r="G474" s="130"/>
    </row>
    <row r="475">
      <c r="A475" s="11"/>
      <c r="B475" s="84"/>
      <c r="C475" s="130"/>
      <c r="D475" s="84"/>
      <c r="E475" s="130"/>
      <c r="F475" s="84"/>
      <c r="G475" s="130"/>
    </row>
    <row r="476">
      <c r="A476" s="11"/>
      <c r="B476" s="84"/>
      <c r="C476" s="130"/>
      <c r="D476" s="84"/>
      <c r="E476" s="130"/>
      <c r="F476" s="84"/>
      <c r="G476" s="130"/>
    </row>
    <row r="477">
      <c r="A477" s="11"/>
      <c r="B477" s="84"/>
      <c r="C477" s="130"/>
      <c r="D477" s="84"/>
      <c r="E477" s="130"/>
      <c r="F477" s="84"/>
      <c r="G477" s="130"/>
    </row>
    <row r="478">
      <c r="A478" s="11"/>
      <c r="B478" s="84"/>
      <c r="C478" s="130"/>
      <c r="D478" s="84"/>
      <c r="E478" s="130"/>
      <c r="F478" s="84"/>
      <c r="G478" s="130"/>
    </row>
    <row r="479">
      <c r="A479" s="11"/>
      <c r="B479" s="84"/>
      <c r="C479" s="130"/>
      <c r="D479" s="84"/>
      <c r="E479" s="130"/>
      <c r="F479" s="84"/>
      <c r="G479" s="130"/>
    </row>
    <row r="480">
      <c r="A480" s="11"/>
      <c r="B480" s="84"/>
      <c r="C480" s="130"/>
      <c r="D480" s="84"/>
      <c r="E480" s="130"/>
      <c r="F480" s="84"/>
      <c r="G480" s="130"/>
    </row>
    <row r="481">
      <c r="A481" s="11"/>
      <c r="B481" s="84"/>
      <c r="C481" s="130"/>
      <c r="D481" s="84"/>
      <c r="E481" s="130"/>
      <c r="F481" s="84"/>
      <c r="G481" s="130"/>
    </row>
    <row r="482">
      <c r="A482" s="11"/>
      <c r="B482" s="84"/>
      <c r="C482" s="130"/>
      <c r="D482" s="84"/>
      <c r="E482" s="130"/>
      <c r="F482" s="84"/>
      <c r="G482" s="130"/>
    </row>
    <row r="483">
      <c r="A483" s="11"/>
      <c r="B483" s="84"/>
      <c r="C483" s="130"/>
      <c r="D483" s="84"/>
      <c r="E483" s="130"/>
      <c r="F483" s="84"/>
      <c r="G483" s="130"/>
    </row>
    <row r="484">
      <c r="A484" s="11"/>
      <c r="B484" s="84"/>
      <c r="C484" s="130"/>
      <c r="D484" s="84"/>
      <c r="E484" s="130"/>
      <c r="F484" s="84"/>
      <c r="G484" s="130"/>
    </row>
    <row r="485">
      <c r="A485" s="11"/>
      <c r="B485" s="84"/>
      <c r="C485" s="130"/>
      <c r="D485" s="84"/>
      <c r="E485" s="130"/>
      <c r="F485" s="84"/>
      <c r="G485" s="130"/>
    </row>
    <row r="486">
      <c r="A486" s="11"/>
      <c r="B486" s="84"/>
      <c r="C486" s="130"/>
      <c r="D486" s="84"/>
      <c r="E486" s="130"/>
      <c r="F486" s="84"/>
      <c r="G486" s="130"/>
    </row>
    <row r="487">
      <c r="A487" s="11"/>
      <c r="B487" s="84"/>
      <c r="C487" s="130"/>
      <c r="D487" s="84"/>
      <c r="E487" s="130"/>
      <c r="F487" s="84"/>
      <c r="G487" s="130"/>
    </row>
    <row r="488">
      <c r="A488" s="11"/>
      <c r="B488" s="84"/>
      <c r="C488" s="130"/>
      <c r="D488" s="84"/>
      <c r="E488" s="130"/>
      <c r="F488" s="84"/>
      <c r="G488" s="130"/>
    </row>
    <row r="489">
      <c r="A489" s="11"/>
      <c r="B489" s="84"/>
      <c r="C489" s="130"/>
      <c r="D489" s="84"/>
      <c r="E489" s="130"/>
      <c r="F489" s="84"/>
      <c r="G489" s="130"/>
    </row>
    <row r="490">
      <c r="A490" s="11"/>
      <c r="B490" s="84"/>
      <c r="C490" s="130"/>
      <c r="D490" s="84"/>
      <c r="E490" s="130"/>
      <c r="F490" s="84"/>
      <c r="G490" s="130"/>
    </row>
    <row r="491">
      <c r="A491" s="11"/>
      <c r="B491" s="84"/>
      <c r="C491" s="130"/>
      <c r="D491" s="84"/>
      <c r="E491" s="130"/>
      <c r="F491" s="84"/>
      <c r="G491" s="130"/>
    </row>
    <row r="492">
      <c r="A492" s="11"/>
      <c r="B492" s="84"/>
      <c r="C492" s="130"/>
      <c r="D492" s="84"/>
      <c r="E492" s="130"/>
      <c r="F492" s="84"/>
      <c r="G492" s="130"/>
    </row>
    <row r="493">
      <c r="A493" s="11"/>
      <c r="B493" s="84"/>
      <c r="C493" s="130"/>
      <c r="D493" s="84"/>
      <c r="E493" s="130"/>
      <c r="F493" s="84"/>
      <c r="G493" s="130"/>
    </row>
    <row r="494">
      <c r="A494" s="11"/>
      <c r="B494" s="84"/>
      <c r="C494" s="130"/>
      <c r="D494" s="84"/>
      <c r="E494" s="130"/>
      <c r="F494" s="84"/>
      <c r="G494" s="130"/>
    </row>
    <row r="495">
      <c r="A495" s="11"/>
      <c r="B495" s="84"/>
      <c r="C495" s="130"/>
      <c r="D495" s="84"/>
      <c r="E495" s="130"/>
      <c r="F495" s="84"/>
      <c r="G495" s="130"/>
    </row>
    <row r="496">
      <c r="A496" s="11"/>
      <c r="B496" s="84"/>
      <c r="C496" s="130"/>
      <c r="D496" s="84"/>
      <c r="E496" s="130"/>
      <c r="F496" s="84"/>
      <c r="G496" s="130"/>
    </row>
    <row r="497">
      <c r="A497" s="11"/>
      <c r="B497" s="84"/>
      <c r="C497" s="130"/>
      <c r="D497" s="84"/>
      <c r="E497" s="130"/>
      <c r="F497" s="84"/>
      <c r="G497" s="130"/>
    </row>
    <row r="498">
      <c r="A498" s="11"/>
      <c r="B498" s="84"/>
      <c r="C498" s="130"/>
      <c r="D498" s="84"/>
      <c r="E498" s="130"/>
      <c r="F498" s="84"/>
      <c r="G498" s="130"/>
    </row>
    <row r="499">
      <c r="A499" s="11"/>
      <c r="B499" s="84"/>
      <c r="C499" s="130"/>
      <c r="D499" s="84"/>
      <c r="E499" s="130"/>
      <c r="F499" s="84"/>
      <c r="G499" s="130"/>
    </row>
    <row r="500">
      <c r="A500" s="11"/>
      <c r="B500" s="84"/>
      <c r="C500" s="130"/>
      <c r="D500" s="84"/>
      <c r="E500" s="130"/>
      <c r="F500" s="84"/>
      <c r="G500" s="130"/>
    </row>
    <row r="501">
      <c r="A501" s="11"/>
      <c r="B501" s="84"/>
      <c r="C501" s="130"/>
      <c r="D501" s="84"/>
      <c r="E501" s="130"/>
      <c r="F501" s="84"/>
      <c r="G501" s="130"/>
    </row>
    <row r="502">
      <c r="A502" s="11"/>
      <c r="B502" s="84"/>
      <c r="C502" s="130"/>
      <c r="D502" s="84"/>
      <c r="E502" s="130"/>
      <c r="F502" s="84"/>
      <c r="G502" s="130"/>
    </row>
    <row r="503">
      <c r="A503" s="11"/>
      <c r="B503" s="84"/>
      <c r="C503" s="130"/>
      <c r="D503" s="84"/>
      <c r="E503" s="130"/>
      <c r="F503" s="84"/>
      <c r="G503" s="130"/>
    </row>
    <row r="504">
      <c r="A504" s="11"/>
      <c r="B504" s="84"/>
      <c r="C504" s="130"/>
      <c r="D504" s="84"/>
      <c r="E504" s="130"/>
      <c r="F504" s="84"/>
      <c r="G504" s="130"/>
    </row>
    <row r="505">
      <c r="A505" s="11"/>
      <c r="B505" s="84"/>
      <c r="C505" s="130"/>
      <c r="D505" s="84"/>
      <c r="E505" s="130"/>
      <c r="F505" s="84"/>
      <c r="G505" s="130"/>
    </row>
    <row r="506">
      <c r="A506" s="11"/>
      <c r="B506" s="84"/>
      <c r="C506" s="130"/>
      <c r="D506" s="84"/>
      <c r="E506" s="130"/>
      <c r="F506" s="84"/>
      <c r="G506" s="130"/>
    </row>
    <row r="507">
      <c r="A507" s="11"/>
      <c r="B507" s="84"/>
      <c r="C507" s="130"/>
      <c r="D507" s="84"/>
      <c r="E507" s="130"/>
      <c r="F507" s="84"/>
      <c r="G507" s="130"/>
    </row>
    <row r="508">
      <c r="A508" s="11"/>
      <c r="B508" s="84"/>
      <c r="C508" s="130"/>
      <c r="D508" s="84"/>
      <c r="E508" s="130"/>
      <c r="F508" s="84"/>
      <c r="G508" s="130"/>
    </row>
    <row r="509">
      <c r="A509" s="11"/>
      <c r="B509" s="84"/>
      <c r="C509" s="130"/>
      <c r="D509" s="84"/>
      <c r="E509" s="130"/>
      <c r="F509" s="84"/>
      <c r="G509" s="130"/>
    </row>
    <row r="510">
      <c r="A510" s="11"/>
      <c r="B510" s="84"/>
      <c r="C510" s="130"/>
      <c r="D510" s="84"/>
      <c r="E510" s="130"/>
      <c r="F510" s="84"/>
      <c r="G510" s="130"/>
    </row>
    <row r="511">
      <c r="A511" s="11"/>
      <c r="B511" s="84"/>
      <c r="C511" s="130"/>
      <c r="D511" s="84"/>
      <c r="E511" s="130"/>
      <c r="F511" s="84"/>
      <c r="G511" s="130"/>
    </row>
    <row r="512">
      <c r="A512" s="11"/>
      <c r="B512" s="84"/>
      <c r="C512" s="130"/>
      <c r="D512" s="84"/>
      <c r="E512" s="130"/>
      <c r="F512" s="84"/>
      <c r="G512" s="130"/>
    </row>
    <row r="513">
      <c r="A513" s="11"/>
      <c r="B513" s="84"/>
      <c r="C513" s="130"/>
      <c r="D513" s="84"/>
      <c r="E513" s="130"/>
      <c r="F513" s="84"/>
      <c r="G513" s="130"/>
    </row>
    <row r="514">
      <c r="A514" s="11"/>
      <c r="B514" s="84"/>
      <c r="C514" s="130"/>
      <c r="D514" s="84"/>
      <c r="E514" s="130"/>
      <c r="F514" s="84"/>
      <c r="G514" s="130"/>
    </row>
    <row r="515">
      <c r="A515" s="11"/>
      <c r="B515" s="84"/>
      <c r="C515" s="130"/>
      <c r="D515" s="84"/>
      <c r="E515" s="130"/>
      <c r="F515" s="84"/>
      <c r="G515" s="130"/>
    </row>
    <row r="516">
      <c r="A516" s="11"/>
      <c r="B516" s="84"/>
      <c r="C516" s="130"/>
      <c r="D516" s="84"/>
      <c r="E516" s="130"/>
      <c r="F516" s="84"/>
      <c r="G516" s="130"/>
    </row>
    <row r="517">
      <c r="A517" s="11"/>
      <c r="B517" s="84"/>
      <c r="C517" s="130"/>
      <c r="D517" s="84"/>
      <c r="E517" s="130"/>
      <c r="F517" s="84"/>
      <c r="G517" s="130"/>
    </row>
    <row r="518">
      <c r="A518" s="11"/>
      <c r="B518" s="84"/>
      <c r="C518" s="130"/>
      <c r="D518" s="84"/>
      <c r="E518" s="130"/>
      <c r="F518" s="84"/>
      <c r="G518" s="130"/>
    </row>
    <row r="519">
      <c r="A519" s="11"/>
      <c r="B519" s="84"/>
      <c r="C519" s="130"/>
      <c r="D519" s="84"/>
      <c r="E519" s="130"/>
      <c r="F519" s="84"/>
      <c r="G519" s="130"/>
    </row>
    <row r="520">
      <c r="A520" s="11"/>
      <c r="B520" s="84"/>
      <c r="C520" s="130"/>
      <c r="D520" s="84"/>
      <c r="E520" s="130"/>
      <c r="F520" s="84"/>
      <c r="G520" s="130"/>
    </row>
    <row r="521">
      <c r="A521" s="11"/>
      <c r="B521" s="84"/>
      <c r="C521" s="130"/>
      <c r="D521" s="84"/>
      <c r="E521" s="130"/>
      <c r="F521" s="84"/>
      <c r="G521" s="130"/>
    </row>
    <row r="522">
      <c r="A522" s="11"/>
      <c r="B522" s="84"/>
      <c r="C522" s="130"/>
      <c r="D522" s="84"/>
      <c r="E522" s="130"/>
      <c r="F522" s="84"/>
      <c r="G522" s="130"/>
    </row>
    <row r="523">
      <c r="A523" s="11"/>
      <c r="B523" s="84"/>
      <c r="C523" s="130"/>
      <c r="D523" s="84"/>
      <c r="E523" s="130"/>
      <c r="F523" s="84"/>
      <c r="G523" s="130"/>
    </row>
    <row r="524">
      <c r="A524" s="11"/>
      <c r="B524" s="84"/>
      <c r="C524" s="130"/>
      <c r="D524" s="84"/>
      <c r="E524" s="130"/>
      <c r="F524" s="84"/>
      <c r="G524" s="130"/>
    </row>
    <row r="525">
      <c r="A525" s="11"/>
      <c r="B525" s="84"/>
      <c r="C525" s="130"/>
      <c r="D525" s="84"/>
      <c r="E525" s="130"/>
      <c r="F525" s="84"/>
      <c r="G525" s="130"/>
    </row>
    <row r="526">
      <c r="A526" s="11"/>
      <c r="B526" s="84"/>
      <c r="C526" s="130"/>
      <c r="D526" s="84"/>
      <c r="E526" s="130"/>
      <c r="F526" s="84"/>
      <c r="G526" s="130"/>
    </row>
    <row r="527">
      <c r="A527" s="11"/>
      <c r="B527" s="84"/>
      <c r="C527" s="130"/>
      <c r="D527" s="84"/>
      <c r="E527" s="130"/>
      <c r="F527" s="84"/>
      <c r="G527" s="130"/>
    </row>
    <row r="528">
      <c r="A528" s="11"/>
      <c r="B528" s="84"/>
      <c r="C528" s="130"/>
      <c r="D528" s="84"/>
      <c r="E528" s="130"/>
      <c r="F528" s="84"/>
      <c r="G528" s="130"/>
    </row>
    <row r="529">
      <c r="A529" s="11"/>
      <c r="B529" s="84"/>
      <c r="C529" s="130"/>
      <c r="D529" s="84"/>
      <c r="E529" s="130"/>
      <c r="F529" s="84"/>
      <c r="G529" s="130"/>
    </row>
    <row r="530">
      <c r="A530" s="11"/>
      <c r="B530" s="84"/>
      <c r="C530" s="130"/>
      <c r="D530" s="84"/>
      <c r="E530" s="130"/>
      <c r="F530" s="84"/>
      <c r="G530" s="130"/>
    </row>
    <row r="531">
      <c r="A531" s="11"/>
      <c r="B531" s="84"/>
      <c r="C531" s="130"/>
      <c r="D531" s="84"/>
      <c r="E531" s="130"/>
      <c r="F531" s="84"/>
      <c r="G531" s="130"/>
    </row>
    <row r="532">
      <c r="A532" s="11"/>
      <c r="B532" s="84"/>
      <c r="C532" s="130"/>
      <c r="D532" s="84"/>
      <c r="E532" s="130"/>
      <c r="F532" s="84"/>
      <c r="G532" s="130"/>
    </row>
    <row r="533">
      <c r="A533" s="11"/>
      <c r="B533" s="84"/>
      <c r="C533" s="130"/>
      <c r="D533" s="84"/>
      <c r="E533" s="130"/>
      <c r="F533" s="84"/>
      <c r="G533" s="130"/>
    </row>
    <row r="534">
      <c r="A534" s="11"/>
      <c r="B534" s="84"/>
      <c r="C534" s="130"/>
      <c r="D534" s="84"/>
      <c r="E534" s="130"/>
      <c r="F534" s="84"/>
      <c r="G534" s="130"/>
    </row>
    <row r="535">
      <c r="A535" s="11"/>
      <c r="B535" s="84"/>
      <c r="C535" s="130"/>
      <c r="D535" s="84"/>
      <c r="E535" s="130"/>
      <c r="F535" s="84"/>
      <c r="G535" s="130"/>
    </row>
    <row r="536">
      <c r="A536" s="11"/>
      <c r="B536" s="84"/>
      <c r="C536" s="130"/>
      <c r="D536" s="84"/>
      <c r="E536" s="130"/>
      <c r="F536" s="84"/>
      <c r="G536" s="130"/>
    </row>
    <row r="537">
      <c r="A537" s="11"/>
      <c r="B537" s="84"/>
      <c r="C537" s="130"/>
      <c r="D537" s="84"/>
      <c r="E537" s="130"/>
      <c r="F537" s="84"/>
      <c r="G537" s="130"/>
    </row>
    <row r="538">
      <c r="A538" s="11"/>
      <c r="B538" s="84"/>
      <c r="C538" s="130"/>
      <c r="D538" s="84"/>
      <c r="E538" s="130"/>
      <c r="F538" s="84"/>
      <c r="G538" s="130"/>
    </row>
    <row r="539">
      <c r="A539" s="11"/>
      <c r="B539" s="84"/>
      <c r="C539" s="130"/>
      <c r="D539" s="84"/>
      <c r="E539" s="130"/>
      <c r="F539" s="84"/>
      <c r="G539" s="130"/>
    </row>
    <row r="540">
      <c r="A540" s="11"/>
      <c r="B540" s="84"/>
      <c r="C540" s="130"/>
      <c r="D540" s="84"/>
      <c r="E540" s="130"/>
      <c r="F540" s="84"/>
      <c r="G540" s="130"/>
    </row>
    <row r="541">
      <c r="A541" s="11"/>
      <c r="B541" s="84"/>
      <c r="C541" s="130"/>
      <c r="D541" s="84"/>
      <c r="E541" s="130"/>
      <c r="F541" s="84"/>
      <c r="G541" s="130"/>
    </row>
    <row r="542">
      <c r="A542" s="11"/>
      <c r="B542" s="84"/>
      <c r="C542" s="130"/>
      <c r="D542" s="84"/>
      <c r="E542" s="130"/>
      <c r="F542" s="84"/>
      <c r="G542" s="130"/>
    </row>
    <row r="543">
      <c r="A543" s="11"/>
      <c r="B543" s="84"/>
      <c r="C543" s="130"/>
      <c r="D543" s="84"/>
      <c r="E543" s="130"/>
      <c r="F543" s="84"/>
      <c r="G543" s="130"/>
    </row>
    <row r="544">
      <c r="A544" s="11"/>
      <c r="B544" s="84"/>
      <c r="C544" s="130"/>
      <c r="D544" s="84"/>
      <c r="E544" s="130"/>
      <c r="F544" s="84"/>
      <c r="G544" s="130"/>
    </row>
    <row r="545">
      <c r="A545" s="11"/>
      <c r="B545" s="84"/>
      <c r="C545" s="130"/>
      <c r="D545" s="84"/>
      <c r="E545" s="130"/>
      <c r="F545" s="84"/>
      <c r="G545" s="130"/>
    </row>
    <row r="546">
      <c r="A546" s="11"/>
      <c r="B546" s="84"/>
      <c r="C546" s="130"/>
      <c r="D546" s="84"/>
      <c r="E546" s="130"/>
      <c r="F546" s="84"/>
      <c r="G546" s="130"/>
    </row>
    <row r="547">
      <c r="A547" s="11"/>
      <c r="B547" s="84"/>
      <c r="C547" s="130"/>
      <c r="D547" s="84"/>
      <c r="E547" s="130"/>
      <c r="F547" s="84"/>
      <c r="G547" s="130"/>
    </row>
    <row r="548">
      <c r="A548" s="11"/>
      <c r="B548" s="84"/>
      <c r="C548" s="130"/>
      <c r="D548" s="84"/>
      <c r="E548" s="130"/>
      <c r="F548" s="84"/>
      <c r="G548" s="130"/>
    </row>
    <row r="549">
      <c r="A549" s="11"/>
      <c r="B549" s="84"/>
      <c r="C549" s="130"/>
      <c r="D549" s="84"/>
      <c r="E549" s="130"/>
      <c r="F549" s="84"/>
      <c r="G549" s="130"/>
    </row>
    <row r="550">
      <c r="A550" s="11"/>
      <c r="B550" s="84"/>
      <c r="C550" s="130"/>
      <c r="D550" s="84"/>
      <c r="E550" s="130"/>
      <c r="F550" s="84"/>
      <c r="G550" s="130"/>
    </row>
    <row r="551">
      <c r="A551" s="11"/>
      <c r="B551" s="84"/>
      <c r="C551" s="130"/>
      <c r="D551" s="84"/>
      <c r="E551" s="130"/>
      <c r="F551" s="84"/>
      <c r="G551" s="130"/>
    </row>
    <row r="552">
      <c r="A552" s="11"/>
      <c r="B552" s="84"/>
      <c r="C552" s="130"/>
      <c r="D552" s="84"/>
      <c r="E552" s="130"/>
      <c r="F552" s="84"/>
      <c r="G552" s="130"/>
    </row>
    <row r="553">
      <c r="A553" s="11"/>
      <c r="B553" s="84"/>
      <c r="C553" s="130"/>
      <c r="D553" s="84"/>
      <c r="E553" s="130"/>
      <c r="F553" s="84"/>
      <c r="G553" s="130"/>
    </row>
    <row r="554">
      <c r="A554" s="11"/>
      <c r="B554" s="84"/>
      <c r="C554" s="130"/>
      <c r="D554" s="84"/>
      <c r="E554" s="130"/>
      <c r="F554" s="84"/>
      <c r="G554" s="130"/>
    </row>
    <row r="555">
      <c r="A555" s="11"/>
      <c r="B555" s="84"/>
      <c r="C555" s="130"/>
      <c r="D555" s="84"/>
      <c r="E555" s="130"/>
      <c r="F555" s="84"/>
      <c r="G555" s="130"/>
    </row>
    <row r="556">
      <c r="A556" s="11"/>
      <c r="B556" s="84"/>
      <c r="C556" s="130"/>
      <c r="D556" s="84"/>
      <c r="E556" s="130"/>
      <c r="F556" s="84"/>
      <c r="G556" s="130"/>
    </row>
    <row r="557">
      <c r="A557" s="11"/>
      <c r="B557" s="84"/>
      <c r="C557" s="130"/>
      <c r="D557" s="84"/>
      <c r="E557" s="130"/>
      <c r="F557" s="84"/>
      <c r="G557" s="130"/>
    </row>
    <row r="558">
      <c r="A558" s="11"/>
      <c r="B558" s="84"/>
      <c r="C558" s="130"/>
      <c r="D558" s="84"/>
      <c r="E558" s="130"/>
      <c r="F558" s="84"/>
      <c r="G558" s="130"/>
    </row>
    <row r="559">
      <c r="A559" s="11"/>
      <c r="B559" s="84"/>
      <c r="C559" s="130"/>
      <c r="D559" s="84"/>
      <c r="E559" s="130"/>
      <c r="F559" s="84"/>
      <c r="G559" s="130"/>
    </row>
    <row r="560">
      <c r="A560" s="11"/>
      <c r="B560" s="84"/>
      <c r="C560" s="130"/>
      <c r="D560" s="84"/>
      <c r="E560" s="130"/>
      <c r="F560" s="84"/>
      <c r="G560" s="130"/>
    </row>
    <row r="561">
      <c r="A561" s="11"/>
      <c r="B561" s="84"/>
      <c r="C561" s="130"/>
      <c r="D561" s="84"/>
      <c r="E561" s="130"/>
      <c r="F561" s="84"/>
      <c r="G561" s="130"/>
    </row>
    <row r="562">
      <c r="A562" s="11"/>
      <c r="B562" s="84"/>
      <c r="C562" s="130"/>
      <c r="D562" s="84"/>
      <c r="E562" s="130"/>
      <c r="F562" s="84"/>
      <c r="G562" s="130"/>
    </row>
    <row r="563">
      <c r="A563" s="11"/>
      <c r="B563" s="84"/>
      <c r="C563" s="130"/>
      <c r="D563" s="84"/>
      <c r="E563" s="130"/>
      <c r="F563" s="84"/>
      <c r="G563" s="130"/>
    </row>
    <row r="564">
      <c r="A564" s="11"/>
      <c r="B564" s="84"/>
      <c r="C564" s="130"/>
      <c r="D564" s="84"/>
      <c r="E564" s="130"/>
      <c r="F564" s="84"/>
      <c r="G564" s="130"/>
    </row>
    <row r="565">
      <c r="A565" s="11"/>
      <c r="B565" s="84"/>
      <c r="C565" s="130"/>
      <c r="D565" s="84"/>
      <c r="E565" s="130"/>
      <c r="F565" s="84"/>
      <c r="G565" s="130"/>
    </row>
    <row r="566">
      <c r="A566" s="11"/>
      <c r="B566" s="84"/>
      <c r="C566" s="130"/>
      <c r="D566" s="84"/>
      <c r="E566" s="130"/>
      <c r="F566" s="84"/>
      <c r="G566" s="130"/>
    </row>
    <row r="567">
      <c r="A567" s="11"/>
      <c r="B567" s="84"/>
      <c r="C567" s="130"/>
      <c r="D567" s="84"/>
      <c r="E567" s="130"/>
      <c r="F567" s="84"/>
      <c r="G567" s="130"/>
    </row>
    <row r="568">
      <c r="A568" s="11"/>
      <c r="B568" s="84"/>
      <c r="C568" s="130"/>
      <c r="D568" s="84"/>
      <c r="E568" s="130"/>
      <c r="F568" s="84"/>
      <c r="G568" s="130"/>
    </row>
    <row r="569">
      <c r="A569" s="11"/>
      <c r="B569" s="84"/>
      <c r="C569" s="130"/>
      <c r="D569" s="84"/>
      <c r="E569" s="130"/>
      <c r="F569" s="84"/>
      <c r="G569" s="130"/>
    </row>
    <row r="570">
      <c r="A570" s="11"/>
      <c r="B570" s="84"/>
      <c r="C570" s="130"/>
      <c r="D570" s="84"/>
      <c r="E570" s="130"/>
      <c r="F570" s="84"/>
      <c r="G570" s="130"/>
    </row>
    <row r="571">
      <c r="A571" s="11"/>
      <c r="B571" s="84"/>
      <c r="C571" s="130"/>
      <c r="D571" s="84"/>
      <c r="E571" s="130"/>
      <c r="F571" s="84"/>
      <c r="G571" s="130"/>
    </row>
    <row r="572">
      <c r="A572" s="11"/>
      <c r="B572" s="84"/>
      <c r="C572" s="130"/>
      <c r="D572" s="84"/>
      <c r="E572" s="130"/>
      <c r="F572" s="84"/>
      <c r="G572" s="130"/>
    </row>
    <row r="573">
      <c r="A573" s="11"/>
      <c r="B573" s="84"/>
      <c r="C573" s="130"/>
      <c r="D573" s="84"/>
      <c r="E573" s="130"/>
      <c r="F573" s="84"/>
      <c r="G573" s="130"/>
    </row>
    <row r="574">
      <c r="A574" s="11"/>
      <c r="B574" s="84"/>
      <c r="C574" s="130"/>
      <c r="D574" s="84"/>
      <c r="E574" s="130"/>
      <c r="F574" s="84"/>
      <c r="G574" s="130"/>
    </row>
    <row r="575">
      <c r="A575" s="11"/>
      <c r="B575" s="84"/>
      <c r="C575" s="130"/>
      <c r="D575" s="84"/>
      <c r="E575" s="130"/>
      <c r="F575" s="84"/>
      <c r="G575" s="130"/>
    </row>
    <row r="576">
      <c r="A576" s="11"/>
      <c r="B576" s="84"/>
      <c r="C576" s="130"/>
      <c r="D576" s="84"/>
      <c r="E576" s="130"/>
      <c r="F576" s="84"/>
      <c r="G576" s="130"/>
    </row>
    <row r="577">
      <c r="A577" s="11"/>
      <c r="B577" s="84"/>
      <c r="C577" s="130"/>
      <c r="D577" s="84"/>
      <c r="E577" s="130"/>
      <c r="F577" s="84"/>
      <c r="G577" s="130"/>
    </row>
    <row r="578">
      <c r="A578" s="11"/>
      <c r="B578" s="84"/>
      <c r="C578" s="130"/>
      <c r="D578" s="84"/>
      <c r="E578" s="130"/>
      <c r="F578" s="84"/>
      <c r="G578" s="130"/>
    </row>
    <row r="579">
      <c r="A579" s="11"/>
      <c r="B579" s="84"/>
      <c r="C579" s="130"/>
      <c r="D579" s="84"/>
      <c r="E579" s="130"/>
      <c r="F579" s="84"/>
      <c r="G579" s="130"/>
    </row>
    <row r="580">
      <c r="A580" s="11"/>
      <c r="B580" s="84"/>
      <c r="C580" s="130"/>
      <c r="D580" s="84"/>
      <c r="E580" s="130"/>
      <c r="F580" s="84"/>
      <c r="G580" s="130"/>
    </row>
    <row r="581">
      <c r="A581" s="11"/>
      <c r="B581" s="84"/>
      <c r="C581" s="130"/>
      <c r="D581" s="84"/>
      <c r="E581" s="130"/>
      <c r="F581" s="84"/>
      <c r="G581" s="130"/>
    </row>
    <row r="582">
      <c r="A582" s="11"/>
      <c r="B582" s="84"/>
      <c r="C582" s="130"/>
      <c r="D582" s="84"/>
      <c r="E582" s="130"/>
      <c r="F582" s="84"/>
      <c r="G582" s="130"/>
    </row>
    <row r="583">
      <c r="A583" s="11"/>
      <c r="B583" s="84"/>
      <c r="C583" s="130"/>
      <c r="D583" s="84"/>
      <c r="E583" s="130"/>
      <c r="F583" s="84"/>
      <c r="G583" s="130"/>
    </row>
    <row r="584">
      <c r="A584" s="11"/>
      <c r="B584" s="84"/>
      <c r="C584" s="130"/>
      <c r="D584" s="84"/>
      <c r="E584" s="130"/>
      <c r="F584" s="84"/>
      <c r="G584" s="130"/>
    </row>
    <row r="585">
      <c r="A585" s="11"/>
      <c r="B585" s="84"/>
      <c r="C585" s="130"/>
      <c r="D585" s="84"/>
      <c r="E585" s="130"/>
      <c r="F585" s="84"/>
      <c r="G585" s="130"/>
    </row>
    <row r="586">
      <c r="A586" s="11"/>
      <c r="B586" s="84"/>
      <c r="C586" s="130"/>
      <c r="D586" s="84"/>
      <c r="E586" s="130"/>
      <c r="F586" s="84"/>
      <c r="G586" s="130"/>
    </row>
    <row r="587">
      <c r="A587" s="11"/>
      <c r="B587" s="84"/>
      <c r="C587" s="130"/>
      <c r="D587" s="84"/>
      <c r="E587" s="130"/>
      <c r="F587" s="84"/>
      <c r="G587" s="130"/>
    </row>
    <row r="588">
      <c r="A588" s="11"/>
      <c r="B588" s="84"/>
      <c r="C588" s="130"/>
      <c r="D588" s="84"/>
      <c r="E588" s="130"/>
      <c r="F588" s="84"/>
      <c r="G588" s="130"/>
    </row>
    <row r="589">
      <c r="A589" s="11"/>
      <c r="B589" s="84"/>
      <c r="C589" s="130"/>
      <c r="D589" s="84"/>
      <c r="E589" s="130"/>
      <c r="F589" s="84"/>
      <c r="G589" s="130"/>
    </row>
    <row r="590">
      <c r="A590" s="11"/>
      <c r="B590" s="84"/>
      <c r="C590" s="130"/>
      <c r="D590" s="84"/>
      <c r="E590" s="130"/>
      <c r="F590" s="84"/>
      <c r="G590" s="130"/>
    </row>
    <row r="591">
      <c r="A591" s="11"/>
      <c r="B591" s="84"/>
      <c r="C591" s="130"/>
      <c r="D591" s="84"/>
      <c r="E591" s="130"/>
      <c r="F591" s="84"/>
      <c r="G591" s="130"/>
    </row>
    <row r="592">
      <c r="A592" s="11"/>
      <c r="B592" s="84"/>
      <c r="C592" s="130"/>
      <c r="D592" s="84"/>
      <c r="E592" s="130"/>
      <c r="F592" s="84"/>
      <c r="G592" s="130"/>
    </row>
    <row r="593">
      <c r="A593" s="11"/>
      <c r="B593" s="84"/>
      <c r="C593" s="130"/>
      <c r="D593" s="84"/>
      <c r="E593" s="130"/>
      <c r="F593" s="84"/>
      <c r="G593" s="130"/>
    </row>
    <row r="594">
      <c r="A594" s="11"/>
      <c r="B594" s="84"/>
      <c r="C594" s="130"/>
      <c r="D594" s="84"/>
      <c r="E594" s="130"/>
      <c r="F594" s="84"/>
      <c r="G594" s="130"/>
    </row>
    <row r="595">
      <c r="A595" s="11"/>
      <c r="B595" s="84"/>
      <c r="C595" s="130"/>
      <c r="D595" s="84"/>
      <c r="E595" s="130"/>
      <c r="F595" s="84"/>
      <c r="G595" s="130"/>
    </row>
    <row r="596">
      <c r="A596" s="11"/>
      <c r="B596" s="84"/>
      <c r="C596" s="130"/>
      <c r="D596" s="84"/>
      <c r="E596" s="130"/>
      <c r="F596" s="84"/>
      <c r="G596" s="130"/>
    </row>
    <row r="597">
      <c r="A597" s="11"/>
      <c r="B597" s="84"/>
      <c r="C597" s="130"/>
      <c r="D597" s="84"/>
      <c r="E597" s="130"/>
      <c r="F597" s="84"/>
      <c r="G597" s="130"/>
    </row>
    <row r="598">
      <c r="A598" s="11"/>
      <c r="B598" s="84"/>
      <c r="C598" s="130"/>
      <c r="D598" s="84"/>
      <c r="E598" s="130"/>
      <c r="F598" s="84"/>
      <c r="G598" s="130"/>
    </row>
    <row r="599">
      <c r="A599" s="11"/>
      <c r="B599" s="84"/>
      <c r="C599" s="130"/>
      <c r="D599" s="84"/>
      <c r="E599" s="130"/>
      <c r="F599" s="84"/>
      <c r="G599" s="130"/>
    </row>
    <row r="600">
      <c r="A600" s="11"/>
      <c r="B600" s="84"/>
      <c r="C600" s="130"/>
      <c r="D600" s="84"/>
      <c r="E600" s="130"/>
      <c r="F600" s="84"/>
      <c r="G600" s="130"/>
    </row>
    <row r="601">
      <c r="A601" s="11"/>
      <c r="B601" s="84"/>
      <c r="C601" s="130"/>
      <c r="D601" s="84"/>
      <c r="E601" s="130"/>
      <c r="F601" s="84"/>
      <c r="G601" s="130"/>
    </row>
    <row r="602">
      <c r="A602" s="11"/>
      <c r="B602" s="84"/>
      <c r="C602" s="130"/>
      <c r="D602" s="84"/>
      <c r="E602" s="130"/>
      <c r="F602" s="84"/>
      <c r="G602" s="130"/>
    </row>
    <row r="603">
      <c r="A603" s="11"/>
      <c r="B603" s="84"/>
      <c r="C603" s="130"/>
      <c r="D603" s="84"/>
      <c r="E603" s="130"/>
      <c r="F603" s="84"/>
      <c r="G603" s="130"/>
    </row>
    <row r="604">
      <c r="A604" s="11"/>
      <c r="B604" s="84"/>
      <c r="C604" s="130"/>
      <c r="D604" s="84"/>
      <c r="E604" s="130"/>
      <c r="F604" s="84"/>
      <c r="G604" s="130"/>
    </row>
    <row r="605">
      <c r="A605" s="11"/>
      <c r="B605" s="84"/>
      <c r="C605" s="130"/>
      <c r="D605" s="84"/>
      <c r="E605" s="130"/>
      <c r="F605" s="84"/>
      <c r="G605" s="130"/>
    </row>
    <row r="606">
      <c r="A606" s="11"/>
      <c r="B606" s="84"/>
      <c r="C606" s="130"/>
      <c r="D606" s="84"/>
      <c r="E606" s="130"/>
      <c r="F606" s="84"/>
      <c r="G606" s="130"/>
    </row>
    <row r="607">
      <c r="A607" s="11"/>
      <c r="B607" s="84"/>
      <c r="C607" s="130"/>
      <c r="D607" s="84"/>
      <c r="E607" s="130"/>
      <c r="F607" s="84"/>
      <c r="G607" s="130"/>
    </row>
    <row r="608">
      <c r="A608" s="11"/>
      <c r="B608" s="84"/>
      <c r="C608" s="130"/>
      <c r="D608" s="84"/>
      <c r="E608" s="130"/>
      <c r="F608" s="84"/>
      <c r="G608" s="130"/>
    </row>
    <row r="609">
      <c r="A609" s="11"/>
      <c r="B609" s="84"/>
      <c r="C609" s="130"/>
      <c r="D609" s="84"/>
      <c r="E609" s="130"/>
      <c r="F609" s="84"/>
      <c r="G609" s="130"/>
    </row>
    <row r="610">
      <c r="A610" s="11"/>
      <c r="B610" s="84"/>
      <c r="C610" s="130"/>
      <c r="D610" s="84"/>
      <c r="E610" s="130"/>
      <c r="F610" s="84"/>
      <c r="G610" s="130"/>
    </row>
    <row r="611">
      <c r="A611" s="11"/>
      <c r="B611" s="84"/>
      <c r="C611" s="130"/>
      <c r="D611" s="84"/>
      <c r="E611" s="130"/>
      <c r="F611" s="84"/>
      <c r="G611" s="130"/>
    </row>
    <row r="612">
      <c r="A612" s="11"/>
      <c r="B612" s="84"/>
      <c r="C612" s="130"/>
      <c r="D612" s="84"/>
      <c r="E612" s="130"/>
      <c r="F612" s="84"/>
      <c r="G612" s="130"/>
    </row>
    <row r="613">
      <c r="A613" s="11"/>
      <c r="B613" s="84"/>
      <c r="C613" s="130"/>
      <c r="D613" s="84"/>
      <c r="E613" s="130"/>
      <c r="F613" s="84"/>
      <c r="G613" s="130"/>
    </row>
    <row r="614">
      <c r="A614" s="11"/>
      <c r="B614" s="84"/>
      <c r="C614" s="130"/>
      <c r="D614" s="84"/>
      <c r="E614" s="130"/>
      <c r="F614" s="84"/>
      <c r="G614" s="130"/>
    </row>
    <row r="615">
      <c r="A615" s="11"/>
      <c r="B615" s="84"/>
      <c r="C615" s="130"/>
      <c r="D615" s="84"/>
      <c r="E615" s="130"/>
      <c r="F615" s="84"/>
      <c r="G615" s="130"/>
    </row>
    <row r="616">
      <c r="A616" s="11"/>
      <c r="B616" s="84"/>
      <c r="C616" s="130"/>
      <c r="D616" s="84"/>
      <c r="E616" s="130"/>
      <c r="F616" s="84"/>
      <c r="G616" s="130"/>
    </row>
    <row r="617">
      <c r="A617" s="11"/>
      <c r="B617" s="84"/>
      <c r="C617" s="130"/>
      <c r="D617" s="84"/>
      <c r="E617" s="130"/>
      <c r="F617" s="84"/>
      <c r="G617" s="130"/>
    </row>
    <row r="618">
      <c r="A618" s="11"/>
      <c r="B618" s="84"/>
      <c r="C618" s="130"/>
      <c r="D618" s="84"/>
      <c r="E618" s="130"/>
      <c r="F618" s="84"/>
      <c r="G618" s="130"/>
    </row>
    <row r="619">
      <c r="A619" s="11"/>
      <c r="B619" s="84"/>
      <c r="C619" s="130"/>
      <c r="D619" s="84"/>
      <c r="E619" s="130"/>
      <c r="F619" s="84"/>
      <c r="G619" s="130"/>
    </row>
    <row r="620">
      <c r="A620" s="11"/>
      <c r="B620" s="84"/>
      <c r="C620" s="130"/>
      <c r="D620" s="84"/>
      <c r="E620" s="130"/>
      <c r="F620" s="84"/>
      <c r="G620" s="130"/>
    </row>
    <row r="621">
      <c r="A621" s="11"/>
      <c r="B621" s="84"/>
      <c r="C621" s="130"/>
      <c r="D621" s="84"/>
      <c r="E621" s="130"/>
      <c r="F621" s="84"/>
      <c r="G621" s="130"/>
    </row>
    <row r="622">
      <c r="A622" s="11"/>
      <c r="B622" s="84"/>
      <c r="C622" s="130"/>
      <c r="D622" s="84"/>
      <c r="E622" s="130"/>
      <c r="F622" s="84"/>
      <c r="G622" s="130"/>
    </row>
    <row r="623">
      <c r="A623" s="11"/>
      <c r="B623" s="84"/>
      <c r="C623" s="130"/>
      <c r="D623" s="84"/>
      <c r="E623" s="130"/>
      <c r="F623" s="84"/>
      <c r="G623" s="130"/>
    </row>
    <row r="624">
      <c r="A624" s="11"/>
      <c r="B624" s="84"/>
      <c r="C624" s="130"/>
      <c r="D624" s="84"/>
      <c r="E624" s="130"/>
      <c r="F624" s="84"/>
      <c r="G624" s="130"/>
    </row>
    <row r="625">
      <c r="A625" s="11"/>
      <c r="B625" s="84"/>
      <c r="C625" s="130"/>
      <c r="D625" s="84"/>
      <c r="E625" s="130"/>
      <c r="F625" s="84"/>
      <c r="G625" s="130"/>
    </row>
    <row r="626">
      <c r="A626" s="11"/>
      <c r="B626" s="84"/>
      <c r="C626" s="130"/>
      <c r="D626" s="84"/>
      <c r="E626" s="130"/>
      <c r="F626" s="84"/>
      <c r="G626" s="130"/>
    </row>
    <row r="627">
      <c r="A627" s="11"/>
      <c r="B627" s="84"/>
      <c r="C627" s="130"/>
      <c r="D627" s="84"/>
      <c r="E627" s="130"/>
      <c r="F627" s="84"/>
      <c r="G627" s="130"/>
    </row>
    <row r="628">
      <c r="A628" s="11"/>
      <c r="B628" s="84"/>
      <c r="C628" s="130"/>
      <c r="D628" s="84"/>
      <c r="E628" s="130"/>
      <c r="F628" s="84"/>
      <c r="G628" s="130"/>
    </row>
    <row r="629">
      <c r="A629" s="11"/>
      <c r="B629" s="84"/>
      <c r="C629" s="130"/>
      <c r="D629" s="84"/>
      <c r="E629" s="130"/>
      <c r="F629" s="84"/>
      <c r="G629" s="130"/>
    </row>
    <row r="630">
      <c r="A630" s="11"/>
      <c r="B630" s="84"/>
      <c r="C630" s="130"/>
      <c r="D630" s="84"/>
      <c r="E630" s="130"/>
      <c r="F630" s="84"/>
      <c r="G630" s="130"/>
    </row>
    <row r="631">
      <c r="A631" s="11"/>
      <c r="B631" s="84"/>
      <c r="C631" s="130"/>
      <c r="D631" s="84"/>
      <c r="E631" s="130"/>
      <c r="F631" s="84"/>
      <c r="G631" s="130"/>
    </row>
    <row r="632">
      <c r="A632" s="11"/>
      <c r="B632" s="84"/>
      <c r="C632" s="130"/>
      <c r="D632" s="84"/>
      <c r="E632" s="130"/>
      <c r="F632" s="84"/>
      <c r="G632" s="130"/>
    </row>
    <row r="633">
      <c r="A633" s="11"/>
      <c r="B633" s="84"/>
      <c r="C633" s="130"/>
      <c r="D633" s="84"/>
      <c r="E633" s="130"/>
      <c r="F633" s="84"/>
      <c r="G633" s="130"/>
    </row>
    <row r="634">
      <c r="A634" s="11"/>
      <c r="B634" s="84"/>
      <c r="C634" s="130"/>
      <c r="D634" s="84"/>
      <c r="E634" s="130"/>
      <c r="F634" s="84"/>
      <c r="G634" s="130"/>
    </row>
    <row r="635">
      <c r="A635" s="11"/>
      <c r="B635" s="84"/>
      <c r="C635" s="130"/>
      <c r="D635" s="84"/>
      <c r="E635" s="130"/>
      <c r="F635" s="84"/>
      <c r="G635" s="130"/>
    </row>
    <row r="636">
      <c r="A636" s="11"/>
      <c r="B636" s="84"/>
      <c r="C636" s="130"/>
      <c r="D636" s="84"/>
      <c r="E636" s="130"/>
      <c r="F636" s="84"/>
      <c r="G636" s="130"/>
    </row>
    <row r="637">
      <c r="A637" s="11"/>
      <c r="B637" s="84"/>
      <c r="C637" s="130"/>
      <c r="D637" s="84"/>
      <c r="E637" s="130"/>
      <c r="F637" s="84"/>
      <c r="G637" s="130"/>
    </row>
    <row r="638">
      <c r="A638" s="11"/>
      <c r="B638" s="84"/>
      <c r="C638" s="130"/>
      <c r="D638" s="84"/>
      <c r="E638" s="130"/>
      <c r="F638" s="84"/>
      <c r="G638" s="130"/>
    </row>
    <row r="639">
      <c r="A639" s="11"/>
      <c r="B639" s="84"/>
      <c r="C639" s="130"/>
      <c r="D639" s="84"/>
      <c r="E639" s="130"/>
      <c r="F639" s="84"/>
      <c r="G639" s="130"/>
    </row>
    <row r="640">
      <c r="A640" s="11"/>
      <c r="B640" s="84"/>
      <c r="C640" s="130"/>
      <c r="D640" s="84"/>
      <c r="E640" s="130"/>
      <c r="F640" s="84"/>
      <c r="G640" s="130"/>
    </row>
    <row r="641">
      <c r="A641" s="11"/>
      <c r="B641" s="84"/>
      <c r="C641" s="130"/>
      <c r="D641" s="84"/>
      <c r="E641" s="130"/>
      <c r="F641" s="84"/>
      <c r="G641" s="130"/>
    </row>
    <row r="642">
      <c r="A642" s="11"/>
      <c r="B642" s="84"/>
      <c r="C642" s="130"/>
      <c r="D642" s="84"/>
      <c r="E642" s="130"/>
      <c r="F642" s="84"/>
      <c r="G642" s="130"/>
    </row>
    <row r="643">
      <c r="A643" s="11"/>
      <c r="B643" s="84"/>
      <c r="C643" s="130"/>
      <c r="D643" s="84"/>
      <c r="E643" s="130"/>
      <c r="F643" s="84"/>
      <c r="G643" s="130"/>
    </row>
    <row r="644">
      <c r="A644" s="11"/>
      <c r="B644" s="84"/>
      <c r="C644" s="130"/>
      <c r="D644" s="84"/>
      <c r="E644" s="130"/>
      <c r="F644" s="84"/>
      <c r="G644" s="130"/>
    </row>
    <row r="645">
      <c r="A645" s="11"/>
      <c r="B645" s="84"/>
      <c r="C645" s="130"/>
      <c r="D645" s="84"/>
      <c r="E645" s="130"/>
      <c r="F645" s="84"/>
      <c r="G645" s="130"/>
    </row>
    <row r="646">
      <c r="A646" s="11"/>
      <c r="B646" s="84"/>
      <c r="C646" s="130"/>
      <c r="D646" s="84"/>
      <c r="E646" s="130"/>
      <c r="F646" s="84"/>
      <c r="G646" s="130"/>
    </row>
    <row r="647">
      <c r="A647" s="11"/>
      <c r="B647" s="84"/>
      <c r="C647" s="130"/>
      <c r="D647" s="84"/>
      <c r="E647" s="130"/>
      <c r="F647" s="84"/>
      <c r="G647" s="130"/>
    </row>
    <row r="648">
      <c r="A648" s="11"/>
      <c r="B648" s="84"/>
      <c r="C648" s="130"/>
      <c r="D648" s="84"/>
      <c r="E648" s="130"/>
      <c r="F648" s="84"/>
      <c r="G648" s="130"/>
    </row>
    <row r="649">
      <c r="A649" s="11"/>
      <c r="B649" s="84"/>
      <c r="C649" s="130"/>
      <c r="D649" s="84"/>
      <c r="E649" s="130"/>
      <c r="F649" s="84"/>
      <c r="G649" s="130"/>
    </row>
    <row r="650">
      <c r="A650" s="11"/>
      <c r="B650" s="84"/>
      <c r="C650" s="130"/>
      <c r="D650" s="84"/>
      <c r="E650" s="130"/>
      <c r="F650" s="84"/>
      <c r="G650" s="130"/>
    </row>
    <row r="651">
      <c r="A651" s="11"/>
      <c r="B651" s="84"/>
      <c r="C651" s="130"/>
      <c r="D651" s="84"/>
      <c r="E651" s="130"/>
      <c r="F651" s="84"/>
      <c r="G651" s="130"/>
    </row>
    <row r="652">
      <c r="A652" s="11"/>
      <c r="B652" s="84"/>
      <c r="C652" s="130"/>
      <c r="D652" s="84"/>
      <c r="E652" s="130"/>
      <c r="F652" s="84"/>
      <c r="G652" s="130"/>
    </row>
    <row r="653">
      <c r="A653" s="11"/>
      <c r="B653" s="84"/>
      <c r="C653" s="130"/>
      <c r="D653" s="84"/>
      <c r="E653" s="130"/>
      <c r="F653" s="84"/>
      <c r="G653" s="130"/>
    </row>
    <row r="654">
      <c r="A654" s="11"/>
      <c r="B654" s="84"/>
      <c r="C654" s="130"/>
      <c r="D654" s="84"/>
      <c r="E654" s="130"/>
      <c r="F654" s="84"/>
      <c r="G654" s="130"/>
    </row>
    <row r="655">
      <c r="A655" s="11"/>
      <c r="B655" s="84"/>
      <c r="C655" s="130"/>
      <c r="D655" s="84"/>
      <c r="E655" s="130"/>
      <c r="F655" s="84"/>
      <c r="G655" s="130"/>
    </row>
    <row r="656">
      <c r="A656" s="11"/>
      <c r="B656" s="84"/>
      <c r="C656" s="130"/>
      <c r="D656" s="84"/>
      <c r="E656" s="130"/>
      <c r="F656" s="84"/>
      <c r="G656" s="130"/>
    </row>
    <row r="657">
      <c r="A657" s="11"/>
      <c r="B657" s="84"/>
      <c r="C657" s="130"/>
      <c r="D657" s="84"/>
      <c r="E657" s="130"/>
      <c r="F657" s="84"/>
      <c r="G657" s="130"/>
    </row>
    <row r="658">
      <c r="A658" s="11"/>
      <c r="B658" s="84"/>
      <c r="C658" s="130"/>
      <c r="D658" s="84"/>
      <c r="E658" s="130"/>
      <c r="F658" s="84"/>
      <c r="G658" s="130"/>
    </row>
    <row r="659">
      <c r="A659" s="11"/>
      <c r="B659" s="84"/>
      <c r="C659" s="130"/>
      <c r="D659" s="84"/>
      <c r="E659" s="130"/>
      <c r="F659" s="84"/>
      <c r="G659" s="130"/>
    </row>
    <row r="660">
      <c r="A660" s="11"/>
      <c r="B660" s="84"/>
      <c r="C660" s="130"/>
      <c r="D660" s="84"/>
      <c r="E660" s="130"/>
      <c r="F660" s="84"/>
      <c r="G660" s="130"/>
    </row>
    <row r="661">
      <c r="A661" s="11"/>
      <c r="B661" s="84"/>
      <c r="C661" s="130"/>
      <c r="D661" s="84"/>
      <c r="E661" s="130"/>
      <c r="F661" s="84"/>
      <c r="G661" s="130"/>
    </row>
    <row r="662">
      <c r="A662" s="11"/>
      <c r="B662" s="84"/>
      <c r="C662" s="130"/>
      <c r="D662" s="84"/>
      <c r="E662" s="130"/>
      <c r="F662" s="84"/>
      <c r="G662" s="130"/>
    </row>
    <row r="663">
      <c r="A663" s="11"/>
      <c r="B663" s="84"/>
      <c r="C663" s="130"/>
      <c r="D663" s="84"/>
      <c r="E663" s="130"/>
      <c r="F663" s="84"/>
      <c r="G663" s="130"/>
    </row>
    <row r="664">
      <c r="A664" s="11"/>
      <c r="B664" s="84"/>
      <c r="C664" s="130"/>
      <c r="D664" s="84"/>
      <c r="E664" s="130"/>
      <c r="F664" s="84"/>
      <c r="G664" s="130"/>
    </row>
    <row r="665">
      <c r="A665" s="11"/>
      <c r="B665" s="84"/>
      <c r="C665" s="130"/>
      <c r="D665" s="84"/>
      <c r="E665" s="130"/>
      <c r="F665" s="84"/>
      <c r="G665" s="130"/>
    </row>
    <row r="666">
      <c r="A666" s="11"/>
      <c r="B666" s="84"/>
      <c r="C666" s="130"/>
      <c r="D666" s="84"/>
      <c r="E666" s="130"/>
      <c r="F666" s="84"/>
      <c r="G666" s="130"/>
    </row>
    <row r="667">
      <c r="A667" s="11"/>
      <c r="B667" s="84"/>
      <c r="C667" s="130"/>
      <c r="D667" s="84"/>
      <c r="E667" s="130"/>
      <c r="F667" s="84"/>
      <c r="G667" s="130"/>
    </row>
    <row r="668">
      <c r="A668" s="11"/>
      <c r="B668" s="84"/>
      <c r="C668" s="130"/>
      <c r="D668" s="84"/>
      <c r="E668" s="130"/>
      <c r="F668" s="84"/>
      <c r="G668" s="130"/>
    </row>
    <row r="669">
      <c r="A669" s="11"/>
      <c r="B669" s="84"/>
      <c r="C669" s="130"/>
      <c r="D669" s="84"/>
      <c r="E669" s="130"/>
      <c r="F669" s="84"/>
      <c r="G669" s="130"/>
    </row>
    <row r="670">
      <c r="A670" s="11"/>
      <c r="B670" s="84"/>
      <c r="C670" s="130"/>
      <c r="D670" s="84"/>
      <c r="E670" s="130"/>
      <c r="F670" s="84"/>
      <c r="G670" s="130"/>
    </row>
    <row r="671">
      <c r="A671" s="11"/>
      <c r="B671" s="84"/>
      <c r="C671" s="130"/>
      <c r="D671" s="84"/>
      <c r="E671" s="130"/>
      <c r="F671" s="84"/>
      <c r="G671" s="130"/>
    </row>
    <row r="672">
      <c r="A672" s="11"/>
      <c r="B672" s="84"/>
      <c r="C672" s="130"/>
      <c r="D672" s="84"/>
      <c r="E672" s="130"/>
      <c r="F672" s="84"/>
      <c r="G672" s="130"/>
    </row>
    <row r="673">
      <c r="A673" s="11"/>
      <c r="B673" s="84"/>
      <c r="C673" s="130"/>
      <c r="D673" s="84"/>
      <c r="E673" s="130"/>
      <c r="F673" s="84"/>
      <c r="G673" s="130"/>
    </row>
    <row r="674">
      <c r="A674" s="11"/>
      <c r="B674" s="84"/>
      <c r="C674" s="130"/>
      <c r="D674" s="84"/>
      <c r="E674" s="130"/>
      <c r="F674" s="84"/>
      <c r="G674" s="130"/>
    </row>
    <row r="675">
      <c r="A675" s="11"/>
      <c r="B675" s="84"/>
      <c r="C675" s="130"/>
      <c r="D675" s="84"/>
      <c r="E675" s="130"/>
      <c r="F675" s="84"/>
      <c r="G675" s="130"/>
    </row>
    <row r="676">
      <c r="A676" s="11"/>
      <c r="B676" s="84"/>
      <c r="C676" s="130"/>
      <c r="D676" s="84"/>
      <c r="E676" s="130"/>
      <c r="F676" s="84"/>
      <c r="G676" s="130"/>
    </row>
    <row r="677">
      <c r="A677" s="11"/>
      <c r="B677" s="84"/>
      <c r="C677" s="130"/>
      <c r="D677" s="84"/>
      <c r="E677" s="130"/>
      <c r="F677" s="84"/>
      <c r="G677" s="130"/>
    </row>
    <row r="678">
      <c r="A678" s="11"/>
      <c r="B678" s="84"/>
      <c r="C678" s="130"/>
      <c r="D678" s="84"/>
      <c r="E678" s="130"/>
      <c r="F678" s="84"/>
      <c r="G678" s="130"/>
    </row>
    <row r="679">
      <c r="A679" s="11"/>
      <c r="B679" s="84"/>
      <c r="C679" s="130"/>
      <c r="D679" s="84"/>
      <c r="E679" s="130"/>
      <c r="F679" s="84"/>
      <c r="G679" s="130"/>
    </row>
    <row r="680">
      <c r="A680" s="11"/>
      <c r="B680" s="84"/>
      <c r="C680" s="130"/>
      <c r="D680" s="84"/>
      <c r="E680" s="130"/>
      <c r="F680" s="84"/>
      <c r="G680" s="130"/>
    </row>
    <row r="681">
      <c r="A681" s="11"/>
      <c r="B681" s="84"/>
      <c r="C681" s="130"/>
      <c r="D681" s="84"/>
      <c r="E681" s="130"/>
      <c r="F681" s="84"/>
      <c r="G681" s="130"/>
    </row>
    <row r="682">
      <c r="A682" s="11"/>
      <c r="B682" s="84"/>
      <c r="C682" s="130"/>
      <c r="D682" s="84"/>
      <c r="E682" s="130"/>
      <c r="F682" s="84"/>
      <c r="G682" s="130"/>
    </row>
    <row r="683">
      <c r="A683" s="11"/>
      <c r="B683" s="84"/>
      <c r="C683" s="130"/>
      <c r="D683" s="84"/>
      <c r="E683" s="130"/>
      <c r="F683" s="84"/>
      <c r="G683" s="130"/>
    </row>
    <row r="684">
      <c r="A684" s="11"/>
      <c r="B684" s="84"/>
      <c r="C684" s="130"/>
      <c r="D684" s="84"/>
      <c r="E684" s="130"/>
      <c r="F684" s="84"/>
      <c r="G684" s="130"/>
    </row>
    <row r="685">
      <c r="A685" s="11"/>
      <c r="B685" s="84"/>
      <c r="C685" s="130"/>
      <c r="D685" s="84"/>
      <c r="E685" s="130"/>
      <c r="F685" s="84"/>
      <c r="G685" s="130"/>
    </row>
    <row r="686">
      <c r="A686" s="11"/>
      <c r="B686" s="84"/>
      <c r="C686" s="130"/>
      <c r="D686" s="84"/>
      <c r="E686" s="130"/>
      <c r="F686" s="84"/>
      <c r="G686" s="130"/>
    </row>
    <row r="687">
      <c r="A687" s="11"/>
      <c r="B687" s="84"/>
      <c r="C687" s="130"/>
      <c r="D687" s="84"/>
      <c r="E687" s="130"/>
      <c r="F687" s="84"/>
      <c r="G687" s="130"/>
    </row>
    <row r="688">
      <c r="A688" s="11"/>
      <c r="B688" s="84"/>
      <c r="C688" s="130"/>
      <c r="D688" s="84"/>
      <c r="E688" s="130"/>
      <c r="F688" s="84"/>
      <c r="G688" s="130"/>
    </row>
    <row r="689">
      <c r="A689" s="11"/>
      <c r="B689" s="84"/>
      <c r="C689" s="130"/>
      <c r="D689" s="84"/>
      <c r="E689" s="130"/>
      <c r="F689" s="84"/>
      <c r="G689" s="130"/>
    </row>
    <row r="690">
      <c r="A690" s="11"/>
      <c r="B690" s="84"/>
      <c r="C690" s="130"/>
      <c r="D690" s="84"/>
      <c r="E690" s="130"/>
      <c r="F690" s="84"/>
      <c r="G690" s="130"/>
    </row>
    <row r="691">
      <c r="A691" s="11"/>
      <c r="B691" s="84"/>
      <c r="C691" s="130"/>
      <c r="D691" s="84"/>
      <c r="E691" s="130"/>
      <c r="F691" s="84"/>
      <c r="G691" s="130"/>
    </row>
    <row r="692">
      <c r="A692" s="11"/>
      <c r="B692" s="84"/>
      <c r="C692" s="130"/>
      <c r="D692" s="84"/>
      <c r="E692" s="130"/>
      <c r="F692" s="84"/>
      <c r="G692" s="130"/>
    </row>
    <row r="693">
      <c r="A693" s="11"/>
      <c r="B693" s="84"/>
      <c r="C693" s="130"/>
      <c r="D693" s="84"/>
      <c r="E693" s="130"/>
      <c r="F693" s="84"/>
      <c r="G693" s="130"/>
    </row>
    <row r="694">
      <c r="A694" s="11"/>
      <c r="B694" s="84"/>
      <c r="C694" s="130"/>
      <c r="D694" s="84"/>
      <c r="E694" s="130"/>
      <c r="F694" s="84"/>
      <c r="G694" s="130"/>
    </row>
    <row r="695">
      <c r="A695" s="11"/>
      <c r="B695" s="84"/>
      <c r="C695" s="130"/>
      <c r="D695" s="84"/>
      <c r="E695" s="130"/>
      <c r="F695" s="84"/>
      <c r="G695" s="130"/>
    </row>
    <row r="696">
      <c r="A696" s="11"/>
      <c r="B696" s="84"/>
      <c r="C696" s="130"/>
      <c r="D696" s="84"/>
      <c r="E696" s="130"/>
      <c r="F696" s="84"/>
      <c r="G696" s="130"/>
    </row>
    <row r="697">
      <c r="A697" s="11"/>
      <c r="B697" s="84"/>
      <c r="C697" s="130"/>
      <c r="D697" s="84"/>
      <c r="E697" s="130"/>
      <c r="F697" s="84"/>
      <c r="G697" s="130"/>
    </row>
    <row r="698">
      <c r="A698" s="11"/>
      <c r="B698" s="84"/>
      <c r="C698" s="130"/>
      <c r="D698" s="84"/>
      <c r="E698" s="130"/>
      <c r="F698" s="84"/>
      <c r="G698" s="130"/>
    </row>
    <row r="699">
      <c r="A699" s="11"/>
      <c r="B699" s="84"/>
      <c r="C699" s="130"/>
      <c r="D699" s="84"/>
      <c r="E699" s="130"/>
      <c r="F699" s="84"/>
      <c r="G699" s="130"/>
    </row>
    <row r="700">
      <c r="A700" s="11"/>
      <c r="B700" s="84"/>
      <c r="C700" s="130"/>
      <c r="D700" s="84"/>
      <c r="E700" s="130"/>
      <c r="F700" s="84"/>
      <c r="G700" s="130"/>
    </row>
    <row r="701">
      <c r="A701" s="11"/>
      <c r="B701" s="84"/>
      <c r="C701" s="130"/>
      <c r="D701" s="84"/>
      <c r="E701" s="130"/>
      <c r="F701" s="84"/>
      <c r="G701" s="130"/>
    </row>
    <row r="702">
      <c r="A702" s="11"/>
      <c r="B702" s="84"/>
      <c r="C702" s="130"/>
      <c r="D702" s="84"/>
      <c r="E702" s="130"/>
      <c r="F702" s="84"/>
      <c r="G702" s="130"/>
    </row>
    <row r="703">
      <c r="A703" s="11"/>
      <c r="B703" s="84"/>
      <c r="C703" s="130"/>
      <c r="D703" s="84"/>
      <c r="E703" s="130"/>
      <c r="F703" s="84"/>
      <c r="G703" s="130"/>
    </row>
    <row r="704">
      <c r="A704" s="11"/>
      <c r="B704" s="84"/>
      <c r="C704" s="130"/>
      <c r="D704" s="84"/>
      <c r="E704" s="130"/>
      <c r="F704" s="84"/>
      <c r="G704" s="130"/>
    </row>
    <row r="705">
      <c r="A705" s="11"/>
      <c r="B705" s="84"/>
      <c r="C705" s="130"/>
      <c r="D705" s="84"/>
      <c r="E705" s="130"/>
      <c r="F705" s="84"/>
      <c r="G705" s="130"/>
    </row>
    <row r="706">
      <c r="A706" s="11"/>
      <c r="B706" s="84"/>
      <c r="C706" s="130"/>
      <c r="D706" s="84"/>
      <c r="E706" s="130"/>
      <c r="F706" s="84"/>
      <c r="G706" s="130"/>
    </row>
    <row r="707">
      <c r="A707" s="11"/>
      <c r="B707" s="84"/>
      <c r="C707" s="130"/>
      <c r="D707" s="84"/>
      <c r="E707" s="130"/>
      <c r="F707" s="84"/>
      <c r="G707" s="130"/>
    </row>
    <row r="708">
      <c r="A708" s="11"/>
      <c r="B708" s="84"/>
      <c r="C708" s="130"/>
      <c r="D708" s="84"/>
      <c r="E708" s="130"/>
      <c r="F708" s="84"/>
      <c r="G708" s="130"/>
    </row>
    <row r="709">
      <c r="A709" s="11"/>
      <c r="B709" s="84"/>
      <c r="C709" s="130"/>
      <c r="D709" s="84"/>
      <c r="E709" s="130"/>
      <c r="F709" s="84"/>
      <c r="G709" s="130"/>
    </row>
    <row r="710">
      <c r="A710" s="11"/>
      <c r="B710" s="84"/>
      <c r="C710" s="130"/>
      <c r="D710" s="84"/>
      <c r="E710" s="130"/>
      <c r="F710" s="84"/>
      <c r="G710" s="130"/>
    </row>
    <row r="711">
      <c r="A711" s="11"/>
      <c r="B711" s="84"/>
      <c r="C711" s="130"/>
      <c r="D711" s="84"/>
      <c r="E711" s="130"/>
      <c r="F711" s="84"/>
      <c r="G711" s="130"/>
    </row>
    <row r="712">
      <c r="A712" s="11"/>
      <c r="B712" s="84"/>
      <c r="C712" s="130"/>
      <c r="D712" s="84"/>
      <c r="E712" s="130"/>
      <c r="F712" s="84"/>
      <c r="G712" s="130"/>
    </row>
    <row r="713">
      <c r="A713" s="11"/>
      <c r="B713" s="84"/>
      <c r="C713" s="130"/>
      <c r="D713" s="84"/>
      <c r="E713" s="130"/>
      <c r="F713" s="84"/>
      <c r="G713" s="130"/>
    </row>
    <row r="714">
      <c r="A714" s="11"/>
      <c r="B714" s="84"/>
      <c r="C714" s="130"/>
      <c r="D714" s="84"/>
      <c r="E714" s="130"/>
      <c r="F714" s="84"/>
      <c r="G714" s="130"/>
    </row>
    <row r="715">
      <c r="A715" s="11"/>
      <c r="B715" s="84"/>
      <c r="C715" s="130"/>
      <c r="D715" s="84"/>
      <c r="E715" s="130"/>
      <c r="F715" s="84"/>
      <c r="G715" s="130"/>
    </row>
    <row r="716">
      <c r="A716" s="11"/>
      <c r="B716" s="84"/>
      <c r="C716" s="130"/>
      <c r="D716" s="84"/>
      <c r="E716" s="130"/>
      <c r="F716" s="84"/>
      <c r="G716" s="130"/>
    </row>
    <row r="717">
      <c r="A717" s="11"/>
      <c r="B717" s="84"/>
      <c r="C717" s="130"/>
      <c r="D717" s="84"/>
      <c r="E717" s="130"/>
      <c r="F717" s="84"/>
      <c r="G717" s="130"/>
    </row>
    <row r="718">
      <c r="A718" s="11"/>
      <c r="B718" s="84"/>
      <c r="C718" s="130"/>
      <c r="D718" s="84"/>
      <c r="E718" s="130"/>
      <c r="F718" s="84"/>
      <c r="G718" s="130"/>
    </row>
    <row r="719">
      <c r="A719" s="11"/>
      <c r="B719" s="84"/>
      <c r="C719" s="130"/>
      <c r="D719" s="84"/>
      <c r="E719" s="130"/>
      <c r="F719" s="84"/>
      <c r="G719" s="130"/>
    </row>
    <row r="720">
      <c r="A720" s="11"/>
      <c r="B720" s="84"/>
      <c r="C720" s="130"/>
      <c r="D720" s="84"/>
      <c r="E720" s="130"/>
      <c r="F720" s="84"/>
      <c r="G720" s="130"/>
    </row>
    <row r="721">
      <c r="A721" s="11"/>
      <c r="B721" s="84"/>
      <c r="C721" s="130"/>
      <c r="D721" s="84"/>
      <c r="E721" s="130"/>
      <c r="F721" s="84"/>
      <c r="G721" s="130"/>
    </row>
    <row r="722">
      <c r="A722" s="11"/>
      <c r="B722" s="84"/>
      <c r="C722" s="130"/>
      <c r="D722" s="84"/>
      <c r="E722" s="130"/>
      <c r="F722" s="84"/>
      <c r="G722" s="130"/>
    </row>
    <row r="723">
      <c r="A723" s="11"/>
      <c r="B723" s="84"/>
      <c r="C723" s="130"/>
      <c r="D723" s="84"/>
      <c r="E723" s="130"/>
      <c r="F723" s="84"/>
      <c r="G723" s="130"/>
    </row>
    <row r="724">
      <c r="A724" s="11"/>
      <c r="B724" s="84"/>
      <c r="C724" s="130"/>
      <c r="D724" s="84"/>
      <c r="E724" s="130"/>
      <c r="F724" s="84"/>
      <c r="G724" s="130"/>
    </row>
    <row r="725">
      <c r="A725" s="11"/>
      <c r="B725" s="84"/>
      <c r="C725" s="130"/>
      <c r="D725" s="84"/>
      <c r="E725" s="130"/>
      <c r="F725" s="84"/>
      <c r="G725" s="130"/>
    </row>
    <row r="726">
      <c r="A726" s="11"/>
      <c r="B726" s="84"/>
      <c r="C726" s="130"/>
      <c r="D726" s="84"/>
      <c r="E726" s="130"/>
      <c r="F726" s="84"/>
      <c r="G726" s="130"/>
    </row>
    <row r="727">
      <c r="A727" s="11"/>
      <c r="B727" s="84"/>
      <c r="C727" s="130"/>
      <c r="D727" s="84"/>
      <c r="E727" s="130"/>
      <c r="F727" s="84"/>
      <c r="G727" s="130"/>
    </row>
    <row r="728">
      <c r="A728" s="11"/>
      <c r="B728" s="84"/>
      <c r="C728" s="130"/>
      <c r="D728" s="84"/>
      <c r="E728" s="130"/>
      <c r="F728" s="84"/>
      <c r="G728" s="130"/>
    </row>
    <row r="729">
      <c r="A729" s="11"/>
      <c r="B729" s="84"/>
      <c r="C729" s="130"/>
      <c r="D729" s="84"/>
      <c r="E729" s="130"/>
      <c r="F729" s="84"/>
      <c r="G729" s="130"/>
    </row>
    <row r="730">
      <c r="A730" s="11"/>
      <c r="B730" s="84"/>
      <c r="C730" s="130"/>
      <c r="D730" s="84"/>
      <c r="E730" s="130"/>
      <c r="F730" s="84"/>
      <c r="G730" s="130"/>
    </row>
    <row r="731">
      <c r="A731" s="11"/>
      <c r="B731" s="84"/>
      <c r="C731" s="130"/>
      <c r="D731" s="84"/>
      <c r="E731" s="130"/>
      <c r="F731" s="84"/>
      <c r="G731" s="130"/>
    </row>
    <row r="732">
      <c r="A732" s="11"/>
      <c r="B732" s="84"/>
      <c r="C732" s="130"/>
      <c r="D732" s="84"/>
      <c r="E732" s="130"/>
      <c r="F732" s="84"/>
      <c r="G732" s="130"/>
    </row>
    <row r="733">
      <c r="A733" s="11"/>
      <c r="B733" s="84"/>
      <c r="C733" s="130"/>
      <c r="D733" s="84"/>
      <c r="E733" s="130"/>
      <c r="F733" s="84"/>
      <c r="G733" s="130"/>
    </row>
    <row r="734">
      <c r="A734" s="11"/>
      <c r="B734" s="84"/>
      <c r="C734" s="130"/>
      <c r="D734" s="84"/>
      <c r="E734" s="130"/>
      <c r="F734" s="84"/>
      <c r="G734" s="130"/>
    </row>
    <row r="735">
      <c r="A735" s="11"/>
      <c r="B735" s="84"/>
      <c r="C735" s="130"/>
      <c r="D735" s="84"/>
      <c r="E735" s="130"/>
      <c r="F735" s="84"/>
      <c r="G735" s="130"/>
    </row>
    <row r="736">
      <c r="A736" s="11"/>
      <c r="B736" s="84"/>
      <c r="C736" s="130"/>
      <c r="D736" s="84"/>
      <c r="E736" s="130"/>
      <c r="F736" s="84"/>
      <c r="G736" s="130"/>
    </row>
    <row r="737">
      <c r="A737" s="11"/>
      <c r="B737" s="84"/>
      <c r="C737" s="130"/>
      <c r="D737" s="84"/>
      <c r="E737" s="130"/>
      <c r="F737" s="84"/>
      <c r="G737" s="130"/>
    </row>
    <row r="738">
      <c r="A738" s="11"/>
      <c r="B738" s="84"/>
      <c r="C738" s="130"/>
      <c r="D738" s="84"/>
      <c r="E738" s="130"/>
      <c r="F738" s="84"/>
      <c r="G738" s="130"/>
    </row>
    <row r="739">
      <c r="A739" s="11"/>
      <c r="B739" s="84"/>
      <c r="C739" s="130"/>
      <c r="D739" s="84"/>
      <c r="E739" s="130"/>
      <c r="F739" s="84"/>
      <c r="G739" s="130"/>
    </row>
    <row r="740">
      <c r="A740" s="11"/>
      <c r="B740" s="84"/>
      <c r="C740" s="130"/>
      <c r="D740" s="84"/>
      <c r="E740" s="130"/>
      <c r="F740" s="84"/>
      <c r="G740" s="130"/>
    </row>
    <row r="741">
      <c r="A741" s="11"/>
      <c r="B741" s="84"/>
      <c r="C741" s="130"/>
      <c r="D741" s="84"/>
      <c r="E741" s="130"/>
      <c r="F741" s="84"/>
      <c r="G741" s="130"/>
    </row>
    <row r="742">
      <c r="A742" s="11"/>
      <c r="B742" s="84"/>
      <c r="C742" s="130"/>
      <c r="D742" s="84"/>
      <c r="E742" s="130"/>
      <c r="F742" s="84"/>
      <c r="G742" s="130"/>
    </row>
    <row r="743">
      <c r="A743" s="11"/>
      <c r="B743" s="84"/>
      <c r="C743" s="130"/>
      <c r="D743" s="84"/>
      <c r="E743" s="130"/>
      <c r="F743" s="84"/>
      <c r="G743" s="130"/>
    </row>
    <row r="744">
      <c r="A744" s="11"/>
      <c r="B744" s="84"/>
      <c r="C744" s="130"/>
      <c r="D744" s="84"/>
      <c r="E744" s="130"/>
      <c r="F744" s="84"/>
      <c r="G744" s="130"/>
    </row>
    <row r="745">
      <c r="A745" s="11"/>
      <c r="B745" s="84"/>
      <c r="C745" s="130"/>
      <c r="D745" s="84"/>
      <c r="E745" s="130"/>
      <c r="F745" s="84"/>
      <c r="G745" s="130"/>
    </row>
    <row r="746">
      <c r="A746" s="11"/>
      <c r="B746" s="84"/>
      <c r="C746" s="130"/>
      <c r="D746" s="84"/>
      <c r="E746" s="130"/>
      <c r="F746" s="84"/>
      <c r="G746" s="130"/>
    </row>
    <row r="747">
      <c r="A747" s="11"/>
      <c r="B747" s="84"/>
      <c r="C747" s="130"/>
      <c r="D747" s="84"/>
      <c r="E747" s="130"/>
      <c r="F747" s="84"/>
      <c r="G747" s="130"/>
    </row>
    <row r="748">
      <c r="A748" s="11"/>
      <c r="B748" s="84"/>
      <c r="C748" s="130"/>
      <c r="D748" s="84"/>
      <c r="E748" s="130"/>
      <c r="F748" s="84"/>
      <c r="G748" s="130"/>
    </row>
    <row r="749">
      <c r="A749" s="11"/>
      <c r="B749" s="84"/>
      <c r="C749" s="130"/>
      <c r="D749" s="84"/>
      <c r="E749" s="130"/>
      <c r="F749" s="84"/>
      <c r="G749" s="130"/>
    </row>
    <row r="750">
      <c r="A750" s="11"/>
      <c r="B750" s="84"/>
      <c r="C750" s="130"/>
      <c r="D750" s="84"/>
      <c r="E750" s="130"/>
      <c r="F750" s="84"/>
      <c r="G750" s="130"/>
    </row>
    <row r="751">
      <c r="A751" s="11"/>
      <c r="B751" s="84"/>
      <c r="C751" s="130"/>
      <c r="D751" s="84"/>
      <c r="E751" s="130"/>
      <c r="F751" s="84"/>
      <c r="G751" s="130"/>
    </row>
    <row r="752">
      <c r="A752" s="11"/>
      <c r="B752" s="84"/>
      <c r="C752" s="130"/>
      <c r="D752" s="84"/>
      <c r="E752" s="130"/>
      <c r="F752" s="84"/>
      <c r="G752" s="130"/>
    </row>
    <row r="753">
      <c r="A753" s="11"/>
      <c r="B753" s="84"/>
      <c r="C753" s="130"/>
      <c r="D753" s="84"/>
      <c r="E753" s="130"/>
      <c r="F753" s="84"/>
      <c r="G753" s="130"/>
    </row>
    <row r="754">
      <c r="A754" s="11"/>
      <c r="B754" s="84"/>
      <c r="C754" s="130"/>
      <c r="D754" s="84"/>
      <c r="E754" s="130"/>
      <c r="F754" s="84"/>
      <c r="G754" s="130"/>
    </row>
    <row r="755">
      <c r="A755" s="11"/>
      <c r="B755" s="84"/>
      <c r="C755" s="130"/>
      <c r="D755" s="84"/>
      <c r="E755" s="130"/>
      <c r="F755" s="84"/>
      <c r="G755" s="130"/>
    </row>
    <row r="756">
      <c r="A756" s="11"/>
      <c r="B756" s="84"/>
      <c r="C756" s="130"/>
      <c r="D756" s="84"/>
      <c r="E756" s="130"/>
      <c r="F756" s="84"/>
      <c r="G756" s="130"/>
    </row>
    <row r="757">
      <c r="A757" s="11"/>
      <c r="B757" s="84"/>
      <c r="C757" s="130"/>
      <c r="D757" s="84"/>
      <c r="E757" s="130"/>
      <c r="F757" s="84"/>
      <c r="G757" s="130"/>
    </row>
    <row r="758">
      <c r="A758" s="11"/>
      <c r="B758" s="84"/>
      <c r="C758" s="130"/>
      <c r="D758" s="84"/>
      <c r="E758" s="130"/>
      <c r="F758" s="84"/>
      <c r="G758" s="130"/>
    </row>
    <row r="759">
      <c r="A759" s="11"/>
      <c r="B759" s="84"/>
      <c r="C759" s="130"/>
      <c r="D759" s="84"/>
      <c r="E759" s="130"/>
      <c r="F759" s="84"/>
      <c r="G759" s="130"/>
    </row>
    <row r="760">
      <c r="A760" s="11"/>
      <c r="B760" s="84"/>
      <c r="C760" s="130"/>
      <c r="D760" s="84"/>
      <c r="E760" s="130"/>
      <c r="F760" s="84"/>
      <c r="G760" s="130"/>
    </row>
    <row r="761">
      <c r="A761" s="11"/>
      <c r="B761" s="84"/>
      <c r="C761" s="130"/>
      <c r="D761" s="84"/>
      <c r="E761" s="130"/>
      <c r="F761" s="84"/>
      <c r="G761" s="130"/>
    </row>
    <row r="762">
      <c r="A762" s="11"/>
      <c r="B762" s="84"/>
      <c r="C762" s="130"/>
      <c r="D762" s="84"/>
      <c r="E762" s="130"/>
      <c r="F762" s="84"/>
      <c r="G762" s="130"/>
    </row>
    <row r="763">
      <c r="A763" s="11"/>
      <c r="B763" s="84"/>
      <c r="C763" s="130"/>
      <c r="D763" s="84"/>
      <c r="E763" s="130"/>
      <c r="F763" s="84"/>
      <c r="G763" s="130"/>
    </row>
    <row r="764">
      <c r="A764" s="11"/>
      <c r="B764" s="84"/>
      <c r="C764" s="130"/>
      <c r="D764" s="84"/>
      <c r="E764" s="130"/>
      <c r="F764" s="84"/>
      <c r="G764" s="130"/>
    </row>
    <row r="765">
      <c r="A765" s="11"/>
      <c r="B765" s="84"/>
      <c r="C765" s="130"/>
      <c r="D765" s="84"/>
      <c r="E765" s="130"/>
      <c r="F765" s="84"/>
      <c r="G765" s="130"/>
    </row>
    <row r="766">
      <c r="A766" s="11"/>
      <c r="B766" s="84"/>
      <c r="C766" s="130"/>
      <c r="D766" s="84"/>
      <c r="E766" s="130"/>
      <c r="F766" s="84"/>
      <c r="G766" s="130"/>
    </row>
    <row r="767">
      <c r="A767" s="11"/>
      <c r="B767" s="84"/>
      <c r="C767" s="130"/>
      <c r="D767" s="84"/>
      <c r="E767" s="130"/>
      <c r="F767" s="84"/>
      <c r="G767" s="130"/>
    </row>
    <row r="768">
      <c r="A768" s="11"/>
      <c r="B768" s="84"/>
      <c r="C768" s="130"/>
      <c r="D768" s="84"/>
      <c r="E768" s="130"/>
      <c r="F768" s="84"/>
      <c r="G768" s="130"/>
    </row>
    <row r="769">
      <c r="A769" s="11"/>
      <c r="B769" s="84"/>
      <c r="C769" s="130"/>
      <c r="D769" s="84"/>
      <c r="E769" s="130"/>
      <c r="F769" s="84"/>
      <c r="G769" s="130"/>
    </row>
    <row r="770">
      <c r="A770" s="11"/>
      <c r="B770" s="84"/>
      <c r="C770" s="130"/>
      <c r="D770" s="84"/>
      <c r="E770" s="130"/>
      <c r="F770" s="84"/>
      <c r="G770" s="130"/>
    </row>
    <row r="771">
      <c r="A771" s="11"/>
      <c r="B771" s="84"/>
      <c r="C771" s="130"/>
      <c r="D771" s="84"/>
      <c r="E771" s="130"/>
      <c r="F771" s="84"/>
      <c r="G771" s="130"/>
    </row>
    <row r="772">
      <c r="A772" s="11"/>
      <c r="B772" s="84"/>
      <c r="C772" s="130"/>
      <c r="D772" s="84"/>
      <c r="E772" s="130"/>
      <c r="F772" s="84"/>
      <c r="G772" s="130"/>
    </row>
    <row r="773">
      <c r="A773" s="11"/>
      <c r="B773" s="84"/>
      <c r="C773" s="130"/>
      <c r="D773" s="84"/>
      <c r="E773" s="130"/>
      <c r="F773" s="84"/>
      <c r="G773" s="130"/>
    </row>
    <row r="774">
      <c r="A774" s="11"/>
      <c r="B774" s="84"/>
      <c r="C774" s="130"/>
      <c r="D774" s="84"/>
      <c r="E774" s="130"/>
      <c r="F774" s="84"/>
      <c r="G774" s="130"/>
    </row>
    <row r="775">
      <c r="A775" s="11"/>
      <c r="B775" s="84"/>
      <c r="C775" s="130"/>
      <c r="D775" s="84"/>
      <c r="E775" s="130"/>
      <c r="F775" s="84"/>
      <c r="G775" s="130"/>
    </row>
    <row r="776">
      <c r="A776" s="11"/>
      <c r="B776" s="84"/>
      <c r="C776" s="130"/>
      <c r="D776" s="84"/>
      <c r="E776" s="130"/>
      <c r="F776" s="84"/>
      <c r="G776" s="130"/>
    </row>
    <row r="777">
      <c r="A777" s="11"/>
      <c r="B777" s="84"/>
      <c r="C777" s="130"/>
      <c r="D777" s="84"/>
      <c r="E777" s="130"/>
      <c r="F777" s="84"/>
      <c r="G777" s="130"/>
    </row>
    <row r="778">
      <c r="A778" s="11"/>
      <c r="B778" s="84"/>
      <c r="C778" s="130"/>
      <c r="D778" s="84"/>
      <c r="E778" s="130"/>
      <c r="F778" s="84"/>
      <c r="G778" s="130"/>
    </row>
    <row r="779">
      <c r="A779" s="11"/>
      <c r="B779" s="84"/>
      <c r="C779" s="130"/>
      <c r="D779" s="84"/>
      <c r="E779" s="130"/>
      <c r="F779" s="84"/>
      <c r="G779" s="130"/>
    </row>
    <row r="780">
      <c r="A780" s="11"/>
      <c r="B780" s="84"/>
      <c r="C780" s="130"/>
      <c r="D780" s="84"/>
      <c r="E780" s="130"/>
      <c r="F780" s="84"/>
      <c r="G780" s="130"/>
    </row>
    <row r="781">
      <c r="A781" s="11"/>
      <c r="B781" s="84"/>
      <c r="C781" s="130"/>
      <c r="D781" s="84"/>
      <c r="E781" s="130"/>
      <c r="F781" s="84"/>
      <c r="G781" s="130"/>
    </row>
    <row r="782">
      <c r="A782" s="11"/>
      <c r="B782" s="84"/>
      <c r="C782" s="130"/>
      <c r="D782" s="84"/>
      <c r="E782" s="130"/>
      <c r="F782" s="84"/>
      <c r="G782" s="130"/>
    </row>
    <row r="783">
      <c r="A783" s="11"/>
      <c r="B783" s="84"/>
      <c r="C783" s="130"/>
      <c r="D783" s="84"/>
      <c r="E783" s="130"/>
      <c r="F783" s="84"/>
      <c r="G783" s="130"/>
    </row>
    <row r="784">
      <c r="A784" s="11"/>
      <c r="B784" s="84"/>
      <c r="C784" s="130"/>
      <c r="D784" s="84"/>
      <c r="E784" s="130"/>
      <c r="F784" s="84"/>
      <c r="G784" s="130"/>
    </row>
    <row r="785">
      <c r="A785" s="11"/>
      <c r="B785" s="84"/>
      <c r="C785" s="130"/>
      <c r="D785" s="84"/>
      <c r="E785" s="130"/>
      <c r="F785" s="84"/>
      <c r="G785" s="130"/>
    </row>
    <row r="786">
      <c r="A786" s="11"/>
      <c r="B786" s="84"/>
      <c r="C786" s="130"/>
      <c r="D786" s="84"/>
      <c r="E786" s="130"/>
      <c r="F786" s="84"/>
      <c r="G786" s="130"/>
    </row>
    <row r="787">
      <c r="A787" s="11"/>
      <c r="B787" s="84"/>
      <c r="C787" s="130"/>
      <c r="D787" s="84"/>
      <c r="E787" s="130"/>
      <c r="F787" s="84"/>
      <c r="G787" s="130"/>
    </row>
    <row r="788">
      <c r="A788" s="11"/>
      <c r="B788" s="84"/>
      <c r="C788" s="130"/>
      <c r="D788" s="84"/>
      <c r="E788" s="130"/>
      <c r="F788" s="84"/>
      <c r="G788" s="130"/>
    </row>
    <row r="789">
      <c r="A789" s="11"/>
      <c r="B789" s="84"/>
      <c r="C789" s="130"/>
      <c r="D789" s="84"/>
      <c r="E789" s="130"/>
      <c r="F789" s="84"/>
      <c r="G789" s="130"/>
    </row>
    <row r="790">
      <c r="A790" s="11"/>
      <c r="B790" s="84"/>
      <c r="C790" s="130"/>
      <c r="D790" s="84"/>
      <c r="E790" s="130"/>
      <c r="F790" s="84"/>
      <c r="G790" s="130"/>
    </row>
    <row r="791">
      <c r="A791" s="11"/>
      <c r="B791" s="84"/>
      <c r="C791" s="130"/>
      <c r="D791" s="84"/>
      <c r="E791" s="130"/>
      <c r="F791" s="84"/>
      <c r="G791" s="130"/>
    </row>
    <row r="792">
      <c r="A792" s="11"/>
      <c r="B792" s="84"/>
      <c r="C792" s="130"/>
      <c r="D792" s="84"/>
      <c r="E792" s="130"/>
      <c r="F792" s="84"/>
      <c r="G792" s="130"/>
    </row>
    <row r="793">
      <c r="A793" s="11"/>
      <c r="B793" s="84"/>
      <c r="C793" s="130"/>
      <c r="D793" s="84"/>
      <c r="E793" s="130"/>
      <c r="F793" s="84"/>
      <c r="G793" s="130"/>
    </row>
    <row r="794">
      <c r="A794" s="11"/>
      <c r="B794" s="84"/>
      <c r="C794" s="130"/>
      <c r="D794" s="84"/>
      <c r="E794" s="130"/>
      <c r="F794" s="84"/>
      <c r="G794" s="130"/>
    </row>
    <row r="795">
      <c r="A795" s="11"/>
      <c r="B795" s="84"/>
      <c r="C795" s="130"/>
      <c r="D795" s="84"/>
      <c r="E795" s="130"/>
      <c r="F795" s="84"/>
      <c r="G795" s="130"/>
    </row>
    <row r="796">
      <c r="A796" s="11"/>
      <c r="B796" s="84"/>
      <c r="C796" s="130"/>
      <c r="D796" s="84"/>
      <c r="E796" s="130"/>
      <c r="F796" s="84"/>
      <c r="G796" s="130"/>
    </row>
    <row r="797">
      <c r="A797" s="11"/>
      <c r="B797" s="84"/>
      <c r="C797" s="130"/>
      <c r="D797" s="84"/>
      <c r="E797" s="130"/>
      <c r="F797" s="84"/>
      <c r="G797" s="130"/>
    </row>
    <row r="798">
      <c r="A798" s="11"/>
      <c r="B798" s="84"/>
      <c r="C798" s="130"/>
      <c r="D798" s="84"/>
      <c r="E798" s="130"/>
      <c r="F798" s="84"/>
      <c r="G798" s="130"/>
    </row>
    <row r="799">
      <c r="A799" s="11"/>
      <c r="B799" s="84"/>
      <c r="C799" s="130"/>
      <c r="D799" s="84"/>
      <c r="E799" s="130"/>
      <c r="F799" s="84"/>
      <c r="G799" s="130"/>
    </row>
    <row r="800">
      <c r="A800" s="11"/>
      <c r="B800" s="84"/>
      <c r="C800" s="130"/>
      <c r="D800" s="84"/>
      <c r="E800" s="130"/>
      <c r="F800" s="84"/>
      <c r="G800" s="130"/>
    </row>
    <row r="801">
      <c r="A801" s="11"/>
      <c r="B801" s="84"/>
      <c r="C801" s="130"/>
      <c r="D801" s="84"/>
      <c r="E801" s="130"/>
      <c r="F801" s="84"/>
      <c r="G801" s="130"/>
    </row>
    <row r="802">
      <c r="A802" s="11"/>
      <c r="B802" s="84"/>
      <c r="C802" s="130"/>
      <c r="D802" s="84"/>
      <c r="E802" s="130"/>
      <c r="F802" s="84"/>
      <c r="G802" s="130"/>
    </row>
    <row r="803">
      <c r="A803" s="11"/>
      <c r="B803" s="84"/>
      <c r="C803" s="130"/>
      <c r="D803" s="84"/>
      <c r="E803" s="130"/>
      <c r="F803" s="84"/>
      <c r="G803" s="130"/>
    </row>
    <row r="804">
      <c r="A804" s="11"/>
      <c r="B804" s="84"/>
      <c r="C804" s="130"/>
      <c r="D804" s="84"/>
      <c r="E804" s="130"/>
      <c r="F804" s="84"/>
      <c r="G804" s="130"/>
    </row>
    <row r="805">
      <c r="A805" s="11"/>
      <c r="B805" s="84"/>
      <c r="C805" s="130"/>
      <c r="D805" s="84"/>
      <c r="E805" s="130"/>
      <c r="F805" s="84"/>
      <c r="G805" s="130"/>
    </row>
    <row r="806">
      <c r="A806" s="11"/>
      <c r="B806" s="84"/>
      <c r="C806" s="130"/>
      <c r="D806" s="84"/>
      <c r="E806" s="130"/>
      <c r="F806" s="84"/>
      <c r="G806" s="130"/>
    </row>
    <row r="807">
      <c r="A807" s="11"/>
      <c r="B807" s="84"/>
      <c r="C807" s="130"/>
      <c r="D807" s="84"/>
      <c r="E807" s="130"/>
      <c r="F807" s="84"/>
      <c r="G807" s="130"/>
    </row>
    <row r="808">
      <c r="A808" s="11"/>
      <c r="B808" s="84"/>
      <c r="C808" s="130"/>
      <c r="D808" s="84"/>
      <c r="E808" s="130"/>
      <c r="F808" s="84"/>
      <c r="G808" s="130"/>
    </row>
    <row r="809">
      <c r="A809" s="11"/>
      <c r="B809" s="84"/>
      <c r="C809" s="130"/>
      <c r="D809" s="84"/>
      <c r="E809" s="130"/>
      <c r="F809" s="84"/>
      <c r="G809" s="130"/>
    </row>
    <row r="810">
      <c r="A810" s="11"/>
      <c r="B810" s="84"/>
      <c r="C810" s="130"/>
      <c r="D810" s="84"/>
      <c r="E810" s="130"/>
      <c r="F810" s="84"/>
      <c r="G810" s="130"/>
    </row>
    <row r="811">
      <c r="A811" s="11"/>
      <c r="B811" s="84"/>
      <c r="C811" s="130"/>
      <c r="D811" s="84"/>
      <c r="E811" s="130"/>
      <c r="F811" s="84"/>
      <c r="G811" s="130"/>
    </row>
    <row r="812">
      <c r="A812" s="11"/>
      <c r="B812" s="84"/>
      <c r="C812" s="130"/>
      <c r="D812" s="84"/>
      <c r="E812" s="130"/>
      <c r="F812" s="84"/>
      <c r="G812" s="130"/>
    </row>
    <row r="813">
      <c r="A813" s="11"/>
      <c r="B813" s="84"/>
      <c r="C813" s="130"/>
      <c r="D813" s="84"/>
      <c r="E813" s="130"/>
      <c r="F813" s="84"/>
      <c r="G813" s="130"/>
    </row>
    <row r="814">
      <c r="A814" s="11"/>
      <c r="B814" s="84"/>
      <c r="C814" s="130"/>
      <c r="D814" s="84"/>
      <c r="E814" s="130"/>
      <c r="F814" s="84"/>
      <c r="G814" s="130"/>
    </row>
    <row r="815">
      <c r="A815" s="11"/>
      <c r="B815" s="84"/>
      <c r="C815" s="130"/>
      <c r="D815" s="84"/>
      <c r="E815" s="130"/>
      <c r="F815" s="84"/>
      <c r="G815" s="130"/>
    </row>
    <row r="816">
      <c r="A816" s="11"/>
      <c r="B816" s="84"/>
      <c r="C816" s="130"/>
      <c r="D816" s="84"/>
      <c r="E816" s="130"/>
      <c r="F816" s="84"/>
      <c r="G816" s="130"/>
    </row>
    <row r="817">
      <c r="A817" s="11"/>
      <c r="B817" s="84"/>
      <c r="C817" s="130"/>
      <c r="D817" s="84"/>
      <c r="E817" s="130"/>
      <c r="F817" s="84"/>
      <c r="G817" s="130"/>
    </row>
    <row r="818">
      <c r="A818" s="11"/>
      <c r="B818" s="84"/>
      <c r="C818" s="130"/>
      <c r="D818" s="84"/>
      <c r="E818" s="130"/>
      <c r="F818" s="84"/>
      <c r="G818" s="130"/>
    </row>
    <row r="819">
      <c r="A819" s="11"/>
      <c r="B819" s="84"/>
      <c r="C819" s="130"/>
      <c r="D819" s="84"/>
      <c r="E819" s="130"/>
      <c r="F819" s="84"/>
      <c r="G819" s="130"/>
    </row>
    <row r="820">
      <c r="A820" s="11"/>
      <c r="B820" s="84"/>
      <c r="C820" s="130"/>
      <c r="D820" s="84"/>
      <c r="E820" s="130"/>
      <c r="F820" s="84"/>
      <c r="G820" s="130"/>
    </row>
    <row r="821">
      <c r="A821" s="11"/>
      <c r="B821" s="84"/>
      <c r="C821" s="130"/>
      <c r="D821" s="84"/>
      <c r="E821" s="130"/>
      <c r="F821" s="84"/>
      <c r="G821" s="130"/>
    </row>
    <row r="822">
      <c r="A822" s="11"/>
      <c r="B822" s="84"/>
      <c r="C822" s="130"/>
      <c r="D822" s="84"/>
      <c r="E822" s="130"/>
      <c r="F822" s="84"/>
      <c r="G822" s="130"/>
    </row>
    <row r="823">
      <c r="A823" s="11"/>
      <c r="B823" s="84"/>
      <c r="C823" s="130"/>
      <c r="D823" s="84"/>
      <c r="E823" s="130"/>
      <c r="F823" s="84"/>
      <c r="G823" s="130"/>
    </row>
    <row r="824">
      <c r="A824" s="11"/>
      <c r="B824" s="84"/>
      <c r="C824" s="130"/>
      <c r="D824" s="84"/>
      <c r="E824" s="130"/>
      <c r="F824" s="84"/>
      <c r="G824" s="130"/>
    </row>
    <row r="825">
      <c r="A825" s="11"/>
      <c r="B825" s="84"/>
      <c r="C825" s="130"/>
      <c r="D825" s="84"/>
      <c r="E825" s="130"/>
      <c r="F825" s="84"/>
      <c r="G825" s="130"/>
    </row>
    <row r="826">
      <c r="A826" s="11"/>
      <c r="B826" s="84"/>
      <c r="C826" s="130"/>
      <c r="D826" s="84"/>
      <c r="E826" s="130"/>
      <c r="F826" s="84"/>
      <c r="G826" s="130"/>
    </row>
    <row r="827">
      <c r="A827" s="11"/>
      <c r="B827" s="84"/>
      <c r="C827" s="130"/>
      <c r="D827" s="84"/>
      <c r="E827" s="130"/>
      <c r="F827" s="84"/>
      <c r="G827" s="130"/>
    </row>
    <row r="828">
      <c r="A828" s="11"/>
      <c r="B828" s="84"/>
      <c r="C828" s="130"/>
      <c r="D828" s="84"/>
      <c r="E828" s="130"/>
      <c r="F828" s="84"/>
      <c r="G828" s="130"/>
    </row>
    <row r="829">
      <c r="A829" s="11"/>
      <c r="B829" s="84"/>
      <c r="C829" s="130"/>
      <c r="D829" s="84"/>
      <c r="E829" s="130"/>
      <c r="F829" s="84"/>
      <c r="G829" s="130"/>
    </row>
    <row r="830">
      <c r="A830" s="11"/>
      <c r="B830" s="84"/>
      <c r="C830" s="130"/>
      <c r="D830" s="84"/>
      <c r="E830" s="130"/>
      <c r="F830" s="84"/>
      <c r="G830" s="130"/>
    </row>
    <row r="831">
      <c r="A831" s="11"/>
      <c r="B831" s="84"/>
      <c r="C831" s="130"/>
      <c r="D831" s="84"/>
      <c r="E831" s="130"/>
      <c r="F831" s="84"/>
      <c r="G831" s="130"/>
    </row>
    <row r="832">
      <c r="A832" s="11"/>
      <c r="B832" s="84"/>
      <c r="C832" s="130"/>
      <c r="D832" s="84"/>
      <c r="E832" s="130"/>
      <c r="F832" s="84"/>
      <c r="G832" s="130"/>
    </row>
    <row r="833">
      <c r="A833" s="11"/>
      <c r="B833" s="84"/>
      <c r="C833" s="130"/>
      <c r="D833" s="84"/>
      <c r="E833" s="130"/>
      <c r="F833" s="84"/>
      <c r="G833" s="130"/>
    </row>
    <row r="834">
      <c r="A834" s="11"/>
      <c r="B834" s="84"/>
      <c r="C834" s="130"/>
      <c r="D834" s="84"/>
      <c r="E834" s="130"/>
      <c r="F834" s="84"/>
      <c r="G834" s="130"/>
    </row>
    <row r="835">
      <c r="A835" s="11"/>
      <c r="B835" s="84"/>
      <c r="C835" s="130"/>
      <c r="D835" s="84"/>
      <c r="E835" s="130"/>
      <c r="F835" s="84"/>
      <c r="G835" s="130"/>
    </row>
    <row r="836">
      <c r="A836" s="11"/>
      <c r="B836" s="84"/>
      <c r="C836" s="130"/>
      <c r="D836" s="84"/>
      <c r="E836" s="130"/>
      <c r="F836" s="84"/>
      <c r="G836" s="130"/>
    </row>
    <row r="837">
      <c r="A837" s="11"/>
      <c r="B837" s="84"/>
      <c r="C837" s="130"/>
      <c r="D837" s="84"/>
      <c r="E837" s="130"/>
      <c r="F837" s="84"/>
      <c r="G837" s="130"/>
    </row>
    <row r="838">
      <c r="A838" s="11"/>
      <c r="B838" s="84"/>
      <c r="C838" s="130"/>
      <c r="D838" s="84"/>
      <c r="E838" s="130"/>
      <c r="F838" s="84"/>
      <c r="G838" s="130"/>
    </row>
    <row r="839">
      <c r="A839" s="11"/>
      <c r="B839" s="84"/>
      <c r="C839" s="130"/>
      <c r="D839" s="84"/>
      <c r="E839" s="130"/>
      <c r="F839" s="84"/>
      <c r="G839" s="130"/>
    </row>
    <row r="840">
      <c r="A840" s="11"/>
      <c r="B840" s="84"/>
      <c r="C840" s="130"/>
      <c r="D840" s="84"/>
      <c r="E840" s="130"/>
      <c r="F840" s="84"/>
      <c r="G840" s="130"/>
    </row>
    <row r="841">
      <c r="A841" s="11"/>
      <c r="B841" s="84"/>
      <c r="C841" s="130"/>
      <c r="D841" s="84"/>
      <c r="E841" s="130"/>
      <c r="F841" s="84"/>
      <c r="G841" s="130"/>
    </row>
    <row r="842">
      <c r="A842" s="11"/>
      <c r="B842" s="84"/>
      <c r="C842" s="130"/>
      <c r="D842" s="84"/>
      <c r="E842" s="130"/>
      <c r="F842" s="84"/>
      <c r="G842" s="130"/>
    </row>
    <row r="843">
      <c r="A843" s="11"/>
      <c r="B843" s="84"/>
      <c r="C843" s="130"/>
      <c r="D843" s="84"/>
      <c r="E843" s="130"/>
      <c r="F843" s="84"/>
      <c r="G843" s="130"/>
    </row>
    <row r="844">
      <c r="A844" s="11"/>
      <c r="B844" s="84"/>
      <c r="C844" s="130"/>
      <c r="D844" s="84"/>
      <c r="E844" s="130"/>
      <c r="F844" s="84"/>
      <c r="G844" s="130"/>
    </row>
    <row r="845">
      <c r="A845" s="11"/>
      <c r="B845" s="84"/>
      <c r="C845" s="130"/>
      <c r="D845" s="84"/>
      <c r="E845" s="130"/>
      <c r="F845" s="84"/>
      <c r="G845" s="130"/>
    </row>
    <row r="846">
      <c r="A846" s="11"/>
      <c r="B846" s="84"/>
      <c r="C846" s="130"/>
      <c r="D846" s="84"/>
      <c r="E846" s="130"/>
      <c r="F846" s="84"/>
      <c r="G846" s="130"/>
    </row>
    <row r="847">
      <c r="A847" s="11"/>
      <c r="B847" s="84"/>
      <c r="C847" s="130"/>
      <c r="D847" s="84"/>
      <c r="E847" s="130"/>
      <c r="F847" s="84"/>
      <c r="G847" s="130"/>
    </row>
    <row r="848">
      <c r="A848" s="11"/>
      <c r="B848" s="84"/>
      <c r="C848" s="130"/>
      <c r="D848" s="84"/>
      <c r="E848" s="130"/>
      <c r="F848" s="84"/>
      <c r="G848" s="130"/>
    </row>
    <row r="849">
      <c r="A849" s="11"/>
      <c r="B849" s="84"/>
      <c r="C849" s="130"/>
      <c r="D849" s="84"/>
      <c r="E849" s="130"/>
      <c r="F849" s="84"/>
      <c r="G849" s="130"/>
    </row>
    <row r="850">
      <c r="A850" s="11"/>
      <c r="B850" s="84"/>
      <c r="C850" s="130"/>
      <c r="D850" s="84"/>
      <c r="E850" s="130"/>
      <c r="F850" s="84"/>
      <c r="G850" s="130"/>
    </row>
    <row r="851">
      <c r="A851" s="11"/>
      <c r="B851" s="84"/>
      <c r="C851" s="130"/>
      <c r="D851" s="84"/>
      <c r="E851" s="130"/>
      <c r="F851" s="84"/>
      <c r="G851" s="130"/>
    </row>
    <row r="852">
      <c r="A852" s="11"/>
      <c r="B852" s="84"/>
      <c r="C852" s="130"/>
      <c r="D852" s="84"/>
      <c r="E852" s="130"/>
      <c r="F852" s="84"/>
      <c r="G852" s="130"/>
    </row>
    <row r="853">
      <c r="A853" s="11"/>
      <c r="B853" s="84"/>
      <c r="C853" s="130"/>
      <c r="D853" s="84"/>
      <c r="E853" s="130"/>
      <c r="F853" s="84"/>
      <c r="G853" s="130"/>
    </row>
    <row r="854">
      <c r="A854" s="11"/>
      <c r="B854" s="84"/>
      <c r="C854" s="130"/>
      <c r="D854" s="84"/>
      <c r="E854" s="130"/>
      <c r="F854" s="84"/>
      <c r="G854" s="130"/>
    </row>
    <row r="855">
      <c r="A855" s="11"/>
      <c r="B855" s="84"/>
      <c r="C855" s="130"/>
      <c r="D855" s="84"/>
      <c r="E855" s="130"/>
      <c r="F855" s="84"/>
      <c r="G855" s="130"/>
    </row>
    <row r="856">
      <c r="A856" s="11"/>
      <c r="B856" s="84"/>
      <c r="C856" s="130"/>
      <c r="D856" s="84"/>
      <c r="E856" s="130"/>
      <c r="F856" s="84"/>
      <c r="G856" s="130"/>
    </row>
    <row r="857">
      <c r="A857" s="11"/>
      <c r="B857" s="84"/>
      <c r="C857" s="130"/>
      <c r="D857" s="84"/>
      <c r="E857" s="130"/>
      <c r="F857" s="84"/>
      <c r="G857" s="130"/>
    </row>
    <row r="858">
      <c r="A858" s="11"/>
      <c r="B858" s="84"/>
      <c r="C858" s="130"/>
      <c r="D858" s="84"/>
      <c r="E858" s="130"/>
      <c r="F858" s="84"/>
      <c r="G858" s="130"/>
    </row>
    <row r="859">
      <c r="A859" s="11"/>
      <c r="B859" s="84"/>
      <c r="C859" s="130"/>
      <c r="D859" s="84"/>
      <c r="E859" s="130"/>
      <c r="F859" s="84"/>
      <c r="G859" s="130"/>
    </row>
    <row r="860">
      <c r="A860" s="11"/>
      <c r="B860" s="84"/>
      <c r="C860" s="130"/>
      <c r="D860" s="84"/>
      <c r="E860" s="130"/>
      <c r="F860" s="84"/>
      <c r="G860" s="130"/>
    </row>
    <row r="861">
      <c r="A861" s="11"/>
      <c r="B861" s="84"/>
      <c r="C861" s="130"/>
      <c r="D861" s="84"/>
      <c r="E861" s="130"/>
      <c r="F861" s="84"/>
      <c r="G861" s="130"/>
    </row>
    <row r="862">
      <c r="A862" s="11"/>
      <c r="B862" s="84"/>
      <c r="C862" s="130"/>
      <c r="D862" s="84"/>
      <c r="E862" s="130"/>
      <c r="F862" s="84"/>
      <c r="G862" s="130"/>
    </row>
    <row r="863">
      <c r="A863" s="11"/>
      <c r="B863" s="84"/>
      <c r="C863" s="130"/>
      <c r="D863" s="84"/>
      <c r="E863" s="130"/>
      <c r="F863" s="84"/>
      <c r="G863" s="130"/>
    </row>
    <row r="864">
      <c r="A864" s="11"/>
      <c r="B864" s="84"/>
      <c r="C864" s="130"/>
      <c r="D864" s="84"/>
      <c r="E864" s="130"/>
      <c r="F864" s="84"/>
      <c r="G864" s="130"/>
    </row>
    <row r="865">
      <c r="A865" s="11"/>
      <c r="B865" s="84"/>
      <c r="C865" s="130"/>
      <c r="D865" s="84"/>
      <c r="E865" s="130"/>
      <c r="F865" s="84"/>
      <c r="G865" s="130"/>
    </row>
    <row r="866">
      <c r="A866" s="11"/>
      <c r="B866" s="84"/>
      <c r="C866" s="130"/>
      <c r="D866" s="84"/>
      <c r="E866" s="130"/>
      <c r="F866" s="84"/>
      <c r="G866" s="130"/>
    </row>
    <row r="867">
      <c r="A867" s="11"/>
      <c r="B867" s="84"/>
      <c r="C867" s="130"/>
      <c r="D867" s="84"/>
      <c r="E867" s="130"/>
      <c r="F867" s="84"/>
      <c r="G867" s="130"/>
    </row>
    <row r="868">
      <c r="A868" s="11"/>
      <c r="B868" s="84"/>
      <c r="C868" s="130"/>
      <c r="D868" s="84"/>
      <c r="E868" s="130"/>
      <c r="F868" s="84"/>
      <c r="G868" s="130"/>
    </row>
    <row r="869">
      <c r="A869" s="11"/>
      <c r="B869" s="84"/>
      <c r="C869" s="130"/>
      <c r="D869" s="84"/>
      <c r="E869" s="130"/>
      <c r="F869" s="84"/>
      <c r="G869" s="130"/>
    </row>
    <row r="870">
      <c r="A870" s="11"/>
      <c r="B870" s="84"/>
      <c r="C870" s="130"/>
      <c r="D870" s="84"/>
      <c r="E870" s="130"/>
      <c r="F870" s="84"/>
      <c r="G870" s="130"/>
    </row>
    <row r="871">
      <c r="A871" s="11"/>
      <c r="B871" s="84"/>
      <c r="C871" s="130"/>
      <c r="D871" s="84"/>
      <c r="E871" s="130"/>
      <c r="F871" s="84"/>
      <c r="G871" s="130"/>
    </row>
    <row r="872">
      <c r="A872" s="11"/>
      <c r="B872" s="84"/>
      <c r="C872" s="130"/>
      <c r="D872" s="84"/>
      <c r="E872" s="130"/>
      <c r="F872" s="84"/>
      <c r="G872" s="130"/>
    </row>
    <row r="873">
      <c r="A873" s="11"/>
      <c r="B873" s="84"/>
      <c r="C873" s="130"/>
      <c r="D873" s="84"/>
      <c r="E873" s="130"/>
      <c r="F873" s="84"/>
      <c r="G873" s="130"/>
    </row>
    <row r="874">
      <c r="A874" s="11"/>
      <c r="B874" s="84"/>
      <c r="C874" s="130"/>
      <c r="D874" s="84"/>
      <c r="E874" s="130"/>
      <c r="F874" s="84"/>
      <c r="G874" s="130"/>
    </row>
    <row r="875">
      <c r="A875" s="11"/>
      <c r="B875" s="84"/>
      <c r="C875" s="130"/>
      <c r="D875" s="84"/>
      <c r="E875" s="130"/>
      <c r="F875" s="84"/>
      <c r="G875" s="130"/>
    </row>
    <row r="876">
      <c r="A876" s="11"/>
      <c r="B876" s="84"/>
      <c r="C876" s="130"/>
      <c r="D876" s="84"/>
      <c r="E876" s="130"/>
      <c r="F876" s="84"/>
      <c r="G876" s="130"/>
    </row>
    <row r="877">
      <c r="A877" s="11"/>
      <c r="B877" s="84"/>
      <c r="C877" s="130"/>
      <c r="D877" s="84"/>
      <c r="E877" s="130"/>
      <c r="F877" s="84"/>
      <c r="G877" s="130"/>
    </row>
    <row r="878">
      <c r="A878" s="11"/>
      <c r="B878" s="84"/>
      <c r="C878" s="130"/>
      <c r="D878" s="84"/>
      <c r="E878" s="130"/>
      <c r="F878" s="84"/>
      <c r="G878" s="130"/>
    </row>
    <row r="879">
      <c r="A879" s="11"/>
      <c r="B879" s="84"/>
      <c r="C879" s="130"/>
      <c r="D879" s="84"/>
      <c r="E879" s="130"/>
      <c r="F879" s="84"/>
      <c r="G879" s="130"/>
    </row>
    <row r="880">
      <c r="A880" s="11"/>
      <c r="B880" s="84"/>
      <c r="C880" s="130"/>
      <c r="D880" s="84"/>
      <c r="E880" s="130"/>
      <c r="F880" s="84"/>
      <c r="G880" s="130"/>
    </row>
    <row r="881">
      <c r="A881" s="11"/>
      <c r="B881" s="84"/>
      <c r="C881" s="130"/>
      <c r="D881" s="84"/>
      <c r="E881" s="130"/>
      <c r="F881" s="84"/>
      <c r="G881" s="130"/>
    </row>
    <row r="882">
      <c r="A882" s="11"/>
      <c r="B882" s="84"/>
      <c r="C882" s="130"/>
      <c r="D882" s="84"/>
      <c r="E882" s="130"/>
      <c r="F882" s="84"/>
      <c r="G882" s="130"/>
    </row>
    <row r="883">
      <c r="A883" s="11"/>
      <c r="B883" s="84"/>
      <c r="C883" s="130"/>
      <c r="D883" s="84"/>
      <c r="E883" s="130"/>
      <c r="F883" s="84"/>
      <c r="G883" s="130"/>
    </row>
    <row r="884">
      <c r="A884" s="11"/>
      <c r="B884" s="84"/>
      <c r="C884" s="130"/>
      <c r="D884" s="84"/>
      <c r="E884" s="130"/>
      <c r="F884" s="84"/>
      <c r="G884" s="130"/>
    </row>
    <row r="885">
      <c r="A885" s="11"/>
      <c r="B885" s="84"/>
      <c r="C885" s="130"/>
      <c r="D885" s="84"/>
      <c r="E885" s="130"/>
      <c r="F885" s="84"/>
      <c r="G885" s="130"/>
    </row>
    <row r="886">
      <c r="A886" s="11"/>
      <c r="B886" s="84"/>
      <c r="C886" s="130"/>
      <c r="D886" s="84"/>
      <c r="E886" s="130"/>
      <c r="F886" s="84"/>
      <c r="G886" s="130"/>
    </row>
    <row r="887">
      <c r="A887" s="11"/>
      <c r="B887" s="84"/>
      <c r="C887" s="130"/>
      <c r="D887" s="84"/>
      <c r="E887" s="130"/>
      <c r="F887" s="84"/>
      <c r="G887" s="130"/>
    </row>
    <row r="888">
      <c r="A888" s="11"/>
      <c r="B888" s="84"/>
      <c r="C888" s="130"/>
      <c r="D888" s="84"/>
      <c r="E888" s="130"/>
      <c r="F888" s="84"/>
      <c r="G888" s="130"/>
    </row>
    <row r="889">
      <c r="A889" s="11"/>
      <c r="B889" s="84"/>
      <c r="C889" s="130"/>
      <c r="D889" s="84"/>
      <c r="E889" s="130"/>
      <c r="F889" s="84"/>
      <c r="G889" s="130"/>
    </row>
    <row r="890">
      <c r="A890" s="11"/>
      <c r="B890" s="84"/>
      <c r="C890" s="130"/>
      <c r="D890" s="84"/>
      <c r="E890" s="130"/>
      <c r="F890" s="84"/>
      <c r="G890" s="130"/>
    </row>
    <row r="891">
      <c r="A891" s="11"/>
      <c r="B891" s="84"/>
      <c r="C891" s="130"/>
      <c r="D891" s="84"/>
      <c r="E891" s="130"/>
      <c r="F891" s="84"/>
      <c r="G891" s="130"/>
    </row>
    <row r="892">
      <c r="A892" s="11"/>
      <c r="B892" s="84"/>
      <c r="C892" s="130"/>
      <c r="D892" s="84"/>
      <c r="E892" s="130"/>
      <c r="F892" s="84"/>
      <c r="G892" s="130"/>
    </row>
    <row r="893">
      <c r="A893" s="11"/>
      <c r="B893" s="84"/>
      <c r="C893" s="130"/>
      <c r="D893" s="84"/>
      <c r="E893" s="130"/>
      <c r="F893" s="84"/>
      <c r="G893" s="130"/>
    </row>
    <row r="894">
      <c r="A894" s="11"/>
      <c r="B894" s="84"/>
      <c r="C894" s="130"/>
      <c r="D894" s="84"/>
      <c r="E894" s="130"/>
      <c r="F894" s="84"/>
      <c r="G894" s="130"/>
    </row>
    <row r="895">
      <c r="A895" s="11"/>
      <c r="B895" s="84"/>
      <c r="C895" s="130"/>
      <c r="D895" s="84"/>
      <c r="E895" s="130"/>
      <c r="F895" s="84"/>
      <c r="G895" s="130"/>
    </row>
    <row r="896">
      <c r="A896" s="11"/>
      <c r="B896" s="84"/>
      <c r="C896" s="130"/>
      <c r="D896" s="84"/>
      <c r="E896" s="130"/>
      <c r="F896" s="84"/>
      <c r="G896" s="130"/>
    </row>
    <row r="897">
      <c r="A897" s="11"/>
      <c r="B897" s="84"/>
      <c r="C897" s="130"/>
      <c r="D897" s="84"/>
      <c r="E897" s="130"/>
      <c r="F897" s="84"/>
      <c r="G897" s="130"/>
    </row>
    <row r="898">
      <c r="A898" s="11"/>
      <c r="B898" s="84"/>
      <c r="C898" s="130"/>
      <c r="D898" s="84"/>
      <c r="E898" s="130"/>
      <c r="F898" s="84"/>
      <c r="G898" s="130"/>
    </row>
    <row r="899">
      <c r="A899" s="11"/>
      <c r="B899" s="84"/>
      <c r="C899" s="130"/>
      <c r="D899" s="84"/>
      <c r="E899" s="130"/>
      <c r="F899" s="84"/>
      <c r="G899" s="130"/>
    </row>
    <row r="900">
      <c r="A900" s="11"/>
      <c r="B900" s="84"/>
      <c r="C900" s="130"/>
      <c r="D900" s="84"/>
      <c r="E900" s="130"/>
      <c r="F900" s="84"/>
      <c r="G900" s="130"/>
    </row>
    <row r="901">
      <c r="A901" s="11"/>
      <c r="B901" s="84"/>
      <c r="C901" s="130"/>
      <c r="D901" s="84"/>
      <c r="E901" s="130"/>
      <c r="F901" s="84"/>
      <c r="G901" s="130"/>
    </row>
    <row r="902">
      <c r="A902" s="11"/>
      <c r="B902" s="84"/>
      <c r="C902" s="130"/>
      <c r="D902" s="84"/>
      <c r="E902" s="130"/>
      <c r="F902" s="84"/>
      <c r="G902" s="130"/>
    </row>
    <row r="903">
      <c r="A903" s="11"/>
      <c r="B903" s="84"/>
      <c r="C903" s="130"/>
      <c r="D903" s="84"/>
      <c r="E903" s="130"/>
      <c r="F903" s="84"/>
      <c r="G903" s="130"/>
    </row>
    <row r="904">
      <c r="A904" s="11"/>
      <c r="B904" s="84"/>
      <c r="C904" s="130"/>
      <c r="D904" s="84"/>
      <c r="E904" s="130"/>
      <c r="F904" s="84"/>
      <c r="G904" s="130"/>
    </row>
    <row r="905">
      <c r="A905" s="11"/>
      <c r="B905" s="84"/>
      <c r="C905" s="130"/>
      <c r="D905" s="84"/>
      <c r="E905" s="130"/>
      <c r="F905" s="84"/>
      <c r="G905" s="130"/>
    </row>
    <row r="906">
      <c r="A906" s="11"/>
      <c r="B906" s="84"/>
      <c r="C906" s="130"/>
      <c r="D906" s="84"/>
      <c r="E906" s="130"/>
      <c r="F906" s="84"/>
      <c r="G906" s="130"/>
    </row>
    <row r="907">
      <c r="A907" s="11"/>
      <c r="B907" s="84"/>
      <c r="C907" s="130"/>
      <c r="D907" s="84"/>
      <c r="E907" s="130"/>
      <c r="F907" s="84"/>
      <c r="G907" s="130"/>
    </row>
    <row r="908">
      <c r="A908" s="11"/>
      <c r="B908" s="84"/>
      <c r="C908" s="130"/>
      <c r="D908" s="84"/>
      <c r="E908" s="130"/>
      <c r="F908" s="84"/>
      <c r="G908" s="130"/>
    </row>
    <row r="909">
      <c r="A909" s="11"/>
      <c r="B909" s="84"/>
      <c r="C909" s="130"/>
      <c r="D909" s="84"/>
      <c r="E909" s="130"/>
      <c r="F909" s="84"/>
      <c r="G909" s="130"/>
    </row>
    <row r="910">
      <c r="A910" s="11"/>
      <c r="B910" s="84"/>
      <c r="C910" s="130"/>
      <c r="D910" s="84"/>
      <c r="E910" s="130"/>
      <c r="F910" s="84"/>
      <c r="G910" s="130"/>
    </row>
    <row r="911">
      <c r="A911" s="11"/>
      <c r="B911" s="84"/>
      <c r="C911" s="130"/>
      <c r="D911" s="84"/>
      <c r="E911" s="130"/>
      <c r="F911" s="84"/>
      <c r="G911" s="130"/>
    </row>
    <row r="912">
      <c r="A912" s="11"/>
      <c r="B912" s="84"/>
      <c r="C912" s="130"/>
      <c r="D912" s="84"/>
      <c r="E912" s="130"/>
      <c r="F912" s="84"/>
      <c r="G912" s="130"/>
    </row>
    <row r="913">
      <c r="A913" s="11"/>
      <c r="B913" s="84"/>
      <c r="C913" s="130"/>
      <c r="D913" s="84"/>
      <c r="E913" s="130"/>
      <c r="F913" s="84"/>
      <c r="G913" s="130"/>
    </row>
    <row r="914">
      <c r="A914" s="11"/>
      <c r="B914" s="84"/>
      <c r="C914" s="130"/>
      <c r="D914" s="84"/>
      <c r="E914" s="130"/>
      <c r="F914" s="84"/>
      <c r="G914" s="130"/>
    </row>
    <row r="915">
      <c r="A915" s="11"/>
      <c r="B915" s="84"/>
      <c r="C915" s="130"/>
      <c r="D915" s="84"/>
      <c r="E915" s="130"/>
      <c r="F915" s="84"/>
      <c r="G915" s="130"/>
    </row>
    <row r="916">
      <c r="A916" s="11"/>
      <c r="B916" s="84"/>
      <c r="C916" s="130"/>
      <c r="D916" s="84"/>
      <c r="E916" s="130"/>
      <c r="F916" s="84"/>
      <c r="G916" s="130"/>
    </row>
    <row r="917">
      <c r="A917" s="11"/>
      <c r="B917" s="84"/>
      <c r="C917" s="130"/>
      <c r="D917" s="84"/>
      <c r="E917" s="130"/>
      <c r="F917" s="84"/>
      <c r="G917" s="130"/>
    </row>
    <row r="918">
      <c r="A918" s="11"/>
      <c r="B918" s="84"/>
      <c r="C918" s="130"/>
      <c r="D918" s="84"/>
      <c r="E918" s="130"/>
      <c r="F918" s="84"/>
      <c r="G918" s="130"/>
    </row>
    <row r="919">
      <c r="A919" s="11"/>
      <c r="B919" s="84"/>
      <c r="C919" s="130"/>
      <c r="D919" s="84"/>
      <c r="E919" s="130"/>
      <c r="F919" s="84"/>
      <c r="G919" s="130"/>
    </row>
    <row r="920">
      <c r="A920" s="11"/>
      <c r="B920" s="84"/>
      <c r="C920" s="130"/>
      <c r="D920" s="84"/>
      <c r="E920" s="130"/>
      <c r="F920" s="84"/>
      <c r="G920" s="130"/>
    </row>
    <row r="921">
      <c r="A921" s="11"/>
      <c r="B921" s="84"/>
      <c r="C921" s="130"/>
      <c r="D921" s="84"/>
      <c r="E921" s="130"/>
      <c r="F921" s="84"/>
      <c r="G921" s="130"/>
    </row>
    <row r="922">
      <c r="A922" s="11"/>
      <c r="B922" s="84"/>
      <c r="C922" s="130"/>
      <c r="D922" s="84"/>
      <c r="E922" s="130"/>
      <c r="F922" s="84"/>
      <c r="G922" s="130"/>
    </row>
    <row r="923">
      <c r="A923" s="11"/>
      <c r="B923" s="84"/>
      <c r="C923" s="130"/>
      <c r="D923" s="84"/>
      <c r="E923" s="130"/>
      <c r="F923" s="84"/>
      <c r="G923" s="130"/>
    </row>
    <row r="924">
      <c r="A924" s="11"/>
      <c r="B924" s="84"/>
      <c r="C924" s="130"/>
      <c r="D924" s="84"/>
      <c r="E924" s="130"/>
      <c r="F924" s="84"/>
      <c r="G924" s="130"/>
    </row>
    <row r="925">
      <c r="A925" s="11"/>
      <c r="B925" s="84"/>
      <c r="C925" s="130"/>
      <c r="D925" s="84"/>
      <c r="E925" s="130"/>
      <c r="F925" s="84"/>
      <c r="G925" s="130"/>
    </row>
    <row r="926">
      <c r="A926" s="11"/>
      <c r="B926" s="84"/>
      <c r="C926" s="130"/>
      <c r="D926" s="84"/>
      <c r="E926" s="130"/>
      <c r="F926" s="84"/>
      <c r="G926" s="130"/>
    </row>
    <row r="927">
      <c r="A927" s="11"/>
      <c r="B927" s="84"/>
      <c r="C927" s="130"/>
      <c r="D927" s="84"/>
      <c r="E927" s="130"/>
      <c r="F927" s="84"/>
      <c r="G927" s="130"/>
    </row>
    <row r="928">
      <c r="A928" s="11"/>
      <c r="B928" s="84"/>
      <c r="C928" s="130"/>
      <c r="D928" s="84"/>
      <c r="E928" s="130"/>
      <c r="F928" s="84"/>
      <c r="G928" s="130"/>
    </row>
    <row r="929">
      <c r="A929" s="11"/>
      <c r="B929" s="84"/>
      <c r="C929" s="130"/>
      <c r="D929" s="84"/>
      <c r="E929" s="130"/>
      <c r="F929" s="84"/>
      <c r="G929" s="130"/>
    </row>
    <row r="930">
      <c r="A930" s="11"/>
      <c r="B930" s="84"/>
      <c r="C930" s="130"/>
      <c r="D930" s="84"/>
      <c r="E930" s="130"/>
      <c r="F930" s="84"/>
      <c r="G930" s="130"/>
    </row>
    <row r="931">
      <c r="A931" s="11"/>
      <c r="B931" s="84"/>
      <c r="C931" s="130"/>
      <c r="D931" s="84"/>
      <c r="E931" s="130"/>
      <c r="F931" s="84"/>
      <c r="G931" s="130"/>
    </row>
    <row r="932">
      <c r="A932" s="11"/>
      <c r="B932" s="84"/>
      <c r="C932" s="130"/>
      <c r="D932" s="84"/>
      <c r="E932" s="130"/>
      <c r="F932" s="84"/>
      <c r="G932" s="130"/>
    </row>
    <row r="933">
      <c r="A933" s="11"/>
      <c r="B933" s="84"/>
      <c r="C933" s="130"/>
      <c r="D933" s="84"/>
      <c r="E933" s="130"/>
      <c r="F933" s="84"/>
      <c r="G933" s="130"/>
    </row>
    <row r="934">
      <c r="A934" s="11"/>
      <c r="B934" s="84"/>
      <c r="C934" s="130"/>
      <c r="D934" s="84"/>
      <c r="E934" s="130"/>
      <c r="F934" s="84"/>
      <c r="G934" s="130"/>
    </row>
    <row r="935">
      <c r="A935" s="11"/>
      <c r="B935" s="84"/>
      <c r="C935" s="130"/>
      <c r="D935" s="84"/>
      <c r="E935" s="130"/>
      <c r="F935" s="84"/>
      <c r="G935" s="130"/>
    </row>
    <row r="936">
      <c r="A936" s="11"/>
      <c r="B936" s="84"/>
      <c r="C936" s="130"/>
      <c r="D936" s="84"/>
      <c r="E936" s="130"/>
      <c r="F936" s="84"/>
      <c r="G936" s="130"/>
    </row>
    <row r="937">
      <c r="A937" s="11"/>
      <c r="B937" s="84"/>
      <c r="C937" s="130"/>
      <c r="D937" s="84"/>
      <c r="E937" s="130"/>
      <c r="F937" s="84"/>
      <c r="G937" s="130"/>
    </row>
    <row r="938">
      <c r="A938" s="11"/>
      <c r="B938" s="84"/>
      <c r="C938" s="130"/>
      <c r="D938" s="84"/>
      <c r="E938" s="130"/>
      <c r="F938" s="84"/>
      <c r="G938" s="130"/>
    </row>
    <row r="939">
      <c r="A939" s="11"/>
      <c r="B939" s="84"/>
      <c r="C939" s="130"/>
      <c r="D939" s="84"/>
      <c r="E939" s="130"/>
      <c r="F939" s="84"/>
      <c r="G939" s="130"/>
    </row>
    <row r="940">
      <c r="A940" s="11"/>
      <c r="B940" s="84"/>
      <c r="C940" s="130"/>
      <c r="D940" s="84"/>
      <c r="E940" s="130"/>
      <c r="F940" s="84"/>
      <c r="G940" s="130"/>
    </row>
    <row r="941">
      <c r="A941" s="11"/>
      <c r="B941" s="84"/>
      <c r="C941" s="130"/>
      <c r="D941" s="84"/>
      <c r="E941" s="130"/>
      <c r="F941" s="84"/>
      <c r="G941" s="130"/>
    </row>
    <row r="942">
      <c r="A942" s="11"/>
      <c r="B942" s="84"/>
      <c r="C942" s="130"/>
      <c r="D942" s="84"/>
      <c r="E942" s="130"/>
      <c r="F942" s="84"/>
      <c r="G942" s="130"/>
    </row>
    <row r="943">
      <c r="A943" s="11"/>
      <c r="B943" s="84"/>
      <c r="C943" s="130"/>
      <c r="D943" s="84"/>
      <c r="E943" s="130"/>
      <c r="F943" s="84"/>
      <c r="G943" s="130"/>
    </row>
    <row r="944">
      <c r="A944" s="11"/>
      <c r="B944" s="84"/>
      <c r="C944" s="130"/>
      <c r="D944" s="84"/>
      <c r="E944" s="130"/>
      <c r="F944" s="84"/>
      <c r="G944" s="130"/>
    </row>
    <row r="945">
      <c r="A945" s="11"/>
      <c r="B945" s="84"/>
      <c r="C945" s="130"/>
      <c r="D945" s="84"/>
      <c r="E945" s="130"/>
      <c r="F945" s="84"/>
      <c r="G945" s="130"/>
    </row>
    <row r="946">
      <c r="A946" s="11"/>
      <c r="B946" s="84"/>
      <c r="C946" s="130"/>
      <c r="D946" s="84"/>
      <c r="E946" s="130"/>
      <c r="F946" s="84"/>
      <c r="G946" s="130"/>
    </row>
    <row r="947">
      <c r="A947" s="11"/>
      <c r="B947" s="84"/>
      <c r="C947" s="130"/>
      <c r="D947" s="84"/>
      <c r="E947" s="130"/>
      <c r="F947" s="84"/>
      <c r="G947" s="130"/>
    </row>
    <row r="948">
      <c r="A948" s="11"/>
      <c r="B948" s="84"/>
      <c r="C948" s="130"/>
      <c r="D948" s="84"/>
      <c r="E948" s="130"/>
      <c r="F948" s="84"/>
      <c r="G948" s="130"/>
    </row>
    <row r="949">
      <c r="A949" s="11"/>
      <c r="B949" s="84"/>
      <c r="C949" s="130"/>
      <c r="D949" s="84"/>
      <c r="E949" s="130"/>
      <c r="F949" s="84"/>
      <c r="G949" s="130"/>
    </row>
    <row r="950">
      <c r="A950" s="11"/>
      <c r="B950" s="84"/>
      <c r="C950" s="130"/>
      <c r="D950" s="84"/>
      <c r="E950" s="130"/>
      <c r="F950" s="84"/>
      <c r="G950" s="130"/>
    </row>
    <row r="951">
      <c r="A951" s="11"/>
      <c r="B951" s="84"/>
      <c r="C951" s="130"/>
      <c r="D951" s="84"/>
      <c r="E951" s="130"/>
      <c r="F951" s="84"/>
      <c r="G951" s="130"/>
    </row>
    <row r="952">
      <c r="A952" s="11"/>
      <c r="B952" s="84"/>
      <c r="C952" s="130"/>
      <c r="D952" s="84"/>
      <c r="E952" s="130"/>
      <c r="F952" s="84"/>
      <c r="G952" s="130"/>
    </row>
    <row r="953">
      <c r="A953" s="11"/>
      <c r="B953" s="84"/>
      <c r="C953" s="130"/>
      <c r="D953" s="84"/>
      <c r="E953" s="130"/>
      <c r="F953" s="84"/>
      <c r="G953" s="130"/>
    </row>
    <row r="954">
      <c r="A954" s="11"/>
      <c r="B954" s="84"/>
      <c r="C954" s="130"/>
      <c r="D954" s="84"/>
      <c r="E954" s="130"/>
      <c r="F954" s="84"/>
      <c r="G954" s="130"/>
    </row>
    <row r="955">
      <c r="A955" s="11"/>
      <c r="B955" s="84"/>
      <c r="C955" s="130"/>
      <c r="D955" s="84"/>
      <c r="E955" s="130"/>
      <c r="F955" s="84"/>
      <c r="G955" s="130"/>
    </row>
    <row r="956">
      <c r="A956" s="11"/>
      <c r="B956" s="84"/>
      <c r="C956" s="130"/>
      <c r="D956" s="84"/>
      <c r="E956" s="130"/>
      <c r="F956" s="84"/>
      <c r="G956" s="130"/>
    </row>
    <row r="957">
      <c r="A957" s="11"/>
      <c r="B957" s="84"/>
      <c r="C957" s="130"/>
      <c r="D957" s="84"/>
      <c r="E957" s="130"/>
      <c r="F957" s="84"/>
      <c r="G957" s="130"/>
    </row>
    <row r="958">
      <c r="A958" s="11"/>
      <c r="B958" s="84"/>
      <c r="C958" s="130"/>
      <c r="D958" s="84"/>
      <c r="E958" s="130"/>
      <c r="F958" s="84"/>
      <c r="G958" s="130"/>
    </row>
    <row r="959">
      <c r="A959" s="11"/>
      <c r="B959" s="84"/>
      <c r="C959" s="130"/>
      <c r="D959" s="84"/>
      <c r="E959" s="130"/>
      <c r="F959" s="84"/>
      <c r="G959" s="130"/>
    </row>
    <row r="960">
      <c r="A960" s="11"/>
      <c r="B960" s="84"/>
      <c r="C960" s="130"/>
      <c r="D960" s="84"/>
      <c r="E960" s="130"/>
      <c r="F960" s="84"/>
      <c r="G960" s="130"/>
    </row>
    <row r="961">
      <c r="A961" s="11"/>
      <c r="B961" s="84"/>
      <c r="C961" s="130"/>
      <c r="D961" s="84"/>
      <c r="E961" s="130"/>
      <c r="F961" s="84"/>
      <c r="G961" s="130"/>
    </row>
    <row r="962">
      <c r="A962" s="11"/>
      <c r="B962" s="84"/>
      <c r="C962" s="130"/>
      <c r="D962" s="84"/>
      <c r="E962" s="130"/>
      <c r="F962" s="84"/>
      <c r="G962" s="130"/>
    </row>
    <row r="963">
      <c r="A963" s="11"/>
      <c r="B963" s="84"/>
      <c r="C963" s="130"/>
      <c r="D963" s="84"/>
      <c r="E963" s="130"/>
      <c r="F963" s="84"/>
      <c r="G963" s="130"/>
    </row>
    <row r="964">
      <c r="A964" s="11"/>
      <c r="B964" s="84"/>
      <c r="C964" s="130"/>
      <c r="D964" s="84"/>
      <c r="E964" s="130"/>
      <c r="F964" s="84"/>
      <c r="G964" s="130"/>
    </row>
    <row r="965">
      <c r="A965" s="11"/>
      <c r="B965" s="84"/>
      <c r="C965" s="130"/>
      <c r="D965" s="84"/>
      <c r="E965" s="130"/>
      <c r="F965" s="84"/>
      <c r="G965" s="130"/>
    </row>
    <row r="966">
      <c r="A966" s="11"/>
      <c r="B966" s="84"/>
      <c r="C966" s="130"/>
      <c r="D966" s="84"/>
      <c r="E966" s="130"/>
      <c r="F966" s="84"/>
      <c r="G966" s="130"/>
    </row>
    <row r="967">
      <c r="A967" s="11"/>
      <c r="B967" s="84"/>
      <c r="C967" s="130"/>
      <c r="D967" s="84"/>
      <c r="E967" s="130"/>
      <c r="F967" s="84"/>
      <c r="G967" s="130"/>
    </row>
    <row r="968">
      <c r="A968" s="11"/>
      <c r="B968" s="84"/>
      <c r="C968" s="130"/>
      <c r="D968" s="84"/>
      <c r="E968" s="130"/>
      <c r="F968" s="84"/>
      <c r="G968" s="130"/>
    </row>
    <row r="969">
      <c r="A969" s="11"/>
      <c r="B969" s="84"/>
      <c r="C969" s="130"/>
      <c r="D969" s="84"/>
      <c r="E969" s="130"/>
      <c r="F969" s="84"/>
      <c r="G969" s="130"/>
    </row>
    <row r="970">
      <c r="A970" s="11"/>
      <c r="B970" s="84"/>
      <c r="C970" s="130"/>
      <c r="D970" s="84"/>
      <c r="E970" s="130"/>
      <c r="F970" s="84"/>
      <c r="G970" s="130"/>
    </row>
    <row r="971">
      <c r="A971" s="11"/>
      <c r="B971" s="84"/>
      <c r="C971" s="130"/>
      <c r="D971" s="84"/>
      <c r="E971" s="130"/>
      <c r="F971" s="84"/>
      <c r="G971" s="130"/>
    </row>
    <row r="972">
      <c r="A972" s="11"/>
      <c r="B972" s="84"/>
      <c r="C972" s="130"/>
      <c r="D972" s="84"/>
      <c r="E972" s="130"/>
      <c r="F972" s="84"/>
      <c r="G972" s="130"/>
    </row>
    <row r="973">
      <c r="A973" s="11"/>
      <c r="B973" s="84"/>
      <c r="C973" s="130"/>
      <c r="D973" s="84"/>
      <c r="E973" s="130"/>
      <c r="F973" s="84"/>
      <c r="G973" s="130"/>
    </row>
    <row r="974">
      <c r="A974" s="11"/>
      <c r="B974" s="84"/>
      <c r="C974" s="130"/>
      <c r="D974" s="84"/>
      <c r="E974" s="130"/>
      <c r="F974" s="84"/>
      <c r="G974" s="130"/>
    </row>
    <row r="975">
      <c r="A975" s="11"/>
      <c r="B975" s="84"/>
      <c r="C975" s="130"/>
      <c r="D975" s="84"/>
      <c r="E975" s="130"/>
      <c r="F975" s="84"/>
      <c r="G975" s="130"/>
    </row>
    <row r="976">
      <c r="A976" s="11"/>
      <c r="B976" s="84"/>
      <c r="C976" s="130"/>
      <c r="D976" s="84"/>
      <c r="E976" s="130"/>
      <c r="F976" s="84"/>
      <c r="G976" s="130"/>
    </row>
    <row r="977">
      <c r="A977" s="11"/>
      <c r="B977" s="84"/>
      <c r="C977" s="130"/>
      <c r="D977" s="84"/>
      <c r="E977" s="130"/>
      <c r="F977" s="84"/>
      <c r="G977" s="130"/>
    </row>
    <row r="978">
      <c r="A978" s="11"/>
      <c r="B978" s="84"/>
      <c r="C978" s="130"/>
      <c r="D978" s="84"/>
      <c r="E978" s="130"/>
      <c r="F978" s="84"/>
      <c r="G978" s="130"/>
    </row>
    <row r="979">
      <c r="A979" s="11"/>
      <c r="B979" s="84"/>
      <c r="C979" s="130"/>
      <c r="D979" s="84"/>
      <c r="E979" s="130"/>
      <c r="F979" s="84"/>
      <c r="G979" s="130"/>
    </row>
    <row r="980">
      <c r="A980" s="11"/>
      <c r="B980" s="84"/>
      <c r="C980" s="130"/>
      <c r="D980" s="84"/>
      <c r="E980" s="130"/>
      <c r="F980" s="84"/>
      <c r="G980" s="130"/>
    </row>
    <row r="981">
      <c r="A981" s="11"/>
      <c r="B981" s="84"/>
      <c r="C981" s="130"/>
      <c r="D981" s="84"/>
      <c r="E981" s="130"/>
      <c r="F981" s="84"/>
      <c r="G981" s="130"/>
    </row>
    <row r="982">
      <c r="A982" s="11"/>
      <c r="B982" s="84"/>
      <c r="C982" s="130"/>
      <c r="D982" s="84"/>
      <c r="E982" s="130"/>
      <c r="F982" s="84"/>
      <c r="G982" s="130"/>
    </row>
    <row r="983">
      <c r="A983" s="11"/>
      <c r="B983" s="84"/>
      <c r="C983" s="130"/>
      <c r="D983" s="84"/>
      <c r="E983" s="130"/>
      <c r="F983" s="84"/>
      <c r="G983" s="130"/>
    </row>
    <row r="984">
      <c r="A984" s="11"/>
      <c r="B984" s="84"/>
      <c r="C984" s="130"/>
      <c r="D984" s="84"/>
      <c r="E984" s="130"/>
      <c r="F984" s="84"/>
      <c r="G984" s="130"/>
    </row>
    <row r="985">
      <c r="A985" s="11"/>
      <c r="B985" s="84"/>
      <c r="C985" s="130"/>
      <c r="D985" s="84"/>
      <c r="E985" s="130"/>
      <c r="F985" s="84"/>
      <c r="G985" s="130"/>
    </row>
    <row r="986">
      <c r="A986" s="11"/>
      <c r="B986" s="84"/>
      <c r="C986" s="130"/>
      <c r="D986" s="84"/>
      <c r="E986" s="130"/>
      <c r="F986" s="84"/>
      <c r="G986" s="130"/>
    </row>
    <row r="987">
      <c r="A987" s="11"/>
      <c r="B987" s="84"/>
      <c r="C987" s="130"/>
      <c r="D987" s="84"/>
      <c r="E987" s="130"/>
      <c r="F987" s="84"/>
      <c r="G987" s="130"/>
    </row>
    <row r="988">
      <c r="A988" s="11"/>
      <c r="B988" s="84"/>
      <c r="C988" s="130"/>
      <c r="D988" s="84"/>
      <c r="E988" s="130"/>
      <c r="F988" s="84"/>
      <c r="G988" s="130"/>
    </row>
    <row r="989">
      <c r="A989" s="11"/>
      <c r="B989" s="84"/>
      <c r="C989" s="130"/>
      <c r="D989" s="84"/>
      <c r="E989" s="130"/>
      <c r="F989" s="84"/>
      <c r="G989" s="130"/>
    </row>
    <row r="990">
      <c r="A990" s="11"/>
      <c r="B990" s="84"/>
      <c r="C990" s="130"/>
      <c r="D990" s="84"/>
      <c r="E990" s="130"/>
      <c r="F990" s="84"/>
      <c r="G990" s="130"/>
    </row>
    <row r="991">
      <c r="A991" s="11"/>
      <c r="B991" s="84"/>
      <c r="C991" s="130"/>
      <c r="D991" s="84"/>
      <c r="E991" s="130"/>
      <c r="F991" s="84"/>
      <c r="G991" s="130"/>
    </row>
    <row r="992">
      <c r="A992" s="11"/>
      <c r="B992" s="84"/>
      <c r="C992" s="130"/>
      <c r="D992" s="84"/>
      <c r="E992" s="130"/>
      <c r="F992" s="84"/>
      <c r="G992" s="130"/>
    </row>
    <row r="993">
      <c r="A993" s="11"/>
      <c r="B993" s="84"/>
      <c r="C993" s="130"/>
      <c r="D993" s="84"/>
      <c r="E993" s="130"/>
      <c r="F993" s="84"/>
      <c r="G993" s="130"/>
    </row>
    <row r="994">
      <c r="A994" s="11"/>
      <c r="B994" s="84"/>
      <c r="C994" s="130"/>
      <c r="D994" s="84"/>
      <c r="E994" s="130"/>
      <c r="F994" s="84"/>
      <c r="G994" s="130"/>
    </row>
    <row r="995">
      <c r="A995" s="11"/>
      <c r="B995" s="84"/>
      <c r="C995" s="130"/>
      <c r="D995" s="84"/>
      <c r="E995" s="130"/>
      <c r="F995" s="84"/>
      <c r="G995" s="130"/>
    </row>
    <row r="996">
      <c r="A996" s="11"/>
      <c r="B996" s="84"/>
      <c r="C996" s="130"/>
      <c r="D996" s="84"/>
      <c r="E996" s="130"/>
      <c r="F996" s="84"/>
      <c r="G996" s="130"/>
    </row>
    <row r="997">
      <c r="A997" s="11"/>
      <c r="B997" s="84"/>
      <c r="C997" s="130"/>
      <c r="D997" s="84"/>
      <c r="E997" s="130"/>
      <c r="F997" s="84"/>
      <c r="G997" s="130"/>
    </row>
    <row r="998">
      <c r="A998" s="11"/>
      <c r="B998" s="84"/>
      <c r="C998" s="130"/>
      <c r="D998" s="84"/>
      <c r="E998" s="130"/>
      <c r="F998" s="84"/>
      <c r="G998" s="130"/>
    </row>
    <row r="999">
      <c r="A999" s="11"/>
      <c r="B999" s="84"/>
      <c r="C999" s="130"/>
      <c r="D999" s="84"/>
      <c r="E999" s="130"/>
      <c r="F999" s="84"/>
      <c r="G999" s="130"/>
    </row>
    <row r="1000">
      <c r="A1000" s="11"/>
      <c r="B1000" s="93"/>
      <c r="C1000" s="142"/>
      <c r="D1000" s="93"/>
      <c r="E1000" s="142"/>
      <c r="F1000" s="93"/>
      <c r="G1000" s="142"/>
    </row>
  </sheetData>
  <hyperlinks>
    <hyperlink r:id="rId1" ref="C2"/>
    <hyperlink r:id="rId2" ref="C3"/>
    <hyperlink r:id="rId3" ref="C4"/>
    <hyperlink r:id="rId4" ref="E4"/>
    <hyperlink r:id="rId5" ref="G4"/>
    <hyperlink r:id="rId6" ref="C5"/>
    <hyperlink r:id="rId7" ref="C6"/>
    <hyperlink r:id="rId8" ref="C7"/>
    <hyperlink r:id="rId9" ref="E7"/>
    <hyperlink r:id="rId10" ref="C10"/>
    <hyperlink r:id="rId11" ref="E10"/>
    <hyperlink r:id="rId12" ref="C11"/>
    <hyperlink r:id="rId13" ref="C12"/>
    <hyperlink r:id="rId14" ref="C14"/>
    <hyperlink r:id="rId15" ref="C15"/>
    <hyperlink r:id="rId16" ref="C17"/>
    <hyperlink r:id="rId17" ref="E17"/>
    <hyperlink r:id="rId18" ref="C18"/>
    <hyperlink r:id="rId19" ref="C19"/>
    <hyperlink r:id="rId20" ref="C20"/>
    <hyperlink r:id="rId21" ref="C21"/>
    <hyperlink r:id="rId22" ref="C22"/>
    <hyperlink r:id="rId23" ref="C25"/>
    <hyperlink r:id="rId24" ref="C28"/>
    <hyperlink r:id="rId25" ref="C29"/>
    <hyperlink r:id="rId26" ref="C32"/>
    <hyperlink r:id="rId27" ref="C35"/>
    <hyperlink r:id="rId28" ref="C37"/>
    <hyperlink r:id="rId29" ref="C41"/>
    <hyperlink r:id="rId30" ref="C51"/>
    <hyperlink r:id="rId31" ref="C52"/>
    <hyperlink r:id="rId32" ref="C60"/>
    <hyperlink r:id="rId33" ref="C67"/>
    <hyperlink r:id="rId34" ref="C68"/>
    <hyperlink r:id="rId35" ref="C71"/>
    <hyperlink r:id="rId36" ref="C82"/>
    <hyperlink r:id="rId37" ref="C84"/>
    <hyperlink r:id="rId38" ref="C88"/>
    <hyperlink r:id="rId39" ref="C90"/>
    <hyperlink r:id="rId40" ref="C92"/>
    <hyperlink r:id="rId41" ref="C93"/>
    <hyperlink r:id="rId42" ref="C94"/>
    <hyperlink r:id="rId43" ref="C95"/>
    <hyperlink r:id="rId44" ref="C101"/>
    <hyperlink r:id="rId45" ref="C105"/>
    <hyperlink r:id="rId46" ref="C106"/>
    <hyperlink r:id="rId47" ref="C115"/>
    <hyperlink r:id="rId48" ref="E115"/>
    <hyperlink r:id="rId49" ref="C116"/>
    <hyperlink r:id="rId50" ref="C123"/>
    <hyperlink r:id="rId51" ref="C124"/>
    <hyperlink r:id="rId52" ref="C125"/>
    <hyperlink r:id="rId53" ref="C128"/>
    <hyperlink r:id="rId54" ref="C129"/>
    <hyperlink r:id="rId55" ref="C132"/>
    <hyperlink r:id="rId56" ref="C133"/>
    <hyperlink r:id="rId57" ref="C144"/>
    <hyperlink r:id="rId58" ref="C149"/>
    <hyperlink r:id="rId59" ref="C155"/>
    <hyperlink r:id="rId60" ref="C201"/>
    <hyperlink r:id="rId61" ref="E201"/>
    <hyperlink r:id="rId62" ref="C203"/>
    <hyperlink r:id="rId63" ref="C212"/>
    <hyperlink r:id="rId64" ref="C215"/>
    <hyperlink r:id="rId65" ref="C222"/>
    <hyperlink r:id="rId66" ref="C227"/>
    <hyperlink r:id="rId67" ref="C228"/>
    <hyperlink r:id="rId68" ref="E228"/>
    <hyperlink r:id="rId69" ref="C230"/>
    <hyperlink r:id="rId70" ref="C242"/>
    <hyperlink r:id="rId71" ref="E242"/>
    <hyperlink r:id="rId72" ref="C255"/>
    <hyperlink r:id="rId73" ref="C256"/>
    <hyperlink r:id="rId74" ref="C257"/>
    <hyperlink r:id="rId75" ref="C258"/>
    <hyperlink r:id="rId76" ref="E258"/>
    <hyperlink r:id="rId77" ref="C259"/>
    <hyperlink r:id="rId78" ref="C260"/>
    <hyperlink r:id="rId79" ref="C261"/>
    <hyperlink r:id="rId80" ref="E261"/>
    <hyperlink r:id="rId81" ref="C262"/>
    <hyperlink r:id="rId82" ref="C263"/>
    <hyperlink r:id="rId83" ref="C264"/>
    <hyperlink r:id="rId84" ref="C265"/>
    <hyperlink r:id="rId85" ref="C267"/>
    <hyperlink r:id="rId86" ref="C268"/>
    <hyperlink r:id="rId87" ref="C269"/>
    <hyperlink r:id="rId88" ref="C270"/>
    <hyperlink r:id="rId89" ref="C271"/>
    <hyperlink r:id="rId90" ref="C272"/>
    <hyperlink r:id="rId91" ref="C273"/>
    <hyperlink r:id="rId92" ref="C274"/>
    <hyperlink r:id="rId93" ref="C275"/>
    <hyperlink r:id="rId94" ref="C276"/>
    <hyperlink r:id="rId95" ref="C279"/>
    <hyperlink r:id="rId96" ref="C280"/>
    <hyperlink r:id="rId97" ref="C281"/>
    <hyperlink r:id="rId98" ref="C282"/>
    <hyperlink r:id="rId99" ref="C283"/>
    <hyperlink r:id="rId100" ref="C284"/>
    <hyperlink r:id="rId101" ref="C285"/>
    <hyperlink r:id="rId102" ref="C286"/>
    <hyperlink r:id="rId103" ref="C287"/>
    <hyperlink r:id="rId104" ref="C288"/>
    <hyperlink r:id="rId105" ref="C289"/>
    <hyperlink r:id="rId106" ref="C290"/>
    <hyperlink r:id="rId107" ref="C291"/>
    <hyperlink r:id="rId108" ref="C292"/>
    <hyperlink r:id="rId109" ref="C293"/>
    <hyperlink r:id="rId110" ref="C294"/>
    <hyperlink r:id="rId111" ref="C295"/>
    <hyperlink r:id="rId112" ref="C296"/>
    <hyperlink r:id="rId113" ref="C297"/>
    <hyperlink r:id="rId114" ref="C298"/>
    <hyperlink r:id="rId115" ref="C301"/>
    <hyperlink r:id="rId116" ref="C302"/>
    <hyperlink r:id="rId117" ref="C303"/>
    <hyperlink r:id="rId118" ref="C304"/>
    <hyperlink r:id="rId119" ref="C308"/>
    <hyperlink r:id="rId120" ref="C309"/>
    <hyperlink r:id="rId121" ref="C310"/>
    <hyperlink r:id="rId122" ref="C311"/>
    <hyperlink r:id="rId123" ref="C312"/>
    <hyperlink r:id="rId124" ref="C313"/>
    <hyperlink r:id="rId125" ref="C316"/>
    <hyperlink r:id="rId126" ref="C317"/>
    <hyperlink r:id="rId127" ref="C318"/>
    <hyperlink r:id="rId128" ref="C319"/>
    <hyperlink r:id="rId129" ref="C320"/>
    <hyperlink r:id="rId130" ref="C321"/>
    <hyperlink r:id="rId131" ref="C322"/>
    <hyperlink r:id="rId132" ref="C323"/>
    <hyperlink r:id="rId133" ref="C324"/>
    <hyperlink r:id="rId134" ref="C325"/>
    <hyperlink r:id="rId135" ref="C326"/>
    <hyperlink r:id="rId136" ref="C327"/>
    <hyperlink r:id="rId137" ref="C329"/>
    <hyperlink r:id="rId138" ref="C330"/>
    <hyperlink r:id="rId139" ref="C331"/>
    <hyperlink r:id="rId140" ref="C332"/>
    <hyperlink r:id="rId141" ref="C333"/>
    <hyperlink r:id="rId142" ref="C334"/>
    <hyperlink r:id="rId143" ref="C335"/>
    <hyperlink r:id="rId144" ref="C336"/>
    <hyperlink r:id="rId145" ref="C337"/>
    <hyperlink r:id="rId146" ref="E337"/>
    <hyperlink r:id="rId147" ref="C338"/>
    <hyperlink r:id="rId148" ref="E338"/>
    <hyperlink r:id="rId149" ref="C339"/>
    <hyperlink r:id="rId150" ref="E339"/>
    <hyperlink r:id="rId151" ref="C340"/>
    <hyperlink r:id="rId152" ref="C341"/>
    <hyperlink r:id="rId153" ref="C342"/>
    <hyperlink r:id="rId154" ref="C343"/>
    <hyperlink r:id="rId155" ref="C344"/>
    <hyperlink r:id="rId156" ref="C345"/>
    <hyperlink r:id="rId157" ref="C347"/>
    <hyperlink r:id="rId158" ref="C348"/>
    <hyperlink r:id="rId159" ref="C349"/>
    <hyperlink r:id="rId160" ref="C350"/>
    <hyperlink r:id="rId161" ref="C351"/>
    <hyperlink r:id="rId162" ref="C353"/>
    <hyperlink r:id="rId163" ref="C358"/>
    <hyperlink r:id="rId164" ref="C359"/>
    <hyperlink r:id="rId165" ref="C360"/>
    <hyperlink r:id="rId166" ref="E360"/>
    <hyperlink r:id="rId167" ref="C364"/>
    <hyperlink r:id="rId168" ref="C365"/>
    <hyperlink r:id="rId169" ref="C366"/>
    <hyperlink r:id="rId170" ref="C367"/>
    <hyperlink r:id="rId171" ref="C368"/>
    <hyperlink r:id="rId172" ref="E368"/>
    <hyperlink r:id="rId173" ref="C369"/>
    <hyperlink r:id="rId174" ref="C370"/>
    <hyperlink r:id="rId175" ref="E370"/>
    <hyperlink r:id="rId176" ref="C371"/>
    <hyperlink r:id="rId177" ref="C372"/>
    <hyperlink r:id="rId178" ref="C373"/>
    <hyperlink r:id="rId179" ref="C374"/>
    <hyperlink r:id="rId180" ref="C375"/>
    <hyperlink r:id="rId181" ref="C376"/>
    <hyperlink r:id="rId182" ref="C377"/>
    <hyperlink r:id="rId183" ref="C399"/>
    <hyperlink r:id="rId184" ref="C427"/>
  </hyperlinks>
  <drawing r:id="rId18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7" width="6.5"/>
  </cols>
  <sheetData>
    <row r="1">
      <c r="A1" s="132"/>
      <c r="B1" s="133" t="s">
        <v>1734</v>
      </c>
      <c r="C1" s="134"/>
      <c r="D1" s="133" t="s">
        <v>1735</v>
      </c>
      <c r="E1" s="134"/>
      <c r="F1" s="133" t="s">
        <v>1736</v>
      </c>
      <c r="G1" s="134"/>
      <c r="H1" s="133" t="s">
        <v>1737</v>
      </c>
      <c r="I1" s="134"/>
      <c r="J1" s="133" t="s">
        <v>1738</v>
      </c>
      <c r="K1" s="134"/>
      <c r="L1" s="133" t="s">
        <v>1740</v>
      </c>
      <c r="M1" s="134"/>
      <c r="N1" s="133" t="s">
        <v>1741</v>
      </c>
      <c r="O1" s="134"/>
      <c r="P1" s="133" t="s">
        <v>1742</v>
      </c>
      <c r="Q1" s="134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5"/>
      <c r="B2" s="136" t="s">
        <v>1743</v>
      </c>
      <c r="C2" s="137" t="s">
        <v>1745</v>
      </c>
      <c r="D2" s="136" t="s">
        <v>1743</v>
      </c>
      <c r="E2" s="137" t="s">
        <v>1745</v>
      </c>
      <c r="F2" s="136" t="s">
        <v>1743</v>
      </c>
      <c r="G2" s="137" t="s">
        <v>1745</v>
      </c>
      <c r="H2" s="136" t="s">
        <v>1743</v>
      </c>
      <c r="I2" s="137" t="s">
        <v>1745</v>
      </c>
      <c r="J2" s="136" t="s">
        <v>1743</v>
      </c>
      <c r="K2" s="137" t="s">
        <v>1745</v>
      </c>
      <c r="L2" s="136" t="s">
        <v>1743</v>
      </c>
      <c r="M2" s="137" t="s">
        <v>1745</v>
      </c>
      <c r="N2" s="136" t="s">
        <v>1743</v>
      </c>
      <c r="O2" s="137" t="s">
        <v>1745</v>
      </c>
      <c r="P2" s="136" t="s">
        <v>1743</v>
      </c>
      <c r="Q2" s="137" t="s">
        <v>1745</v>
      </c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38" t="str">
        <f t="shared" ref="A3:A7" si="1">"Lvl "&amp;Row()-3&amp;" -&gt; "&amp;Row()-2</f>
        <v>Lvl 0 -&gt; 1</v>
      </c>
      <c r="B3" s="139">
        <v>100.0</v>
      </c>
      <c r="C3" s="130" t="str">
        <f>"+2%"</f>
        <v>+2%</v>
      </c>
      <c r="D3" s="139">
        <v>100.0</v>
      </c>
      <c r="E3" s="130" t="str">
        <f>"+1%"</f>
        <v>+1%</v>
      </c>
      <c r="F3" s="139">
        <v>100.0</v>
      </c>
      <c r="G3" s="130" t="str">
        <f>"+2%"</f>
        <v>+2%</v>
      </c>
      <c r="H3" s="139">
        <v>100.0</v>
      </c>
      <c r="I3" s="130" t="str">
        <f>"+2%"</f>
        <v>+2%</v>
      </c>
      <c r="J3" s="139">
        <v>100.0</v>
      </c>
      <c r="K3" s="130" t="str">
        <f>"+1%"</f>
        <v>+1%</v>
      </c>
      <c r="L3" s="139">
        <v>100.0</v>
      </c>
      <c r="M3" s="130" t="str">
        <f>"+2%"</f>
        <v>+2%</v>
      </c>
      <c r="N3" s="139">
        <v>100.0</v>
      </c>
      <c r="O3" s="130" t="str">
        <f>"+1%"</f>
        <v>+1%</v>
      </c>
      <c r="P3" s="139">
        <v>200.0</v>
      </c>
      <c r="Q3" s="130" t="str">
        <f>"+1%"</f>
        <v>+1%</v>
      </c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38" t="str">
        <f t="shared" si="1"/>
        <v>Lvl 1 -&gt; 2</v>
      </c>
      <c r="B4" s="139">
        <v>175.0</v>
      </c>
      <c r="C4" s="130" t="str">
        <f>"+4%"</f>
        <v>+4%</v>
      </c>
      <c r="D4" s="84"/>
      <c r="E4" s="140"/>
      <c r="F4" s="84"/>
      <c r="G4" s="140"/>
      <c r="H4" s="139">
        <v>175.0</v>
      </c>
      <c r="I4" s="140"/>
      <c r="J4" s="84"/>
      <c r="K4" s="140"/>
      <c r="L4" s="84"/>
      <c r="M4" s="140"/>
      <c r="N4" s="84"/>
      <c r="O4" s="140"/>
      <c r="P4" s="84">
        <v>350.0</v>
      </c>
      <c r="Q4" s="140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38" t="str">
        <f t="shared" si="1"/>
        <v>Lvl 2 -&gt; 3</v>
      </c>
      <c r="B5" s="139">
        <v>275.0</v>
      </c>
      <c r="C5" s="130" t="str">
        <f>"+6%"</f>
        <v>+6%</v>
      </c>
      <c r="D5" s="84"/>
      <c r="E5" s="140"/>
      <c r="F5" s="84"/>
      <c r="G5" s="140"/>
      <c r="H5" s="84"/>
      <c r="I5" s="140"/>
      <c r="J5" s="84"/>
      <c r="K5" s="140"/>
      <c r="L5" s="84"/>
      <c r="M5" s="140"/>
      <c r="N5" s="84"/>
      <c r="O5" s="140"/>
      <c r="P5" s="84" t="s">
        <v>1762</v>
      </c>
      <c r="Q5" s="140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38" t="str">
        <f t="shared" si="1"/>
        <v>Lvl 3 -&gt; 4</v>
      </c>
      <c r="B6" s="139">
        <v>425.0</v>
      </c>
      <c r="C6" s="130" t="str">
        <f>"+8%"</f>
        <v>+8%</v>
      </c>
      <c r="D6" s="84"/>
      <c r="E6" s="140"/>
      <c r="F6" s="84"/>
      <c r="G6" s="140"/>
      <c r="H6" s="84"/>
      <c r="I6" s="140"/>
      <c r="J6" s="84"/>
      <c r="K6" s="140"/>
      <c r="L6" s="84"/>
      <c r="M6" s="140"/>
      <c r="N6" s="84"/>
      <c r="O6" s="140"/>
      <c r="P6" s="84" t="s">
        <v>1765</v>
      </c>
      <c r="Q6" s="140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38" t="str">
        <f t="shared" si="1"/>
        <v>Lvl 4 -&gt; 5</v>
      </c>
      <c r="B7" s="141">
        <v>625.0</v>
      </c>
      <c r="C7" s="142"/>
      <c r="D7" s="93"/>
      <c r="E7" s="143"/>
      <c r="F7" s="93"/>
      <c r="G7" s="143"/>
      <c r="H7" s="93"/>
      <c r="I7" s="143"/>
      <c r="J7" s="93"/>
      <c r="K7" s="143"/>
      <c r="L7" s="93"/>
      <c r="M7" s="143"/>
      <c r="N7" s="93"/>
      <c r="O7" s="143"/>
      <c r="P7" s="93" t="s">
        <v>1767</v>
      </c>
      <c r="Q7" s="143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f>200+350+550+850+1250</f>
        <v>3200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</cols>
  <sheetData>
    <row r="1">
      <c r="A1" s="133"/>
      <c r="B1" s="144" t="s">
        <v>685</v>
      </c>
      <c r="C1" s="144" t="s">
        <v>683</v>
      </c>
      <c r="D1" s="144" t="s">
        <v>676</v>
      </c>
      <c r="E1" s="144" t="s">
        <v>1908</v>
      </c>
      <c r="F1" s="144" t="s">
        <v>1909</v>
      </c>
      <c r="G1" s="144" t="s">
        <v>1910</v>
      </c>
      <c r="H1" s="145" t="s">
        <v>663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9" t="s">
        <v>1911</v>
      </c>
      <c r="B2" s="146">
        <v>40000.0</v>
      </c>
      <c r="C2" s="146">
        <v>50000.0</v>
      </c>
      <c r="D2" s="146" t="s">
        <v>1912</v>
      </c>
      <c r="E2" s="146" t="s">
        <v>1912</v>
      </c>
      <c r="F2" s="146" t="s">
        <v>1912</v>
      </c>
      <c r="G2" s="146" t="s">
        <v>1912</v>
      </c>
      <c r="H2" s="147" t="s">
        <v>1912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9" t="s">
        <v>1913</v>
      </c>
      <c r="B3" s="146">
        <v>35000.0</v>
      </c>
      <c r="C3" s="146">
        <v>45000.0</v>
      </c>
      <c r="D3" s="146">
        <v>54000.0</v>
      </c>
      <c r="E3" s="146">
        <v>60000.0</v>
      </c>
      <c r="F3" s="146">
        <v>70000.0</v>
      </c>
      <c r="G3" s="146">
        <v>80000.0</v>
      </c>
      <c r="H3" s="147">
        <v>90000.0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9" t="s">
        <v>1914</v>
      </c>
      <c r="B4" s="146">
        <v>30000.0</v>
      </c>
      <c r="C4" s="146">
        <v>40000.0</v>
      </c>
      <c r="D4" s="146">
        <v>50000.0</v>
      </c>
      <c r="E4" s="146">
        <v>55000.0</v>
      </c>
      <c r="F4" s="146">
        <v>65000.0</v>
      </c>
      <c r="G4" s="146">
        <v>75000.0</v>
      </c>
      <c r="H4" s="147">
        <v>80000.0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41" t="s">
        <v>1915</v>
      </c>
      <c r="B5" s="148">
        <v>30000.0</v>
      </c>
      <c r="C5" s="148">
        <v>30000.0</v>
      </c>
      <c r="D5" s="148">
        <v>32000.0</v>
      </c>
      <c r="E5" s="148">
        <v>32000.0</v>
      </c>
      <c r="F5" s="148">
        <v>34000.0</v>
      </c>
      <c r="G5" s="148">
        <v>35000.0</v>
      </c>
      <c r="H5" s="149">
        <v>35000.0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96" t="s">
        <v>1916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38"/>
  </cols>
  <sheetData>
    <row r="1">
      <c r="A1" s="5" t="s">
        <v>1917</v>
      </c>
      <c r="B1" s="5" t="s">
        <v>1918</v>
      </c>
      <c r="C1" s="5" t="s">
        <v>1919</v>
      </c>
      <c r="D1" s="5" t="s">
        <v>1920</v>
      </c>
      <c r="E1" s="5" t="s">
        <v>1921</v>
      </c>
    </row>
    <row r="2">
      <c r="A2" s="5" t="s">
        <v>1922</v>
      </c>
      <c r="B2" s="50" t="s">
        <v>1923</v>
      </c>
      <c r="C2" s="5" t="s">
        <v>949</v>
      </c>
      <c r="D2" s="5" t="s">
        <v>489</v>
      </c>
      <c r="E2" s="5" t="s">
        <v>62</v>
      </c>
    </row>
    <row r="3">
      <c r="A3" s="5" t="s">
        <v>1924</v>
      </c>
      <c r="B3" s="50" t="s">
        <v>1925</v>
      </c>
      <c r="C3" s="5" t="s">
        <v>1215</v>
      </c>
      <c r="D3" s="5" t="s">
        <v>1219</v>
      </c>
      <c r="E3" s="5" t="s">
        <v>626</v>
      </c>
    </row>
    <row r="4">
      <c r="A4" s="5" t="s">
        <v>1926</v>
      </c>
      <c r="B4" s="50" t="s">
        <v>1927</v>
      </c>
      <c r="C4" s="5" t="s">
        <v>898</v>
      </c>
      <c r="D4" s="5" t="s">
        <v>376</v>
      </c>
      <c r="E4" s="5" t="s">
        <v>411</v>
      </c>
    </row>
    <row r="5">
      <c r="A5" s="5" t="s">
        <v>776</v>
      </c>
      <c r="B5" s="50" t="s">
        <v>1928</v>
      </c>
      <c r="C5" s="5" t="s">
        <v>777</v>
      </c>
      <c r="D5" s="5" t="s">
        <v>1663</v>
      </c>
      <c r="E5" s="5" t="s">
        <v>415</v>
      </c>
    </row>
    <row r="6">
      <c r="A6" s="5" t="s">
        <v>769</v>
      </c>
      <c r="B6" s="50" t="s">
        <v>1929</v>
      </c>
      <c r="C6" s="5" t="s">
        <v>771</v>
      </c>
      <c r="D6" s="5" t="s">
        <v>399</v>
      </c>
      <c r="E6" s="5" t="s">
        <v>665</v>
      </c>
    </row>
    <row r="7">
      <c r="A7" s="5" t="s">
        <v>781</v>
      </c>
      <c r="B7" s="50" t="s">
        <v>1930</v>
      </c>
      <c r="C7" s="5" t="s">
        <v>448</v>
      </c>
      <c r="D7" s="5" t="s">
        <v>859</v>
      </c>
      <c r="E7" s="5" t="s">
        <v>406</v>
      </c>
    </row>
    <row r="8">
      <c r="A8" s="5" t="s">
        <v>1931</v>
      </c>
      <c r="B8" s="50" t="s">
        <v>1932</v>
      </c>
      <c r="C8" s="5" t="s">
        <v>564</v>
      </c>
      <c r="D8" s="5" t="s">
        <v>89</v>
      </c>
      <c r="E8" s="5" t="s">
        <v>401</v>
      </c>
    </row>
    <row r="9">
      <c r="A9" s="5" t="s">
        <v>1933</v>
      </c>
      <c r="B9" s="50" t="s">
        <v>1934</v>
      </c>
      <c r="C9" s="5" t="s">
        <v>608</v>
      </c>
      <c r="D9" s="5" t="s">
        <v>758</v>
      </c>
      <c r="E9" s="5" t="s">
        <v>382</v>
      </c>
    </row>
    <row r="10">
      <c r="A10" s="5" t="s">
        <v>1935</v>
      </c>
      <c r="B10" s="50" t="s">
        <v>1936</v>
      </c>
      <c r="C10" s="5" t="s">
        <v>851</v>
      </c>
      <c r="D10" s="5" t="s">
        <v>853</v>
      </c>
      <c r="E10" s="5" t="s">
        <v>555</v>
      </c>
    </row>
    <row r="11">
      <c r="A11" s="5" t="s">
        <v>1937</v>
      </c>
      <c r="B11" s="50" t="s">
        <v>1938</v>
      </c>
      <c r="C11" s="5" t="s">
        <v>827</v>
      </c>
      <c r="D11" s="5" t="s">
        <v>829</v>
      </c>
      <c r="E11" s="5" t="s">
        <v>402</v>
      </c>
    </row>
    <row r="12">
      <c r="A12" s="5" t="s">
        <v>1939</v>
      </c>
      <c r="B12" s="50" t="s">
        <v>1940</v>
      </c>
      <c r="C12" s="5" t="s">
        <v>1155</v>
      </c>
      <c r="D12" s="5" t="s">
        <v>1159</v>
      </c>
      <c r="E12" s="5" t="s">
        <v>161</v>
      </c>
    </row>
    <row r="13">
      <c r="A13" s="5" t="s">
        <v>1941</v>
      </c>
      <c r="B13" s="50" t="s">
        <v>1942</v>
      </c>
      <c r="C13" s="5" t="s">
        <v>1102</v>
      </c>
      <c r="D13" s="5" t="s">
        <v>1105</v>
      </c>
      <c r="E13" s="5" t="s">
        <v>362</v>
      </c>
    </row>
    <row r="14">
      <c r="A14" s="5" t="s">
        <v>1943</v>
      </c>
      <c r="B14" s="50" t="s">
        <v>1944</v>
      </c>
      <c r="C14" s="5" t="s">
        <v>1094</v>
      </c>
      <c r="D14" s="5" t="s">
        <v>1098</v>
      </c>
      <c r="E14" s="5" t="s">
        <v>392</v>
      </c>
    </row>
    <row r="15">
      <c r="A15" s="5" t="s">
        <v>1945</v>
      </c>
      <c r="B15" s="50" t="s">
        <v>1946</v>
      </c>
      <c r="C15" s="5" t="s">
        <v>1076</v>
      </c>
      <c r="D15" s="5" t="s">
        <v>618</v>
      </c>
      <c r="E15" s="5" t="s">
        <v>662</v>
      </c>
    </row>
    <row r="16">
      <c r="A16" s="5" t="s">
        <v>1947</v>
      </c>
      <c r="B16" s="50" t="s">
        <v>1948</v>
      </c>
      <c r="C16" s="5" t="s">
        <v>1252</v>
      </c>
      <c r="D16" s="5" t="s">
        <v>1255</v>
      </c>
      <c r="E16" s="5" t="s">
        <v>371</v>
      </c>
    </row>
    <row r="17">
      <c r="A17" s="5" t="s">
        <v>1949</v>
      </c>
      <c r="B17" s="50" t="s">
        <v>1950</v>
      </c>
      <c r="C17" s="5" t="s">
        <v>1085</v>
      </c>
      <c r="D17" s="5" t="s">
        <v>1088</v>
      </c>
      <c r="E17" s="5" t="s">
        <v>374</v>
      </c>
    </row>
    <row r="18">
      <c r="A18" s="5" t="s">
        <v>1952</v>
      </c>
      <c r="B18" s="50" t="s">
        <v>1953</v>
      </c>
      <c r="C18" s="5" t="s">
        <v>906</v>
      </c>
      <c r="D18" s="5" t="s">
        <v>909</v>
      </c>
      <c r="E18" s="5" t="s">
        <v>623</v>
      </c>
    </row>
    <row r="19">
      <c r="A19" s="5" t="s">
        <v>1956</v>
      </c>
      <c r="B19" s="50" t="s">
        <v>1958</v>
      </c>
      <c r="C19" s="5" t="s">
        <v>1656</v>
      </c>
      <c r="D19" s="5" t="s">
        <v>1658</v>
      </c>
      <c r="E19" s="5" t="s">
        <v>416</v>
      </c>
    </row>
    <row r="20">
      <c r="A20" s="11"/>
      <c r="B20" s="11"/>
      <c r="C20" s="11"/>
      <c r="D20" s="11"/>
      <c r="E20" s="11"/>
    </row>
    <row r="21">
      <c r="A21" s="5" t="s">
        <v>1962</v>
      </c>
      <c r="B21" s="11"/>
      <c r="C21" s="11"/>
      <c r="D21" s="11"/>
      <c r="E21" s="11"/>
    </row>
    <row r="22">
      <c r="A22" s="5" t="s">
        <v>1126</v>
      </c>
      <c r="B22" s="11"/>
      <c r="C22" s="11"/>
      <c r="D22" s="11"/>
      <c r="E22" s="11"/>
    </row>
    <row r="23">
      <c r="A23" s="5" t="s">
        <v>808</v>
      </c>
      <c r="B23" s="11"/>
      <c r="C23" s="11"/>
      <c r="D23" s="11"/>
      <c r="E23" s="11"/>
    </row>
    <row r="24">
      <c r="A24" s="5" t="s">
        <v>390</v>
      </c>
      <c r="B24" s="11"/>
      <c r="C24" s="11"/>
      <c r="D24" s="11"/>
      <c r="E24" s="11"/>
    </row>
    <row r="25">
      <c r="A25" s="5" t="s">
        <v>1653</v>
      </c>
      <c r="B25" s="11"/>
      <c r="C25" s="11"/>
      <c r="D25" s="11"/>
      <c r="E25" s="11"/>
    </row>
    <row r="26">
      <c r="A26" s="5" t="s">
        <v>398</v>
      </c>
      <c r="B26" s="11"/>
      <c r="C26" s="11"/>
      <c r="D26" s="11"/>
      <c r="E26" s="11"/>
    </row>
    <row r="27">
      <c r="A27" s="5" t="s">
        <v>364</v>
      </c>
      <c r="B27" s="11"/>
      <c r="C27" s="11"/>
      <c r="D27" s="11"/>
      <c r="E27" s="11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7.75"/>
    <col customWidth="1" min="3" max="3" width="3.13"/>
    <col customWidth="1" min="4" max="4" width="7.75"/>
    <col customWidth="1" min="5" max="5" width="2.75"/>
    <col customWidth="1" min="6" max="6" width="7.75"/>
    <col customWidth="1" min="7" max="7" width="3.13"/>
    <col customWidth="1" min="8" max="8" width="7.75"/>
    <col customWidth="1" min="9" max="9" width="2.75"/>
    <col customWidth="1" min="10" max="10" width="7.75"/>
    <col customWidth="1" min="11" max="11" width="3.13"/>
    <col hidden="1" min="12" max="19" width="12.63"/>
  </cols>
  <sheetData>
    <row r="1">
      <c r="A1" s="52"/>
      <c r="B1" s="150" t="s">
        <v>1951</v>
      </c>
      <c r="C1" s="151"/>
      <c r="D1" s="150" t="s">
        <v>1954</v>
      </c>
      <c r="E1" s="151"/>
      <c r="F1" s="150" t="s">
        <v>1955</v>
      </c>
      <c r="G1" s="151"/>
      <c r="H1" s="150" t="s">
        <v>1957</v>
      </c>
      <c r="I1" s="151"/>
      <c r="J1" s="150" t="s">
        <v>1959</v>
      </c>
      <c r="K1" s="151"/>
    </row>
    <row r="2">
      <c r="A2" s="52"/>
      <c r="B2" s="152" t="s">
        <v>1960</v>
      </c>
      <c r="C2" s="153" t="s">
        <v>1961</v>
      </c>
      <c r="D2" s="152" t="s">
        <v>1960</v>
      </c>
      <c r="E2" s="153" t="s">
        <v>1961</v>
      </c>
      <c r="F2" s="152" t="s">
        <v>1960</v>
      </c>
      <c r="G2" s="153" t="s">
        <v>1961</v>
      </c>
      <c r="H2" s="152" t="s">
        <v>1960</v>
      </c>
      <c r="I2" s="153" t="s">
        <v>1961</v>
      </c>
      <c r="J2" s="152" t="s">
        <v>1960</v>
      </c>
      <c r="K2" s="153" t="s">
        <v>1961</v>
      </c>
    </row>
    <row r="3">
      <c r="A3" s="154" t="s">
        <v>685</v>
      </c>
      <c r="B3" s="152">
        <v>4.0</v>
      </c>
      <c r="C3" s="153">
        <v>1.0</v>
      </c>
      <c r="D3" s="152">
        <v>8.0</v>
      </c>
      <c r="E3" s="153">
        <v>2.0</v>
      </c>
      <c r="F3" s="152">
        <v>12.0</v>
      </c>
      <c r="G3" s="153">
        <v>3.0</v>
      </c>
      <c r="H3" s="152">
        <v>16.0</v>
      </c>
      <c r="I3" s="153">
        <v>4.0</v>
      </c>
      <c r="J3" s="152">
        <v>20.0</v>
      </c>
      <c r="K3" s="153">
        <v>5.0</v>
      </c>
    </row>
    <row r="4">
      <c r="A4" s="154" t="s">
        <v>683</v>
      </c>
      <c r="B4" s="152">
        <v>6.0</v>
      </c>
      <c r="C4" s="153">
        <v>1.5</v>
      </c>
      <c r="D4" s="152">
        <v>12.0</v>
      </c>
      <c r="E4" s="153">
        <v>3.0</v>
      </c>
      <c r="F4" s="152">
        <v>18.0</v>
      </c>
      <c r="G4" s="153">
        <v>4.5</v>
      </c>
      <c r="H4" s="152">
        <v>24.0</v>
      </c>
      <c r="I4" s="153">
        <v>6.0</v>
      </c>
      <c r="J4" s="152">
        <v>30.0</v>
      </c>
      <c r="K4" s="153">
        <v>7.5</v>
      </c>
    </row>
    <row r="5">
      <c r="A5" s="154" t="s">
        <v>676</v>
      </c>
      <c r="B5" s="152">
        <v>12.0</v>
      </c>
      <c r="C5" s="153">
        <v>3.0</v>
      </c>
      <c r="D5" s="152">
        <v>24.0</v>
      </c>
      <c r="E5" s="153">
        <v>6.0</v>
      </c>
      <c r="F5" s="152">
        <v>36.0</v>
      </c>
      <c r="G5" s="153">
        <v>9.0</v>
      </c>
      <c r="H5" s="152">
        <v>48.0</v>
      </c>
      <c r="I5" s="153">
        <v>12.0</v>
      </c>
      <c r="J5" s="152">
        <v>60.0</v>
      </c>
      <c r="K5" s="153">
        <v>15.0</v>
      </c>
    </row>
    <row r="6">
      <c r="A6" s="154" t="s">
        <v>654</v>
      </c>
      <c r="B6" s="152">
        <v>16.0</v>
      </c>
      <c r="C6" s="153">
        <v>4.0</v>
      </c>
      <c r="D6" s="152">
        <v>32.0</v>
      </c>
      <c r="E6" s="153">
        <v>8.0</v>
      </c>
      <c r="F6" s="152">
        <v>48.0</v>
      </c>
      <c r="G6" s="153">
        <v>12.0</v>
      </c>
      <c r="H6" s="152">
        <v>64.0</v>
      </c>
      <c r="I6" s="153">
        <v>16.0</v>
      </c>
      <c r="J6" s="152">
        <v>80.0</v>
      </c>
      <c r="K6" s="153">
        <v>20.0</v>
      </c>
    </row>
    <row r="7">
      <c r="A7" s="154" t="s">
        <v>658</v>
      </c>
      <c r="B7" s="152">
        <v>24.0</v>
      </c>
      <c r="C7" s="153">
        <v>6.0</v>
      </c>
      <c r="D7" s="152">
        <v>48.0</v>
      </c>
      <c r="E7" s="153">
        <v>12.0</v>
      </c>
      <c r="F7" s="152">
        <v>72.0</v>
      </c>
      <c r="G7" s="153">
        <v>18.0</v>
      </c>
      <c r="H7" s="152">
        <v>96.0</v>
      </c>
      <c r="I7" s="153">
        <v>24.0</v>
      </c>
      <c r="J7" s="152">
        <v>120.0</v>
      </c>
      <c r="K7" s="153">
        <v>30.0</v>
      </c>
    </row>
    <row r="8">
      <c r="A8" s="154" t="s">
        <v>660</v>
      </c>
      <c r="B8" s="155">
        <v>48.0</v>
      </c>
      <c r="C8" s="156">
        <v>12.0</v>
      </c>
      <c r="D8" s="155">
        <v>96.0</v>
      </c>
      <c r="E8" s="156">
        <v>24.0</v>
      </c>
      <c r="F8" s="155">
        <v>144.0</v>
      </c>
      <c r="G8" s="156">
        <v>36.0</v>
      </c>
      <c r="H8" s="155">
        <v>192.0</v>
      </c>
      <c r="I8" s="156">
        <v>48.0</v>
      </c>
      <c r="J8" s="155">
        <v>240.0</v>
      </c>
      <c r="K8" s="156">
        <v>60.0</v>
      </c>
    </row>
    <row r="9" hidden="1"/>
    <row r="10" hidden="1"/>
    <row r="11" hidden="1"/>
    <row r="12" hidden="1"/>
    <row r="13" hidden="1"/>
    <row r="14" hidden="1"/>
    <row r="15" hidden="1">
      <c r="A15" s="62" t="str">
        <f t="array" ref="A15">SEQUENCE(1, 5 - #REF!, #REF! + 1, 1)</f>
        <v>#REF!</v>
      </c>
    </row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5">
    <mergeCell ref="B1:C1"/>
    <mergeCell ref="D1:E1"/>
    <mergeCell ref="F1:G1"/>
    <mergeCell ref="H1:I1"/>
    <mergeCell ref="J1:K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4.5"/>
  </cols>
  <sheetData>
    <row r="1">
      <c r="A1" s="157" t="s">
        <v>1963</v>
      </c>
      <c r="B1" s="157"/>
    </row>
    <row r="2">
      <c r="B2" s="157"/>
    </row>
    <row r="3">
      <c r="B3" s="157"/>
    </row>
    <row r="4">
      <c r="B4" s="157"/>
    </row>
    <row r="5">
      <c r="B5" s="157"/>
    </row>
    <row r="6">
      <c r="B6" s="157"/>
    </row>
    <row r="7">
      <c r="B7" s="157"/>
    </row>
    <row r="8">
      <c r="B8" s="157"/>
    </row>
    <row r="9">
      <c r="B9" s="157"/>
    </row>
    <row r="10">
      <c r="B10" s="157"/>
    </row>
    <row r="11">
      <c r="B11" s="157"/>
    </row>
    <row r="12">
      <c r="B12" s="157"/>
    </row>
    <row r="13">
      <c r="B13" s="157"/>
    </row>
    <row r="14">
      <c r="B14" s="157"/>
    </row>
    <row r="15">
      <c r="B15" s="157"/>
    </row>
    <row r="16">
      <c r="B16" s="157"/>
    </row>
    <row r="17">
      <c r="B17" s="157"/>
    </row>
    <row r="18">
      <c r="B18" s="157"/>
    </row>
    <row r="19">
      <c r="B19" s="157"/>
    </row>
    <row r="20">
      <c r="B20" s="157"/>
    </row>
    <row r="21">
      <c r="B21" s="157"/>
    </row>
    <row r="22">
      <c r="B22" s="157"/>
    </row>
    <row r="23">
      <c r="B23" s="157"/>
    </row>
    <row r="24">
      <c r="B24" s="157"/>
    </row>
    <row r="25">
      <c r="B25" s="157"/>
    </row>
    <row r="26">
      <c r="B26" s="157"/>
    </row>
    <row r="27">
      <c r="B27" s="157"/>
    </row>
    <row r="28">
      <c r="B28" s="157"/>
    </row>
    <row r="29">
      <c r="B29" s="157"/>
    </row>
    <row r="30">
      <c r="B30" s="157"/>
    </row>
    <row r="31">
      <c r="B31" s="157"/>
    </row>
    <row r="32">
      <c r="B32" s="157"/>
    </row>
    <row r="33">
      <c r="B33" s="157"/>
    </row>
    <row r="34">
      <c r="B34" s="157"/>
    </row>
    <row r="35">
      <c r="B35" s="157"/>
    </row>
    <row r="36">
      <c r="B36" s="157"/>
    </row>
    <row r="37">
      <c r="B37" s="157"/>
    </row>
    <row r="38">
      <c r="B38" s="157"/>
    </row>
    <row r="39">
      <c r="B39" s="157"/>
    </row>
    <row r="40">
      <c r="B40" s="157"/>
    </row>
    <row r="41">
      <c r="B41" s="157"/>
    </row>
    <row r="42">
      <c r="B42" s="157"/>
    </row>
    <row r="43">
      <c r="B43" s="157"/>
    </row>
    <row r="44">
      <c r="B44" s="157"/>
    </row>
    <row r="45">
      <c r="B45" s="157"/>
    </row>
    <row r="46">
      <c r="B46" s="157"/>
    </row>
    <row r="47">
      <c r="B47" s="157"/>
    </row>
    <row r="48">
      <c r="B48" s="157"/>
    </row>
    <row r="49">
      <c r="B49" s="157"/>
    </row>
    <row r="50">
      <c r="B50" s="157"/>
    </row>
    <row r="51">
      <c r="B51" s="157"/>
    </row>
    <row r="52">
      <c r="B52" s="157"/>
    </row>
    <row r="53">
      <c r="B53" s="157"/>
    </row>
    <row r="54">
      <c r="B54" s="157"/>
    </row>
    <row r="55">
      <c r="B55" s="157"/>
    </row>
    <row r="56">
      <c r="B56" s="157"/>
    </row>
    <row r="57">
      <c r="B57" s="157"/>
    </row>
    <row r="58">
      <c r="B58" s="157"/>
    </row>
    <row r="59">
      <c r="B59" s="157"/>
    </row>
    <row r="60">
      <c r="B60" s="157"/>
    </row>
    <row r="61">
      <c r="B61" s="157"/>
    </row>
    <row r="62">
      <c r="B62" s="157"/>
    </row>
    <row r="63">
      <c r="B63" s="157"/>
    </row>
    <row r="64">
      <c r="B64" s="157"/>
    </row>
    <row r="65">
      <c r="B65" s="157"/>
    </row>
    <row r="66">
      <c r="B66" s="157"/>
    </row>
    <row r="67">
      <c r="B67" s="157"/>
    </row>
    <row r="68">
      <c r="B68" s="157"/>
    </row>
    <row r="69">
      <c r="B69" s="157"/>
    </row>
    <row r="70">
      <c r="B70" s="157"/>
    </row>
    <row r="71">
      <c r="B71" s="157"/>
    </row>
    <row r="72">
      <c r="B72" s="157"/>
    </row>
    <row r="73">
      <c r="B73" s="157"/>
    </row>
    <row r="74">
      <c r="B74" s="157"/>
    </row>
    <row r="75">
      <c r="B75" s="157"/>
    </row>
    <row r="76">
      <c r="B76" s="157"/>
    </row>
    <row r="77">
      <c r="B77" s="157"/>
    </row>
    <row r="78">
      <c r="B78" s="157"/>
    </row>
    <row r="79">
      <c r="B79" s="157"/>
    </row>
    <row r="80">
      <c r="B80" s="157"/>
    </row>
    <row r="81">
      <c r="B81" s="157"/>
    </row>
    <row r="82">
      <c r="B82" s="157"/>
    </row>
    <row r="83">
      <c r="B83" s="157"/>
    </row>
    <row r="84">
      <c r="B84" s="157"/>
    </row>
    <row r="85">
      <c r="B85" s="157"/>
    </row>
    <row r="86">
      <c r="B86" s="157"/>
    </row>
    <row r="87">
      <c r="B87" s="157"/>
    </row>
    <row r="88">
      <c r="B88" s="157"/>
    </row>
    <row r="89">
      <c r="B89" s="157"/>
    </row>
    <row r="90">
      <c r="B90" s="157"/>
    </row>
    <row r="91">
      <c r="B91" s="157"/>
    </row>
    <row r="92">
      <c r="B92" s="157"/>
    </row>
    <row r="93">
      <c r="B93" s="157"/>
    </row>
    <row r="94">
      <c r="B94" s="157"/>
    </row>
    <row r="95">
      <c r="B95" s="157"/>
    </row>
    <row r="96">
      <c r="B96" s="157"/>
    </row>
    <row r="97">
      <c r="B97" s="157"/>
    </row>
    <row r="98">
      <c r="B98" s="157"/>
    </row>
    <row r="99">
      <c r="B99" s="157"/>
    </row>
    <row r="100">
      <c r="B100" s="157"/>
    </row>
    <row r="101">
      <c r="B101" s="157"/>
    </row>
    <row r="102">
      <c r="B102" s="157"/>
    </row>
    <row r="103">
      <c r="B103" s="157"/>
    </row>
    <row r="104">
      <c r="B104" s="157"/>
    </row>
    <row r="105">
      <c r="B105" s="157"/>
    </row>
    <row r="106">
      <c r="B106" s="157"/>
    </row>
    <row r="107">
      <c r="B107" s="157"/>
    </row>
    <row r="108">
      <c r="B108" s="157"/>
    </row>
    <row r="109">
      <c r="B109" s="157"/>
    </row>
    <row r="110">
      <c r="B110" s="157"/>
    </row>
    <row r="111">
      <c r="B111" s="157"/>
    </row>
    <row r="112">
      <c r="B112" s="157"/>
    </row>
    <row r="113">
      <c r="B113" s="157"/>
    </row>
    <row r="114">
      <c r="B114" s="157"/>
    </row>
    <row r="115">
      <c r="B115" s="157"/>
    </row>
    <row r="116">
      <c r="B116" s="157"/>
    </row>
    <row r="117">
      <c r="B117" s="157"/>
    </row>
    <row r="118">
      <c r="B118" s="157"/>
    </row>
    <row r="119">
      <c r="B119" s="157"/>
    </row>
    <row r="120">
      <c r="B120" s="157"/>
    </row>
    <row r="121">
      <c r="B121" s="157"/>
    </row>
    <row r="122">
      <c r="B122" s="157"/>
    </row>
    <row r="123">
      <c r="B123" s="157"/>
    </row>
    <row r="124">
      <c r="B124" s="157"/>
    </row>
    <row r="125">
      <c r="B125" s="157"/>
    </row>
    <row r="126">
      <c r="B126" s="157"/>
    </row>
    <row r="127">
      <c r="B127" s="157"/>
    </row>
    <row r="128">
      <c r="B128" s="157"/>
    </row>
    <row r="129">
      <c r="B129" s="157"/>
    </row>
    <row r="130">
      <c r="B130" s="157"/>
    </row>
    <row r="131">
      <c r="B131" s="157"/>
    </row>
    <row r="132">
      <c r="B132" s="157"/>
    </row>
    <row r="133">
      <c r="B133" s="157"/>
    </row>
    <row r="134">
      <c r="B134" s="157"/>
    </row>
    <row r="135">
      <c r="B135" s="157"/>
    </row>
    <row r="136">
      <c r="B136" s="157"/>
    </row>
    <row r="137">
      <c r="B137" s="157"/>
    </row>
    <row r="138">
      <c r="B138" s="157"/>
    </row>
    <row r="139">
      <c r="B139" s="157"/>
    </row>
    <row r="140">
      <c r="B140" s="157"/>
    </row>
    <row r="141">
      <c r="B141" s="157"/>
    </row>
    <row r="142">
      <c r="B142" s="157"/>
    </row>
    <row r="143">
      <c r="B143" s="157"/>
    </row>
    <row r="144">
      <c r="B144" s="157"/>
    </row>
    <row r="145">
      <c r="B145" s="157"/>
    </row>
    <row r="146">
      <c r="B146" s="157"/>
    </row>
    <row r="147">
      <c r="B147" s="157"/>
    </row>
    <row r="148">
      <c r="B148" s="157"/>
    </row>
    <row r="149">
      <c r="B149" s="157"/>
    </row>
    <row r="150">
      <c r="B150" s="157"/>
    </row>
    <row r="151">
      <c r="B151" s="157"/>
    </row>
    <row r="152">
      <c r="B152" s="157"/>
    </row>
    <row r="153">
      <c r="B153" s="157"/>
    </row>
    <row r="154">
      <c r="B154" s="157"/>
    </row>
    <row r="155">
      <c r="B155" s="157"/>
    </row>
    <row r="156">
      <c r="B156" s="157"/>
    </row>
    <row r="157">
      <c r="B157" s="157"/>
    </row>
    <row r="158">
      <c r="B158" s="157"/>
    </row>
    <row r="159">
      <c r="B159" s="157"/>
    </row>
    <row r="160">
      <c r="B160" s="157"/>
    </row>
    <row r="161">
      <c r="B161" s="157"/>
    </row>
    <row r="162">
      <c r="B162" s="157"/>
    </row>
    <row r="163">
      <c r="B163" s="157"/>
    </row>
    <row r="164">
      <c r="B164" s="157"/>
    </row>
    <row r="165">
      <c r="B165" s="157"/>
    </row>
    <row r="166">
      <c r="B166" s="157"/>
    </row>
    <row r="167">
      <c r="B167" s="157"/>
    </row>
    <row r="168">
      <c r="B168" s="157"/>
    </row>
    <row r="169">
      <c r="B169" s="157"/>
    </row>
    <row r="170">
      <c r="B170" s="157"/>
    </row>
    <row r="171">
      <c r="B171" s="157"/>
    </row>
    <row r="172">
      <c r="B172" s="157"/>
    </row>
    <row r="173">
      <c r="B173" s="157"/>
    </row>
    <row r="174">
      <c r="B174" s="157"/>
    </row>
    <row r="175">
      <c r="B175" s="157"/>
    </row>
    <row r="176">
      <c r="B176" s="157"/>
    </row>
    <row r="177">
      <c r="B177" s="157"/>
    </row>
    <row r="178">
      <c r="B178" s="157"/>
    </row>
    <row r="179">
      <c r="B179" s="157"/>
    </row>
    <row r="180">
      <c r="B180" s="157"/>
    </row>
    <row r="181">
      <c r="B181" s="157"/>
    </row>
    <row r="182">
      <c r="B182" s="157"/>
    </row>
    <row r="183">
      <c r="B183" s="157"/>
    </row>
    <row r="184">
      <c r="B184" s="157"/>
    </row>
    <row r="185">
      <c r="B185" s="157"/>
    </row>
    <row r="186">
      <c r="B186" s="157"/>
    </row>
    <row r="187">
      <c r="B187" s="157"/>
    </row>
    <row r="188">
      <c r="B188" s="157"/>
    </row>
    <row r="189">
      <c r="B189" s="157"/>
    </row>
    <row r="190">
      <c r="B190" s="157"/>
    </row>
    <row r="191">
      <c r="B191" s="157"/>
    </row>
    <row r="192">
      <c r="B192" s="157"/>
    </row>
    <row r="193">
      <c r="B193" s="157"/>
    </row>
    <row r="194">
      <c r="B194" s="157"/>
    </row>
    <row r="195">
      <c r="B195" s="157"/>
    </row>
    <row r="196">
      <c r="B196" s="157"/>
    </row>
    <row r="197">
      <c r="B197" s="157"/>
    </row>
    <row r="198">
      <c r="B198" s="157"/>
    </row>
    <row r="199">
      <c r="B199" s="157"/>
    </row>
    <row r="200">
      <c r="B200" s="157"/>
    </row>
    <row r="201">
      <c r="B201" s="157"/>
    </row>
    <row r="202">
      <c r="B202" s="157"/>
    </row>
    <row r="203">
      <c r="B203" s="157"/>
    </row>
    <row r="204">
      <c r="B204" s="157"/>
    </row>
    <row r="205">
      <c r="B205" s="157"/>
    </row>
    <row r="206">
      <c r="B206" s="157"/>
    </row>
    <row r="207">
      <c r="B207" s="157"/>
    </row>
    <row r="208">
      <c r="B208" s="157"/>
    </row>
    <row r="209">
      <c r="B209" s="157"/>
    </row>
    <row r="210">
      <c r="B210" s="157"/>
    </row>
    <row r="211">
      <c r="B211" s="157"/>
    </row>
    <row r="212">
      <c r="B212" s="157"/>
    </row>
    <row r="213">
      <c r="B213" s="157"/>
    </row>
    <row r="214">
      <c r="B214" s="157"/>
    </row>
    <row r="215">
      <c r="B215" s="157"/>
    </row>
    <row r="216">
      <c r="B216" s="157"/>
    </row>
    <row r="217">
      <c r="B217" s="157"/>
    </row>
    <row r="218">
      <c r="B218" s="157"/>
    </row>
    <row r="219">
      <c r="B219" s="157"/>
    </row>
    <row r="220">
      <c r="B220" s="157"/>
    </row>
    <row r="221">
      <c r="B221" s="157"/>
    </row>
    <row r="222">
      <c r="B222" s="157"/>
    </row>
    <row r="223">
      <c r="B223" s="157"/>
    </row>
    <row r="224">
      <c r="B224" s="157"/>
    </row>
    <row r="225">
      <c r="B225" s="157"/>
    </row>
    <row r="226">
      <c r="B226" s="157"/>
    </row>
    <row r="227">
      <c r="B227" s="157"/>
    </row>
    <row r="228">
      <c r="B228" s="157"/>
    </row>
    <row r="229">
      <c r="B229" s="157"/>
    </row>
    <row r="230">
      <c r="B230" s="157"/>
    </row>
    <row r="231">
      <c r="B231" s="157"/>
    </row>
    <row r="232">
      <c r="B232" s="157"/>
    </row>
    <row r="233">
      <c r="B233" s="157"/>
    </row>
    <row r="234">
      <c r="B234" s="157"/>
    </row>
    <row r="235">
      <c r="B235" s="157"/>
    </row>
    <row r="236">
      <c r="B236" s="157"/>
    </row>
    <row r="237">
      <c r="B237" s="157"/>
    </row>
    <row r="238">
      <c r="B238" s="157"/>
    </row>
    <row r="239">
      <c r="B239" s="157"/>
    </row>
    <row r="240">
      <c r="B240" s="157"/>
    </row>
    <row r="241">
      <c r="B241" s="157"/>
    </row>
    <row r="242">
      <c r="B242" s="157"/>
    </row>
    <row r="243">
      <c r="B243" s="157"/>
    </row>
    <row r="244">
      <c r="B244" s="157"/>
    </row>
    <row r="245">
      <c r="B245" s="157"/>
    </row>
    <row r="246">
      <c r="B246" s="157"/>
    </row>
    <row r="247">
      <c r="B247" s="157"/>
    </row>
    <row r="248">
      <c r="B248" s="157"/>
    </row>
    <row r="249">
      <c r="B249" s="157"/>
    </row>
    <row r="250">
      <c r="B250" s="157"/>
    </row>
    <row r="251">
      <c r="B251" s="157"/>
    </row>
    <row r="252">
      <c r="B252" s="157"/>
    </row>
    <row r="253">
      <c r="B253" s="157"/>
    </row>
    <row r="254">
      <c r="B254" s="157"/>
    </row>
    <row r="255">
      <c r="B255" s="157"/>
    </row>
    <row r="256">
      <c r="B256" s="157"/>
    </row>
    <row r="257">
      <c r="B257" s="157"/>
    </row>
    <row r="258">
      <c r="B258" s="157"/>
    </row>
    <row r="259">
      <c r="B259" s="157"/>
    </row>
    <row r="260">
      <c r="B260" s="157"/>
    </row>
    <row r="261">
      <c r="B261" s="157"/>
    </row>
    <row r="262">
      <c r="B262" s="157"/>
    </row>
    <row r="263">
      <c r="B263" s="157"/>
    </row>
    <row r="264">
      <c r="B264" s="157"/>
    </row>
    <row r="265">
      <c r="B265" s="157"/>
    </row>
    <row r="266">
      <c r="B266" s="157"/>
    </row>
    <row r="267">
      <c r="B267" s="157"/>
    </row>
    <row r="268">
      <c r="B268" s="157"/>
    </row>
    <row r="269">
      <c r="B269" s="157"/>
    </row>
    <row r="270">
      <c r="B270" s="157"/>
    </row>
    <row r="271">
      <c r="B271" s="157"/>
    </row>
    <row r="272">
      <c r="B272" s="157"/>
    </row>
    <row r="273">
      <c r="B273" s="157"/>
    </row>
    <row r="274">
      <c r="B274" s="157"/>
    </row>
    <row r="275">
      <c r="B275" s="157"/>
    </row>
    <row r="276">
      <c r="B276" s="157"/>
    </row>
    <row r="277">
      <c r="B277" s="157"/>
    </row>
    <row r="278">
      <c r="B278" s="157"/>
    </row>
    <row r="279">
      <c r="B279" s="157"/>
    </row>
    <row r="280">
      <c r="B280" s="157"/>
    </row>
    <row r="281">
      <c r="B281" s="157"/>
    </row>
    <row r="282">
      <c r="B282" s="157"/>
    </row>
    <row r="283">
      <c r="B283" s="157"/>
    </row>
    <row r="284">
      <c r="B284" s="157"/>
    </row>
    <row r="285">
      <c r="B285" s="157"/>
    </row>
    <row r="286">
      <c r="B286" s="157"/>
    </row>
    <row r="287">
      <c r="B287" s="157"/>
    </row>
    <row r="288">
      <c r="B288" s="157"/>
    </row>
    <row r="289">
      <c r="B289" s="157"/>
    </row>
    <row r="290">
      <c r="B290" s="157"/>
    </row>
    <row r="291">
      <c r="B291" s="157"/>
    </row>
    <row r="292">
      <c r="B292" s="157"/>
    </row>
    <row r="293">
      <c r="B293" s="157"/>
    </row>
    <row r="294">
      <c r="B294" s="157"/>
    </row>
    <row r="295">
      <c r="B295" s="157"/>
    </row>
    <row r="296">
      <c r="B296" s="157"/>
    </row>
    <row r="297">
      <c r="B297" s="157"/>
    </row>
    <row r="298">
      <c r="B298" s="157"/>
    </row>
    <row r="299">
      <c r="B299" s="157"/>
    </row>
    <row r="300">
      <c r="B300" s="157"/>
    </row>
    <row r="301">
      <c r="B301" s="157"/>
    </row>
    <row r="302">
      <c r="B302" s="157"/>
    </row>
    <row r="303">
      <c r="B303" s="157"/>
    </row>
    <row r="304">
      <c r="B304" s="157"/>
    </row>
    <row r="305">
      <c r="B305" s="157"/>
    </row>
    <row r="306">
      <c r="B306" s="157"/>
    </row>
    <row r="307">
      <c r="B307" s="157"/>
    </row>
    <row r="308">
      <c r="B308" s="157"/>
    </row>
    <row r="309">
      <c r="B309" s="157"/>
    </row>
    <row r="310">
      <c r="B310" s="157"/>
    </row>
    <row r="311">
      <c r="B311" s="157"/>
    </row>
    <row r="312">
      <c r="B312" s="157"/>
    </row>
    <row r="313">
      <c r="B313" s="157"/>
    </row>
    <row r="314">
      <c r="B314" s="157"/>
    </row>
    <row r="315">
      <c r="B315" s="157"/>
    </row>
    <row r="316">
      <c r="B316" s="157"/>
    </row>
    <row r="317">
      <c r="B317" s="157"/>
    </row>
    <row r="318">
      <c r="B318" s="157"/>
    </row>
    <row r="319">
      <c r="B319" s="157"/>
    </row>
    <row r="320">
      <c r="B320" s="157"/>
    </row>
    <row r="321">
      <c r="B321" s="157"/>
    </row>
    <row r="322">
      <c r="B322" s="157"/>
    </row>
    <row r="323">
      <c r="B323" s="157"/>
    </row>
    <row r="324">
      <c r="B324" s="157"/>
    </row>
    <row r="325">
      <c r="B325" s="157"/>
    </row>
    <row r="326">
      <c r="B326" s="157"/>
    </row>
    <row r="327">
      <c r="B327" s="157"/>
    </row>
    <row r="328">
      <c r="B328" s="157"/>
    </row>
    <row r="329">
      <c r="B329" s="157"/>
    </row>
    <row r="330">
      <c r="B330" s="157"/>
    </row>
    <row r="331">
      <c r="B331" s="157"/>
    </row>
    <row r="332">
      <c r="B332" s="157"/>
    </row>
    <row r="333">
      <c r="B333" s="157"/>
    </row>
    <row r="334">
      <c r="B334" s="157"/>
    </row>
    <row r="335">
      <c r="B335" s="157"/>
    </row>
    <row r="336">
      <c r="B336" s="157"/>
    </row>
    <row r="337">
      <c r="B337" s="157"/>
    </row>
    <row r="338">
      <c r="B338" s="157"/>
    </row>
    <row r="339">
      <c r="B339" s="157"/>
    </row>
    <row r="340">
      <c r="B340" s="157"/>
    </row>
    <row r="341">
      <c r="B341" s="157"/>
    </row>
    <row r="342">
      <c r="B342" s="157"/>
    </row>
    <row r="343">
      <c r="B343" s="157"/>
    </row>
    <row r="344">
      <c r="B344" s="157"/>
    </row>
    <row r="345">
      <c r="B345" s="157"/>
    </row>
    <row r="346">
      <c r="B346" s="157"/>
    </row>
    <row r="347">
      <c r="B347" s="157"/>
    </row>
    <row r="348">
      <c r="B348" s="157"/>
    </row>
    <row r="349">
      <c r="B349" s="157"/>
    </row>
    <row r="350">
      <c r="B350" s="157"/>
    </row>
    <row r="351">
      <c r="B351" s="157"/>
    </row>
    <row r="352">
      <c r="B352" s="157"/>
    </row>
    <row r="353">
      <c r="B353" s="157"/>
    </row>
    <row r="354">
      <c r="B354" s="157"/>
    </row>
    <row r="355">
      <c r="B355" s="157"/>
    </row>
    <row r="356">
      <c r="B356" s="157"/>
    </row>
    <row r="357">
      <c r="B357" s="157"/>
    </row>
    <row r="358">
      <c r="B358" s="157"/>
    </row>
    <row r="359">
      <c r="B359" s="157"/>
    </row>
    <row r="360">
      <c r="B360" s="157"/>
    </row>
    <row r="361">
      <c r="B361" s="157"/>
    </row>
    <row r="362">
      <c r="B362" s="157"/>
    </row>
    <row r="363">
      <c r="B363" s="157"/>
    </row>
    <row r="364">
      <c r="B364" s="157"/>
    </row>
    <row r="365">
      <c r="B365" s="157"/>
    </row>
    <row r="366">
      <c r="B366" s="157"/>
    </row>
    <row r="367">
      <c r="B367" s="157"/>
    </row>
    <row r="368">
      <c r="B368" s="157"/>
    </row>
    <row r="369">
      <c r="B369" s="157"/>
    </row>
    <row r="370">
      <c r="B370" s="157"/>
    </row>
    <row r="371">
      <c r="B371" s="157"/>
    </row>
    <row r="372">
      <c r="B372" s="157"/>
    </row>
    <row r="373">
      <c r="B373" s="157"/>
    </row>
    <row r="374">
      <c r="B374" s="157"/>
    </row>
    <row r="375">
      <c r="B375" s="157"/>
    </row>
    <row r="376">
      <c r="B376" s="157"/>
    </row>
    <row r="377">
      <c r="B377" s="157"/>
    </row>
    <row r="378">
      <c r="B378" s="157"/>
    </row>
    <row r="379">
      <c r="B379" s="157"/>
    </row>
    <row r="380">
      <c r="B380" s="157"/>
    </row>
    <row r="381">
      <c r="B381" s="157"/>
    </row>
    <row r="382">
      <c r="B382" s="157"/>
    </row>
    <row r="383">
      <c r="B383" s="157"/>
    </row>
    <row r="384">
      <c r="B384" s="157"/>
    </row>
    <row r="385">
      <c r="B385" s="157"/>
    </row>
    <row r="386">
      <c r="B386" s="157"/>
    </row>
    <row r="387">
      <c r="B387" s="157"/>
    </row>
    <row r="388">
      <c r="B388" s="157"/>
    </row>
    <row r="389">
      <c r="B389" s="157"/>
    </row>
    <row r="390">
      <c r="B390" s="157"/>
    </row>
    <row r="391">
      <c r="B391" s="157"/>
    </row>
    <row r="392">
      <c r="B392" s="157"/>
    </row>
    <row r="393">
      <c r="B393" s="157"/>
    </row>
    <row r="394">
      <c r="B394" s="157"/>
    </row>
    <row r="395">
      <c r="B395" s="157"/>
    </row>
    <row r="396">
      <c r="B396" s="157"/>
    </row>
    <row r="397">
      <c r="B397" s="157"/>
    </row>
    <row r="398">
      <c r="B398" s="157"/>
    </row>
    <row r="399">
      <c r="B399" s="157"/>
    </row>
    <row r="400">
      <c r="B400" s="157"/>
    </row>
    <row r="401">
      <c r="B401" s="157"/>
    </row>
    <row r="402">
      <c r="B402" s="157"/>
    </row>
    <row r="403">
      <c r="B403" s="157"/>
    </row>
    <row r="404">
      <c r="B404" s="157"/>
    </row>
    <row r="405">
      <c r="B405" s="157"/>
    </row>
    <row r="406">
      <c r="B406" s="157"/>
    </row>
    <row r="407">
      <c r="B407" s="157"/>
    </row>
    <row r="408">
      <c r="B408" s="157"/>
    </row>
    <row r="409">
      <c r="B409" s="157"/>
    </row>
    <row r="410">
      <c r="B410" s="157"/>
    </row>
    <row r="411">
      <c r="B411" s="157"/>
    </row>
    <row r="412">
      <c r="B412" s="157"/>
    </row>
    <row r="413">
      <c r="B413" s="157"/>
    </row>
    <row r="414">
      <c r="B414" s="157"/>
    </row>
    <row r="415">
      <c r="B415" s="157"/>
    </row>
    <row r="416">
      <c r="B416" s="157"/>
    </row>
    <row r="417">
      <c r="B417" s="157"/>
    </row>
    <row r="418">
      <c r="B418" s="157"/>
    </row>
    <row r="419">
      <c r="B419" s="157"/>
    </row>
    <row r="420">
      <c r="B420" s="157"/>
    </row>
    <row r="421">
      <c r="B421" s="157"/>
    </row>
    <row r="422">
      <c r="B422" s="157"/>
    </row>
    <row r="423">
      <c r="B423" s="157"/>
    </row>
    <row r="424">
      <c r="B424" s="157"/>
    </row>
    <row r="425">
      <c r="B425" s="157"/>
    </row>
    <row r="426">
      <c r="B426" s="157"/>
    </row>
    <row r="427">
      <c r="B427" s="157"/>
    </row>
    <row r="428">
      <c r="B428" s="157"/>
    </row>
    <row r="429">
      <c r="B429" s="157"/>
    </row>
    <row r="430">
      <c r="B430" s="157"/>
    </row>
    <row r="431">
      <c r="B431" s="157"/>
    </row>
    <row r="432">
      <c r="B432" s="157"/>
    </row>
    <row r="433">
      <c r="B433" s="157"/>
    </row>
    <row r="434">
      <c r="B434" s="157"/>
    </row>
    <row r="435">
      <c r="B435" s="157"/>
    </row>
    <row r="436">
      <c r="B436" s="157"/>
    </row>
    <row r="437">
      <c r="B437" s="157"/>
    </row>
    <row r="438">
      <c r="B438" s="157"/>
    </row>
    <row r="439">
      <c r="B439" s="157"/>
    </row>
    <row r="440">
      <c r="B440" s="157"/>
    </row>
    <row r="441">
      <c r="B441" s="157"/>
    </row>
    <row r="442">
      <c r="B442" s="157"/>
    </row>
    <row r="443">
      <c r="B443" s="157"/>
    </row>
    <row r="444">
      <c r="B444" s="157"/>
    </row>
    <row r="445">
      <c r="B445" s="157"/>
    </row>
    <row r="446">
      <c r="B446" s="157"/>
    </row>
    <row r="447">
      <c r="B447" s="157"/>
    </row>
    <row r="448">
      <c r="B448" s="157"/>
    </row>
    <row r="449">
      <c r="B449" s="157"/>
    </row>
    <row r="450">
      <c r="B450" s="157"/>
    </row>
    <row r="451">
      <c r="B451" s="157"/>
    </row>
    <row r="452">
      <c r="B452" s="157"/>
    </row>
    <row r="453">
      <c r="B453" s="157"/>
    </row>
    <row r="454">
      <c r="B454" s="157"/>
    </row>
    <row r="455">
      <c r="B455" s="157"/>
    </row>
    <row r="456">
      <c r="B456" s="157"/>
    </row>
    <row r="457">
      <c r="B457" s="157"/>
    </row>
    <row r="458">
      <c r="B458" s="157"/>
    </row>
    <row r="459">
      <c r="B459" s="157"/>
    </row>
    <row r="460">
      <c r="B460" s="157"/>
    </row>
    <row r="461">
      <c r="B461" s="157"/>
    </row>
    <row r="462">
      <c r="B462" s="157"/>
    </row>
    <row r="463">
      <c r="B463" s="157"/>
    </row>
    <row r="464">
      <c r="B464" s="157"/>
    </row>
    <row r="465">
      <c r="B465" s="157"/>
    </row>
    <row r="466">
      <c r="B466" s="157"/>
    </row>
    <row r="467">
      <c r="B467" s="157"/>
    </row>
    <row r="468">
      <c r="B468" s="157"/>
    </row>
    <row r="469">
      <c r="B469" s="157"/>
    </row>
    <row r="470">
      <c r="B470" s="157"/>
    </row>
    <row r="471">
      <c r="B471" s="157"/>
    </row>
    <row r="472">
      <c r="B472" s="157"/>
    </row>
    <row r="473">
      <c r="B473" s="157"/>
    </row>
    <row r="474">
      <c r="B474" s="157"/>
    </row>
    <row r="475">
      <c r="B475" s="157"/>
    </row>
    <row r="476">
      <c r="B476" s="157"/>
    </row>
    <row r="477">
      <c r="B477" s="157"/>
    </row>
    <row r="478">
      <c r="B478" s="157"/>
    </row>
    <row r="479">
      <c r="B479" s="157"/>
    </row>
    <row r="480">
      <c r="B480" s="157"/>
    </row>
    <row r="481">
      <c r="B481" s="157"/>
    </row>
    <row r="482">
      <c r="B482" s="157"/>
    </row>
    <row r="483">
      <c r="B483" s="157"/>
    </row>
    <row r="484">
      <c r="B484" s="157"/>
    </row>
    <row r="485">
      <c r="B485" s="157"/>
    </row>
    <row r="486">
      <c r="B486" s="157"/>
    </row>
    <row r="487">
      <c r="B487" s="157"/>
    </row>
    <row r="488">
      <c r="B488" s="157"/>
    </row>
    <row r="489">
      <c r="B489" s="157"/>
    </row>
    <row r="490">
      <c r="B490" s="157"/>
    </row>
    <row r="491">
      <c r="B491" s="157"/>
    </row>
    <row r="492">
      <c r="B492" s="157"/>
    </row>
    <row r="493">
      <c r="B493" s="157"/>
    </row>
    <row r="494">
      <c r="B494" s="157"/>
    </row>
    <row r="495">
      <c r="B495" s="157"/>
    </row>
    <row r="496">
      <c r="B496" s="157"/>
    </row>
    <row r="497">
      <c r="B497" s="157"/>
    </row>
    <row r="498">
      <c r="B498" s="157"/>
    </row>
    <row r="499">
      <c r="B499" s="157"/>
    </row>
    <row r="500">
      <c r="B500" s="157"/>
    </row>
    <row r="501">
      <c r="B501" s="157"/>
    </row>
    <row r="502">
      <c r="B502" s="157"/>
    </row>
    <row r="503">
      <c r="B503" s="157"/>
    </row>
    <row r="504">
      <c r="B504" s="157"/>
    </row>
    <row r="505">
      <c r="B505" s="157"/>
    </row>
    <row r="506">
      <c r="B506" s="157"/>
    </row>
    <row r="507">
      <c r="B507" s="157"/>
    </row>
    <row r="508">
      <c r="B508" s="157"/>
    </row>
    <row r="509">
      <c r="B509" s="157"/>
    </row>
    <row r="510">
      <c r="B510" s="157"/>
    </row>
    <row r="511">
      <c r="B511" s="157"/>
    </row>
    <row r="512">
      <c r="B512" s="157"/>
    </row>
    <row r="513">
      <c r="B513" s="157"/>
    </row>
    <row r="514">
      <c r="B514" s="157"/>
    </row>
    <row r="515">
      <c r="B515" s="157"/>
    </row>
    <row r="516">
      <c r="B516" s="157"/>
    </row>
    <row r="517">
      <c r="B517" s="157"/>
    </row>
    <row r="518">
      <c r="B518" s="157"/>
    </row>
    <row r="519">
      <c r="B519" s="157"/>
    </row>
    <row r="520">
      <c r="B520" s="157"/>
    </row>
    <row r="521">
      <c r="B521" s="157"/>
    </row>
    <row r="522">
      <c r="B522" s="157"/>
    </row>
    <row r="523">
      <c r="B523" s="157"/>
    </row>
    <row r="524">
      <c r="B524" s="157"/>
    </row>
    <row r="525">
      <c r="B525" s="157"/>
    </row>
    <row r="526">
      <c r="B526" s="157"/>
    </row>
    <row r="527">
      <c r="B527" s="157"/>
    </row>
    <row r="528">
      <c r="B528" s="157"/>
    </row>
    <row r="529">
      <c r="B529" s="157"/>
    </row>
    <row r="530">
      <c r="B530" s="157"/>
    </row>
    <row r="531">
      <c r="B531" s="157"/>
    </row>
    <row r="532">
      <c r="B532" s="157"/>
    </row>
    <row r="533">
      <c r="B533" s="157"/>
    </row>
    <row r="534">
      <c r="B534" s="157"/>
    </row>
    <row r="535">
      <c r="B535" s="157"/>
    </row>
    <row r="536">
      <c r="B536" s="157"/>
    </row>
    <row r="537">
      <c r="B537" s="157"/>
    </row>
    <row r="538">
      <c r="B538" s="157"/>
    </row>
    <row r="539">
      <c r="B539" s="157"/>
    </row>
    <row r="540">
      <c r="B540" s="157"/>
    </row>
    <row r="541">
      <c r="B541" s="157"/>
    </row>
    <row r="542">
      <c r="B542" s="157"/>
    </row>
    <row r="543">
      <c r="B543" s="157"/>
    </row>
    <row r="544">
      <c r="B544" s="157"/>
    </row>
    <row r="545">
      <c r="B545" s="157"/>
    </row>
    <row r="546">
      <c r="B546" s="157"/>
    </row>
    <row r="547">
      <c r="B547" s="157"/>
    </row>
    <row r="548">
      <c r="B548" s="157"/>
    </row>
    <row r="549">
      <c r="B549" s="157"/>
    </row>
    <row r="550">
      <c r="B550" s="157"/>
    </row>
    <row r="551">
      <c r="B551" s="157"/>
    </row>
    <row r="552">
      <c r="B552" s="157"/>
    </row>
    <row r="553">
      <c r="B553" s="157"/>
    </row>
    <row r="554">
      <c r="B554" s="157"/>
    </row>
    <row r="555">
      <c r="B555" s="157"/>
    </row>
    <row r="556">
      <c r="B556" s="157"/>
    </row>
    <row r="557">
      <c r="B557" s="157"/>
    </row>
    <row r="558">
      <c r="B558" s="157"/>
    </row>
    <row r="559">
      <c r="B559" s="157"/>
    </row>
    <row r="560">
      <c r="B560" s="157"/>
    </row>
    <row r="561">
      <c r="B561" s="157"/>
    </row>
    <row r="562">
      <c r="B562" s="157"/>
    </row>
    <row r="563">
      <c r="B563" s="157"/>
    </row>
    <row r="564">
      <c r="B564" s="157"/>
    </row>
    <row r="565">
      <c r="B565" s="157"/>
    </row>
    <row r="566">
      <c r="B566" s="157"/>
    </row>
    <row r="567">
      <c r="B567" s="157"/>
    </row>
    <row r="568">
      <c r="B568" s="157"/>
    </row>
    <row r="569">
      <c r="B569" s="157"/>
    </row>
    <row r="570">
      <c r="B570" s="157"/>
    </row>
    <row r="571">
      <c r="B571" s="157"/>
    </row>
    <row r="572">
      <c r="B572" s="157"/>
    </row>
    <row r="573">
      <c r="B573" s="157"/>
    </row>
    <row r="574">
      <c r="B574" s="157"/>
    </row>
    <row r="575">
      <c r="B575" s="157"/>
    </row>
    <row r="576">
      <c r="B576" s="157"/>
    </row>
    <row r="577">
      <c r="B577" s="157"/>
    </row>
    <row r="578">
      <c r="B578" s="157"/>
    </row>
    <row r="579">
      <c r="B579" s="157"/>
    </row>
    <row r="580">
      <c r="B580" s="157"/>
    </row>
    <row r="581">
      <c r="B581" s="157"/>
    </row>
    <row r="582">
      <c r="B582" s="157"/>
    </row>
    <row r="583">
      <c r="B583" s="157"/>
    </row>
    <row r="584">
      <c r="B584" s="157"/>
    </row>
    <row r="585">
      <c r="B585" s="157"/>
    </row>
    <row r="586">
      <c r="B586" s="157"/>
    </row>
    <row r="587">
      <c r="B587" s="157"/>
    </row>
    <row r="588">
      <c r="B588" s="157"/>
    </row>
    <row r="589">
      <c r="B589" s="157"/>
    </row>
    <row r="590">
      <c r="B590" s="157"/>
    </row>
    <row r="591">
      <c r="B591" s="157"/>
    </row>
    <row r="592">
      <c r="B592" s="157"/>
    </row>
    <row r="593">
      <c r="B593" s="157"/>
    </row>
    <row r="594">
      <c r="B594" s="157"/>
    </row>
    <row r="595">
      <c r="B595" s="157"/>
    </row>
    <row r="596">
      <c r="B596" s="157"/>
    </row>
    <row r="597">
      <c r="B597" s="157"/>
    </row>
    <row r="598">
      <c r="B598" s="157"/>
    </row>
    <row r="599">
      <c r="B599" s="157"/>
    </row>
    <row r="600">
      <c r="B600" s="157"/>
    </row>
    <row r="601">
      <c r="B601" s="157"/>
    </row>
    <row r="602">
      <c r="B602" s="157"/>
    </row>
    <row r="603">
      <c r="B603" s="157"/>
    </row>
    <row r="604">
      <c r="B604" s="157"/>
    </row>
    <row r="605">
      <c r="B605" s="157"/>
    </row>
    <row r="606">
      <c r="B606" s="157"/>
    </row>
    <row r="607">
      <c r="B607" s="157"/>
    </row>
    <row r="608">
      <c r="B608" s="157"/>
    </row>
    <row r="609">
      <c r="B609" s="157"/>
    </row>
    <row r="610">
      <c r="B610" s="157"/>
    </row>
    <row r="611">
      <c r="B611" s="157"/>
    </row>
    <row r="612">
      <c r="B612" s="157"/>
    </row>
    <row r="613">
      <c r="B613" s="157"/>
    </row>
    <row r="614">
      <c r="B614" s="157"/>
    </row>
    <row r="615">
      <c r="B615" s="157"/>
    </row>
    <row r="616">
      <c r="B616" s="157"/>
    </row>
    <row r="617">
      <c r="B617" s="157"/>
    </row>
    <row r="618">
      <c r="B618" s="157"/>
    </row>
    <row r="619">
      <c r="B619" s="157"/>
    </row>
    <row r="620">
      <c r="B620" s="157"/>
    </row>
    <row r="621">
      <c r="B621" s="157"/>
    </row>
    <row r="622">
      <c r="B622" s="157"/>
    </row>
    <row r="623">
      <c r="B623" s="157"/>
    </row>
    <row r="624">
      <c r="B624" s="157"/>
    </row>
    <row r="625">
      <c r="B625" s="157"/>
    </row>
    <row r="626">
      <c r="B626" s="157"/>
    </row>
    <row r="627">
      <c r="B627" s="157"/>
    </row>
    <row r="628">
      <c r="B628" s="157"/>
    </row>
    <row r="629">
      <c r="B629" s="157"/>
    </row>
    <row r="630">
      <c r="B630" s="157"/>
    </row>
    <row r="631">
      <c r="B631" s="157"/>
    </row>
    <row r="632">
      <c r="B632" s="157"/>
    </row>
    <row r="633">
      <c r="B633" s="157"/>
    </row>
    <row r="634">
      <c r="B634" s="157"/>
    </row>
    <row r="635">
      <c r="B635" s="157"/>
    </row>
    <row r="636">
      <c r="B636" s="157"/>
    </row>
    <row r="637">
      <c r="B637" s="157"/>
    </row>
    <row r="638">
      <c r="B638" s="157"/>
    </row>
    <row r="639">
      <c r="B639" s="157"/>
    </row>
    <row r="640">
      <c r="B640" s="157"/>
    </row>
    <row r="641">
      <c r="B641" s="157"/>
    </row>
    <row r="642">
      <c r="B642" s="157"/>
    </row>
    <row r="643">
      <c r="B643" s="157"/>
    </row>
    <row r="644">
      <c r="B644" s="157"/>
    </row>
    <row r="645">
      <c r="B645" s="157"/>
    </row>
    <row r="646">
      <c r="B646" s="157"/>
    </row>
    <row r="647">
      <c r="B647" s="157"/>
    </row>
    <row r="648">
      <c r="B648" s="157"/>
    </row>
    <row r="649">
      <c r="B649" s="157"/>
    </row>
    <row r="650">
      <c r="B650" s="157"/>
    </row>
    <row r="651">
      <c r="B651" s="157"/>
    </row>
    <row r="652">
      <c r="B652" s="157"/>
    </row>
    <row r="653">
      <c r="B653" s="157"/>
    </row>
    <row r="654">
      <c r="B654" s="157"/>
    </row>
    <row r="655">
      <c r="B655" s="157"/>
    </row>
    <row r="656">
      <c r="B656" s="157"/>
    </row>
    <row r="657">
      <c r="B657" s="157"/>
    </row>
    <row r="658">
      <c r="B658" s="157"/>
    </row>
    <row r="659">
      <c r="B659" s="157"/>
    </row>
    <row r="660">
      <c r="B660" s="157"/>
    </row>
    <row r="661">
      <c r="B661" s="157"/>
    </row>
    <row r="662">
      <c r="B662" s="157"/>
    </row>
    <row r="663">
      <c r="B663" s="157"/>
    </row>
    <row r="664">
      <c r="B664" s="157"/>
    </row>
    <row r="665">
      <c r="B665" s="157"/>
    </row>
    <row r="666">
      <c r="B666" s="157"/>
    </row>
    <row r="667">
      <c r="B667" s="157"/>
    </row>
    <row r="668">
      <c r="B668" s="157"/>
    </row>
    <row r="669">
      <c r="B669" s="157"/>
    </row>
    <row r="670">
      <c r="B670" s="157"/>
    </row>
    <row r="671">
      <c r="B671" s="157"/>
    </row>
    <row r="672">
      <c r="B672" s="157"/>
    </row>
    <row r="673">
      <c r="B673" s="157"/>
    </row>
    <row r="674">
      <c r="B674" s="157"/>
    </row>
    <row r="675">
      <c r="B675" s="157"/>
    </row>
    <row r="676">
      <c r="B676" s="157"/>
    </row>
    <row r="677">
      <c r="B677" s="157"/>
    </row>
    <row r="678">
      <c r="B678" s="157"/>
    </row>
    <row r="679">
      <c r="B679" s="157"/>
    </row>
    <row r="680">
      <c r="B680" s="157"/>
    </row>
    <row r="681">
      <c r="B681" s="157"/>
    </row>
    <row r="682">
      <c r="B682" s="157"/>
    </row>
    <row r="683">
      <c r="B683" s="157"/>
    </row>
    <row r="684">
      <c r="B684" s="157"/>
    </row>
    <row r="685">
      <c r="B685" s="157"/>
    </row>
    <row r="686">
      <c r="B686" s="157"/>
    </row>
    <row r="687">
      <c r="B687" s="157"/>
    </row>
    <row r="688">
      <c r="B688" s="157"/>
    </row>
    <row r="689">
      <c r="B689" s="157"/>
    </row>
    <row r="690">
      <c r="B690" s="157"/>
    </row>
    <row r="691">
      <c r="B691" s="157"/>
    </row>
    <row r="692">
      <c r="B692" s="157"/>
    </row>
    <row r="693">
      <c r="B693" s="157"/>
    </row>
    <row r="694">
      <c r="B694" s="157"/>
    </row>
    <row r="695">
      <c r="B695" s="157"/>
    </row>
    <row r="696">
      <c r="B696" s="157"/>
    </row>
    <row r="697">
      <c r="B697" s="157"/>
    </row>
    <row r="698">
      <c r="B698" s="157"/>
    </row>
    <row r="699">
      <c r="B699" s="157"/>
    </row>
    <row r="700">
      <c r="B700" s="157"/>
    </row>
    <row r="701">
      <c r="B701" s="157"/>
    </row>
    <row r="702">
      <c r="B702" s="157"/>
    </row>
    <row r="703">
      <c r="B703" s="157"/>
    </row>
    <row r="704">
      <c r="B704" s="157"/>
    </row>
    <row r="705">
      <c r="B705" s="157"/>
    </row>
    <row r="706">
      <c r="B706" s="157"/>
    </row>
    <row r="707">
      <c r="B707" s="157"/>
    </row>
    <row r="708">
      <c r="B708" s="157"/>
    </row>
    <row r="709">
      <c r="B709" s="157"/>
    </row>
    <row r="710">
      <c r="B710" s="157"/>
    </row>
    <row r="711">
      <c r="B711" s="157"/>
    </row>
    <row r="712">
      <c r="B712" s="157"/>
    </row>
    <row r="713">
      <c r="B713" s="157"/>
    </row>
    <row r="714">
      <c r="B714" s="157"/>
    </row>
    <row r="715">
      <c r="B715" s="157"/>
    </row>
    <row r="716">
      <c r="B716" s="157"/>
    </row>
    <row r="717">
      <c r="B717" s="157"/>
    </row>
    <row r="718">
      <c r="B718" s="157"/>
    </row>
    <row r="719">
      <c r="B719" s="157"/>
    </row>
    <row r="720">
      <c r="B720" s="157"/>
    </row>
    <row r="721">
      <c r="B721" s="157"/>
    </row>
    <row r="722">
      <c r="B722" s="157"/>
    </row>
    <row r="723">
      <c r="B723" s="157"/>
    </row>
    <row r="724">
      <c r="B724" s="157"/>
    </row>
    <row r="725">
      <c r="B725" s="157"/>
    </row>
    <row r="726">
      <c r="B726" s="157"/>
    </row>
    <row r="727">
      <c r="B727" s="157"/>
    </row>
    <row r="728">
      <c r="B728" s="157"/>
    </row>
    <row r="729">
      <c r="B729" s="157"/>
    </row>
    <row r="730">
      <c r="B730" s="157"/>
    </row>
    <row r="731">
      <c r="B731" s="157"/>
    </row>
    <row r="732">
      <c r="B732" s="157"/>
    </row>
    <row r="733">
      <c r="B733" s="157"/>
    </row>
    <row r="734">
      <c r="B734" s="157"/>
    </row>
    <row r="735">
      <c r="B735" s="157"/>
    </row>
    <row r="736">
      <c r="B736" s="157"/>
    </row>
    <row r="737">
      <c r="B737" s="157"/>
    </row>
    <row r="738">
      <c r="B738" s="157"/>
    </row>
    <row r="739">
      <c r="B739" s="157"/>
    </row>
    <row r="740">
      <c r="B740" s="157"/>
    </row>
    <row r="741">
      <c r="B741" s="157"/>
    </row>
    <row r="742">
      <c r="B742" s="157"/>
    </row>
    <row r="743">
      <c r="B743" s="157"/>
    </row>
    <row r="744">
      <c r="B744" s="157"/>
    </row>
    <row r="745">
      <c r="B745" s="157"/>
    </row>
    <row r="746">
      <c r="B746" s="157"/>
    </row>
    <row r="747">
      <c r="B747" s="157"/>
    </row>
    <row r="748">
      <c r="B748" s="157"/>
    </row>
    <row r="749">
      <c r="B749" s="157"/>
    </row>
    <row r="750">
      <c r="B750" s="157"/>
    </row>
    <row r="751">
      <c r="B751" s="157"/>
    </row>
    <row r="752">
      <c r="B752" s="157"/>
    </row>
    <row r="753">
      <c r="B753" s="157"/>
    </row>
    <row r="754">
      <c r="B754" s="157"/>
    </row>
    <row r="755">
      <c r="B755" s="157"/>
    </row>
    <row r="756">
      <c r="B756" s="157"/>
    </row>
    <row r="757">
      <c r="B757" s="157"/>
    </row>
    <row r="758">
      <c r="B758" s="157"/>
    </row>
    <row r="759">
      <c r="B759" s="157"/>
    </row>
    <row r="760">
      <c r="B760" s="157"/>
    </row>
    <row r="761">
      <c r="B761" s="157"/>
    </row>
    <row r="762">
      <c r="B762" s="157"/>
    </row>
    <row r="763">
      <c r="B763" s="157"/>
    </row>
    <row r="764">
      <c r="B764" s="157"/>
    </row>
    <row r="765">
      <c r="B765" s="157"/>
    </row>
    <row r="766">
      <c r="B766" s="157"/>
    </row>
    <row r="767">
      <c r="B767" s="157"/>
    </row>
    <row r="768">
      <c r="B768" s="157"/>
    </row>
    <row r="769">
      <c r="B769" s="157"/>
    </row>
    <row r="770">
      <c r="B770" s="157"/>
    </row>
    <row r="771">
      <c r="B771" s="157"/>
    </row>
    <row r="772">
      <c r="B772" s="157"/>
    </row>
    <row r="773">
      <c r="B773" s="157"/>
    </row>
    <row r="774">
      <c r="B774" s="157"/>
    </row>
    <row r="775">
      <c r="B775" s="157"/>
    </row>
    <row r="776">
      <c r="B776" s="157"/>
    </row>
    <row r="777">
      <c r="B777" s="157"/>
    </row>
    <row r="778">
      <c r="B778" s="157"/>
    </row>
    <row r="779">
      <c r="B779" s="157"/>
    </row>
    <row r="780">
      <c r="B780" s="157"/>
    </row>
    <row r="781">
      <c r="B781" s="157"/>
    </row>
    <row r="782">
      <c r="B782" s="157"/>
    </row>
    <row r="783">
      <c r="B783" s="157"/>
    </row>
    <row r="784">
      <c r="B784" s="157"/>
    </row>
    <row r="785">
      <c r="B785" s="157"/>
    </row>
    <row r="786">
      <c r="B786" s="157"/>
    </row>
    <row r="787">
      <c r="B787" s="157"/>
    </row>
    <row r="788">
      <c r="B788" s="157"/>
    </row>
    <row r="789">
      <c r="B789" s="157"/>
    </row>
    <row r="790">
      <c r="B790" s="157"/>
    </row>
    <row r="791">
      <c r="B791" s="157"/>
    </row>
    <row r="792">
      <c r="B792" s="157"/>
    </row>
    <row r="793">
      <c r="B793" s="157"/>
    </row>
    <row r="794">
      <c r="B794" s="157"/>
    </row>
    <row r="795">
      <c r="B795" s="157"/>
    </row>
    <row r="796">
      <c r="B796" s="157"/>
    </row>
    <row r="797">
      <c r="B797" s="157"/>
    </row>
    <row r="798">
      <c r="B798" s="157"/>
    </row>
    <row r="799">
      <c r="B799" s="157"/>
    </row>
    <row r="800">
      <c r="B800" s="157"/>
    </row>
    <row r="801">
      <c r="B801" s="157"/>
    </row>
    <row r="802">
      <c r="B802" s="157"/>
    </row>
    <row r="803">
      <c r="B803" s="157"/>
    </row>
    <row r="804">
      <c r="B804" s="157"/>
    </row>
    <row r="805">
      <c r="B805" s="157"/>
    </row>
    <row r="806">
      <c r="B806" s="157"/>
    </row>
    <row r="807">
      <c r="B807" s="157"/>
    </row>
    <row r="808">
      <c r="B808" s="157"/>
    </row>
    <row r="809">
      <c r="B809" s="157"/>
    </row>
    <row r="810">
      <c r="B810" s="157"/>
    </row>
    <row r="811">
      <c r="B811" s="157"/>
    </row>
    <row r="812">
      <c r="B812" s="157"/>
    </row>
    <row r="813">
      <c r="B813" s="157"/>
    </row>
    <row r="814">
      <c r="B814" s="157"/>
    </row>
    <row r="815">
      <c r="B815" s="157"/>
    </row>
    <row r="816">
      <c r="B816" s="157"/>
    </row>
    <row r="817">
      <c r="B817" s="157"/>
    </row>
    <row r="818">
      <c r="B818" s="157"/>
    </row>
    <row r="819">
      <c r="B819" s="157"/>
    </row>
    <row r="820">
      <c r="B820" s="157"/>
    </row>
    <row r="821">
      <c r="B821" s="157"/>
    </row>
    <row r="822">
      <c r="B822" s="157"/>
    </row>
    <row r="823">
      <c r="B823" s="157"/>
    </row>
    <row r="824">
      <c r="B824" s="157"/>
    </row>
    <row r="825">
      <c r="B825" s="157"/>
    </row>
    <row r="826">
      <c r="B826" s="157"/>
    </row>
    <row r="827">
      <c r="B827" s="157"/>
    </row>
    <row r="828">
      <c r="B828" s="157"/>
    </row>
    <row r="829">
      <c r="B829" s="157"/>
    </row>
    <row r="830">
      <c r="B830" s="157"/>
    </row>
    <row r="831">
      <c r="B831" s="157"/>
    </row>
    <row r="832">
      <c r="B832" s="157"/>
    </row>
    <row r="833">
      <c r="B833" s="157"/>
    </row>
    <row r="834">
      <c r="B834" s="157"/>
    </row>
    <row r="835">
      <c r="B835" s="157"/>
    </row>
    <row r="836">
      <c r="B836" s="157"/>
    </row>
    <row r="837">
      <c r="B837" s="157"/>
    </row>
    <row r="838">
      <c r="B838" s="157"/>
    </row>
    <row r="839">
      <c r="B839" s="157"/>
    </row>
    <row r="840">
      <c r="B840" s="157"/>
    </row>
    <row r="841">
      <c r="B841" s="157"/>
    </row>
    <row r="842">
      <c r="B842" s="157"/>
    </row>
    <row r="843">
      <c r="B843" s="157"/>
    </row>
    <row r="844">
      <c r="B844" s="157"/>
    </row>
    <row r="845">
      <c r="B845" s="157"/>
    </row>
    <row r="846">
      <c r="B846" s="157"/>
    </row>
    <row r="847">
      <c r="B847" s="157"/>
    </row>
    <row r="848">
      <c r="B848" s="157"/>
    </row>
    <row r="849">
      <c r="B849" s="157"/>
    </row>
    <row r="850">
      <c r="B850" s="157"/>
    </row>
    <row r="851">
      <c r="B851" s="157"/>
    </row>
    <row r="852">
      <c r="B852" s="157"/>
    </row>
    <row r="853">
      <c r="B853" s="157"/>
    </row>
    <row r="854">
      <c r="B854" s="157"/>
    </row>
    <row r="855">
      <c r="B855" s="157"/>
    </row>
    <row r="856">
      <c r="B856" s="157"/>
    </row>
    <row r="857">
      <c r="B857" s="157"/>
    </row>
    <row r="858">
      <c r="B858" s="157"/>
    </row>
    <row r="859">
      <c r="B859" s="157"/>
    </row>
    <row r="860">
      <c r="B860" s="157"/>
    </row>
    <row r="861">
      <c r="B861" s="157"/>
    </row>
    <row r="862">
      <c r="B862" s="157"/>
    </row>
    <row r="863">
      <c r="B863" s="157"/>
    </row>
    <row r="864">
      <c r="B864" s="157"/>
    </row>
    <row r="865">
      <c r="B865" s="157"/>
    </row>
    <row r="866">
      <c r="B866" s="157"/>
    </row>
    <row r="867">
      <c r="B867" s="157"/>
    </row>
    <row r="868">
      <c r="B868" s="157"/>
    </row>
    <row r="869">
      <c r="B869" s="157"/>
    </row>
    <row r="870">
      <c r="B870" s="157"/>
    </row>
    <row r="871">
      <c r="B871" s="157"/>
    </row>
    <row r="872">
      <c r="B872" s="157"/>
    </row>
    <row r="873">
      <c r="B873" s="157"/>
    </row>
    <row r="874">
      <c r="B874" s="157"/>
    </row>
    <row r="875">
      <c r="B875" s="157"/>
    </row>
    <row r="876">
      <c r="B876" s="157"/>
    </row>
    <row r="877">
      <c r="B877" s="157"/>
    </row>
    <row r="878">
      <c r="B878" s="157"/>
    </row>
    <row r="879">
      <c r="B879" s="157"/>
    </row>
    <row r="880">
      <c r="B880" s="157"/>
    </row>
    <row r="881">
      <c r="B881" s="157"/>
    </row>
    <row r="882">
      <c r="B882" s="157"/>
    </row>
    <row r="883">
      <c r="B883" s="157"/>
    </row>
    <row r="884">
      <c r="B884" s="157"/>
    </row>
    <row r="885">
      <c r="B885" s="157"/>
    </row>
    <row r="886">
      <c r="B886" s="157"/>
    </row>
    <row r="887">
      <c r="B887" s="157"/>
    </row>
    <row r="888">
      <c r="B888" s="157"/>
    </row>
    <row r="889">
      <c r="B889" s="157"/>
    </row>
    <row r="890">
      <c r="B890" s="157"/>
    </row>
    <row r="891">
      <c r="B891" s="157"/>
    </row>
    <row r="892">
      <c r="B892" s="157"/>
    </row>
    <row r="893">
      <c r="B893" s="157"/>
    </row>
    <row r="894">
      <c r="B894" s="157"/>
    </row>
    <row r="895">
      <c r="B895" s="157"/>
    </row>
    <row r="896">
      <c r="B896" s="157"/>
    </row>
    <row r="897">
      <c r="B897" s="157"/>
    </row>
    <row r="898">
      <c r="B898" s="157"/>
    </row>
    <row r="899">
      <c r="B899" s="157"/>
    </row>
    <row r="900">
      <c r="B900" s="157"/>
    </row>
    <row r="901">
      <c r="B901" s="157"/>
    </row>
    <row r="902">
      <c r="B902" s="157"/>
    </row>
    <row r="903">
      <c r="B903" s="157"/>
    </row>
    <row r="904">
      <c r="B904" s="157"/>
    </row>
    <row r="905">
      <c r="B905" s="157"/>
    </row>
    <row r="906">
      <c r="B906" s="157"/>
    </row>
    <row r="907">
      <c r="B907" s="157"/>
    </row>
    <row r="908">
      <c r="B908" s="157"/>
    </row>
    <row r="909">
      <c r="B909" s="157"/>
    </row>
    <row r="910">
      <c r="B910" s="157"/>
    </row>
    <row r="911">
      <c r="B911" s="157"/>
    </row>
    <row r="912">
      <c r="B912" s="157"/>
    </row>
    <row r="913">
      <c r="B913" s="157"/>
    </row>
    <row r="914">
      <c r="B914" s="157"/>
    </row>
    <row r="915">
      <c r="B915" s="157"/>
    </row>
    <row r="916">
      <c r="B916" s="157"/>
    </row>
    <row r="917">
      <c r="B917" s="157"/>
    </row>
    <row r="918">
      <c r="B918" s="157"/>
    </row>
    <row r="919">
      <c r="B919" s="157"/>
    </row>
    <row r="920">
      <c r="B920" s="157"/>
    </row>
    <row r="921">
      <c r="B921" s="157"/>
    </row>
    <row r="922">
      <c r="B922" s="157"/>
    </row>
    <row r="923">
      <c r="B923" s="157"/>
    </row>
    <row r="924">
      <c r="B924" s="157"/>
    </row>
    <row r="925">
      <c r="B925" s="157"/>
    </row>
    <row r="926">
      <c r="B926" s="157"/>
    </row>
    <row r="927">
      <c r="B927" s="157"/>
    </row>
    <row r="928">
      <c r="B928" s="157"/>
    </row>
    <row r="929">
      <c r="B929" s="157"/>
    </row>
    <row r="930">
      <c r="B930" s="157"/>
    </row>
    <row r="931">
      <c r="B931" s="157"/>
    </row>
    <row r="932">
      <c r="B932" s="157"/>
    </row>
    <row r="933">
      <c r="B933" s="157"/>
    </row>
    <row r="934">
      <c r="B934" s="157"/>
    </row>
    <row r="935">
      <c r="B935" s="157"/>
    </row>
    <row r="936">
      <c r="B936" s="157"/>
    </row>
    <row r="937">
      <c r="B937" s="157"/>
    </row>
    <row r="938">
      <c r="B938" s="157"/>
    </row>
    <row r="939">
      <c r="B939" s="157"/>
    </row>
    <row r="940">
      <c r="B940" s="157"/>
    </row>
    <row r="941">
      <c r="B941" s="157"/>
    </row>
    <row r="942">
      <c r="B942" s="157"/>
    </row>
    <row r="943">
      <c r="B943" s="157"/>
    </row>
    <row r="944">
      <c r="B944" s="157"/>
    </row>
    <row r="945">
      <c r="B945" s="157"/>
    </row>
    <row r="946">
      <c r="B946" s="157"/>
    </row>
    <row r="947">
      <c r="B947" s="157"/>
    </row>
    <row r="948">
      <c r="B948" s="157"/>
    </row>
    <row r="949">
      <c r="B949" s="157"/>
    </row>
    <row r="950">
      <c r="B950" s="157"/>
    </row>
    <row r="951">
      <c r="B951" s="157"/>
    </row>
    <row r="952">
      <c r="B952" s="157"/>
    </row>
    <row r="953">
      <c r="B953" s="157"/>
    </row>
    <row r="954">
      <c r="B954" s="157"/>
    </row>
    <row r="955">
      <c r="B955" s="157"/>
    </row>
    <row r="956">
      <c r="B956" s="157"/>
    </row>
    <row r="957">
      <c r="B957" s="157"/>
    </row>
    <row r="958">
      <c r="B958" s="157"/>
    </row>
    <row r="959">
      <c r="B959" s="157"/>
    </row>
    <row r="960">
      <c r="B960" s="157"/>
    </row>
    <row r="961">
      <c r="B961" s="157"/>
    </row>
    <row r="962">
      <c r="B962" s="157"/>
    </row>
    <row r="963">
      <c r="B963" s="157"/>
    </row>
    <row r="964">
      <c r="B964" s="157"/>
    </row>
    <row r="965">
      <c r="B965" s="157"/>
    </row>
    <row r="966">
      <c r="B966" s="157"/>
    </row>
    <row r="967">
      <c r="B967" s="157"/>
    </row>
    <row r="968">
      <c r="B968" s="157"/>
    </row>
    <row r="969">
      <c r="B969" s="157"/>
    </row>
    <row r="970">
      <c r="B970" s="157"/>
    </row>
    <row r="971">
      <c r="B971" s="157"/>
    </row>
    <row r="972">
      <c r="B972" s="157"/>
    </row>
    <row r="973">
      <c r="B973" s="157"/>
    </row>
    <row r="974">
      <c r="B974" s="157"/>
    </row>
    <row r="975">
      <c r="B975" s="157"/>
    </row>
    <row r="976">
      <c r="B976" s="157"/>
    </row>
    <row r="977">
      <c r="B977" s="157"/>
    </row>
    <row r="978">
      <c r="B978" s="157"/>
    </row>
    <row r="979">
      <c r="B979" s="157"/>
    </row>
    <row r="980">
      <c r="B980" s="157"/>
    </row>
    <row r="981">
      <c r="B981" s="157"/>
    </row>
    <row r="982">
      <c r="B982" s="157"/>
    </row>
    <row r="983">
      <c r="B983" s="157"/>
    </row>
    <row r="984">
      <c r="B984" s="157"/>
    </row>
    <row r="985">
      <c r="B985" s="157"/>
    </row>
    <row r="986">
      <c r="B986" s="157"/>
    </row>
    <row r="987">
      <c r="B987" s="157"/>
    </row>
    <row r="988">
      <c r="B988" s="157"/>
    </row>
    <row r="989">
      <c r="B989" s="157"/>
    </row>
    <row r="990">
      <c r="B990" s="157"/>
    </row>
    <row r="991">
      <c r="B991" s="157"/>
    </row>
    <row r="992">
      <c r="B992" s="157"/>
    </row>
    <row r="993">
      <c r="B993" s="157"/>
    </row>
    <row r="994">
      <c r="B994" s="157"/>
    </row>
    <row r="995">
      <c r="B995" s="157"/>
    </row>
    <row r="996">
      <c r="B996" s="157"/>
    </row>
    <row r="997">
      <c r="B997" s="157"/>
    </row>
    <row r="998">
      <c r="B998" s="157"/>
    </row>
    <row r="999">
      <c r="B999" s="157"/>
    </row>
    <row r="1000">
      <c r="B1000" s="157"/>
    </row>
  </sheetData>
  <mergeCells count="1">
    <mergeCell ref="A1:A100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1.0"/>
    <col customWidth="1" min="3" max="3" width="2.13"/>
    <col customWidth="1" min="4" max="4" width="13.75"/>
    <col customWidth="1" min="5" max="5" width="11.0"/>
    <col customWidth="1" min="6" max="6" width="2.25"/>
    <col customWidth="1" min="7" max="7" width="14.13"/>
    <col customWidth="1" min="8" max="8" width="11.0"/>
    <col customWidth="1" min="9" max="9" width="1.88"/>
    <col customWidth="1" min="10" max="10" width="13.63"/>
    <col customWidth="1" min="11" max="11" width="11.0"/>
    <col customWidth="1" min="12" max="12" width="57.5"/>
  </cols>
  <sheetData>
    <row r="1">
      <c r="A1" s="158" t="s">
        <v>1964</v>
      </c>
      <c r="B1" s="134"/>
      <c r="C1" s="32"/>
      <c r="D1" s="158" t="s">
        <v>1966</v>
      </c>
      <c r="E1" s="134"/>
      <c r="F1" s="32"/>
      <c r="G1" s="158" t="s">
        <v>1967</v>
      </c>
      <c r="H1" s="134"/>
      <c r="I1" s="32"/>
      <c r="J1" s="158" t="s">
        <v>1969</v>
      </c>
      <c r="K1" s="134"/>
      <c r="L1" s="161" t="s">
        <v>1972</v>
      </c>
    </row>
    <row r="2">
      <c r="A2" s="163" t="s">
        <v>362</v>
      </c>
      <c r="B2" s="165" t="s">
        <v>957</v>
      </c>
      <c r="C2" s="32"/>
      <c r="D2" s="163" t="s">
        <v>396</v>
      </c>
      <c r="E2" s="165" t="s">
        <v>970</v>
      </c>
      <c r="F2" s="32"/>
      <c r="G2" s="163" t="s">
        <v>780</v>
      </c>
      <c r="H2" s="165" t="s">
        <v>1976</v>
      </c>
      <c r="I2" s="32"/>
      <c r="J2" s="163" t="s">
        <v>362</v>
      </c>
      <c r="K2" s="165" t="s">
        <v>957</v>
      </c>
    </row>
    <row r="3">
      <c r="A3" s="163" t="s">
        <v>912</v>
      </c>
      <c r="B3" s="165" t="s">
        <v>1976</v>
      </c>
      <c r="C3" s="32"/>
      <c r="D3" s="163" t="s">
        <v>372</v>
      </c>
      <c r="E3" s="165" t="s">
        <v>1979</v>
      </c>
      <c r="F3" s="32"/>
      <c r="G3" s="163" t="s">
        <v>810</v>
      </c>
      <c r="H3" s="165" t="s">
        <v>964</v>
      </c>
      <c r="I3" s="32"/>
      <c r="J3" s="163" t="s">
        <v>830</v>
      </c>
      <c r="K3" s="165" t="s">
        <v>1982</v>
      </c>
    </row>
    <row r="4">
      <c r="A4" s="163" t="s">
        <v>555</v>
      </c>
      <c r="B4" s="165" t="s">
        <v>626</v>
      </c>
      <c r="C4" s="32"/>
      <c r="D4" s="163" t="s">
        <v>917</v>
      </c>
      <c r="E4" s="165" t="s">
        <v>626</v>
      </c>
      <c r="F4" s="32"/>
      <c r="G4" s="163" t="s">
        <v>918</v>
      </c>
      <c r="H4" s="165" t="s">
        <v>626</v>
      </c>
      <c r="I4" s="32"/>
      <c r="J4" s="163" t="s">
        <v>108</v>
      </c>
      <c r="K4" s="165" t="s">
        <v>1984</v>
      </c>
    </row>
    <row r="5">
      <c r="A5" s="163" t="s">
        <v>1131</v>
      </c>
      <c r="B5" s="165" t="s">
        <v>964</v>
      </c>
      <c r="C5" s="32"/>
      <c r="D5" s="163" t="s">
        <v>1223</v>
      </c>
      <c r="E5" s="165" t="s">
        <v>1985</v>
      </c>
      <c r="F5" s="32"/>
      <c r="G5" s="163" t="s">
        <v>910</v>
      </c>
      <c r="H5" s="165" t="s">
        <v>970</v>
      </c>
      <c r="I5" s="32"/>
      <c r="J5" s="163" t="s">
        <v>519</v>
      </c>
      <c r="K5" s="165" t="s">
        <v>1976</v>
      </c>
    </row>
    <row r="6">
      <c r="A6" s="163" t="s">
        <v>376</v>
      </c>
      <c r="B6" s="165" t="s">
        <v>935</v>
      </c>
      <c r="C6" s="32"/>
      <c r="D6" s="163" t="s">
        <v>1271</v>
      </c>
      <c r="E6" s="165" t="s">
        <v>1982</v>
      </c>
      <c r="F6" s="32"/>
      <c r="G6" s="163" t="s">
        <v>1053</v>
      </c>
      <c r="H6" s="165" t="s">
        <v>1985</v>
      </c>
      <c r="I6" s="32"/>
      <c r="J6" s="163" t="s">
        <v>392</v>
      </c>
      <c r="K6" s="165" t="s">
        <v>1979</v>
      </c>
    </row>
    <row r="7">
      <c r="A7" s="166" t="s">
        <v>403</v>
      </c>
      <c r="B7" s="168" t="s">
        <v>1979</v>
      </c>
      <c r="C7" s="32"/>
      <c r="D7" s="166" t="s">
        <v>1041</v>
      </c>
      <c r="E7" s="168" t="s">
        <v>964</v>
      </c>
      <c r="F7" s="32"/>
      <c r="G7" s="166" t="s">
        <v>403</v>
      </c>
      <c r="H7" s="168" t="s">
        <v>1979</v>
      </c>
      <c r="I7" s="32"/>
      <c r="J7" s="166" t="s">
        <v>374</v>
      </c>
      <c r="K7" s="168" t="s">
        <v>969</v>
      </c>
    </row>
    <row r="8" ht="8.25" customHeight="1">
      <c r="A8" s="32"/>
      <c r="B8" s="170" t="s">
        <v>1990</v>
      </c>
      <c r="C8" s="32"/>
      <c r="D8" s="32"/>
      <c r="E8" s="32"/>
      <c r="F8" s="32"/>
      <c r="G8" s="32"/>
      <c r="H8" s="32"/>
      <c r="I8" s="32"/>
      <c r="J8" s="32"/>
      <c r="K8" s="32"/>
    </row>
    <row r="9">
      <c r="A9" s="158" t="s">
        <v>1992</v>
      </c>
      <c r="B9" s="134"/>
      <c r="C9" s="32"/>
      <c r="D9" s="158" t="s">
        <v>1993</v>
      </c>
      <c r="E9" s="134"/>
      <c r="F9" s="32"/>
      <c r="G9" s="158" t="s">
        <v>1995</v>
      </c>
      <c r="H9" s="134"/>
      <c r="I9" s="32"/>
      <c r="J9" s="158" t="s">
        <v>1997</v>
      </c>
      <c r="K9" s="134"/>
    </row>
    <row r="10">
      <c r="A10" s="163" t="s">
        <v>148</v>
      </c>
      <c r="B10" s="165" t="s">
        <v>964</v>
      </c>
      <c r="C10" s="32"/>
      <c r="D10" s="163" t="s">
        <v>400</v>
      </c>
      <c r="E10" s="165" t="s">
        <v>969</v>
      </c>
      <c r="F10" s="32"/>
      <c r="G10" s="163" t="s">
        <v>148</v>
      </c>
      <c r="H10" s="165" t="s">
        <v>964</v>
      </c>
      <c r="I10" s="32"/>
      <c r="J10" s="163" t="s">
        <v>392</v>
      </c>
      <c r="K10" s="165" t="s">
        <v>964</v>
      </c>
    </row>
    <row r="11">
      <c r="A11" s="163" t="s">
        <v>744</v>
      </c>
      <c r="B11" s="165" t="s">
        <v>950</v>
      </c>
      <c r="C11" s="32"/>
      <c r="D11" s="163" t="s">
        <v>1162</v>
      </c>
      <c r="E11" s="165" t="s">
        <v>964</v>
      </c>
      <c r="F11" s="32"/>
      <c r="G11" s="163" t="s">
        <v>733</v>
      </c>
      <c r="H11" s="165" t="s">
        <v>1979</v>
      </c>
      <c r="I11" s="32"/>
      <c r="J11" s="163" t="s">
        <v>1100</v>
      </c>
      <c r="K11" s="165" t="s">
        <v>1979</v>
      </c>
    </row>
    <row r="12">
      <c r="A12" s="163" t="s">
        <v>108</v>
      </c>
      <c r="B12" s="165" t="s">
        <v>1984</v>
      </c>
      <c r="C12" s="32"/>
      <c r="D12" s="163" t="s">
        <v>784</v>
      </c>
      <c r="E12" s="165" t="s">
        <v>1976</v>
      </c>
      <c r="F12" s="32"/>
      <c r="G12" s="163" t="s">
        <v>108</v>
      </c>
      <c r="H12" s="165" t="s">
        <v>1984</v>
      </c>
      <c r="I12" s="32"/>
      <c r="J12" s="163" t="s">
        <v>374</v>
      </c>
      <c r="K12" s="165" t="s">
        <v>1984</v>
      </c>
    </row>
    <row r="13">
      <c r="A13" s="163" t="s">
        <v>934</v>
      </c>
      <c r="B13" s="165" t="s">
        <v>1976</v>
      </c>
      <c r="C13" s="32"/>
      <c r="D13" s="163" t="s">
        <v>378</v>
      </c>
      <c r="E13" s="165" t="s">
        <v>1985</v>
      </c>
      <c r="F13" s="32"/>
      <c r="G13" s="163" t="s">
        <v>720</v>
      </c>
      <c r="H13" s="165" t="s">
        <v>969</v>
      </c>
      <c r="I13" s="32"/>
      <c r="J13" s="163" t="s">
        <v>1093</v>
      </c>
      <c r="K13" s="165" t="s">
        <v>969</v>
      </c>
    </row>
    <row r="14">
      <c r="A14" s="163" t="s">
        <v>888</v>
      </c>
      <c r="B14" s="165" t="s">
        <v>969</v>
      </c>
      <c r="C14" s="32"/>
      <c r="D14" s="163" t="s">
        <v>414</v>
      </c>
      <c r="E14" s="165" t="s">
        <v>1979</v>
      </c>
      <c r="F14" s="32"/>
      <c r="G14" s="163" t="s">
        <v>131</v>
      </c>
      <c r="H14" s="165" t="s">
        <v>950</v>
      </c>
      <c r="I14" s="32"/>
      <c r="J14" s="163" t="s">
        <v>362</v>
      </c>
      <c r="K14" s="165" t="s">
        <v>950</v>
      </c>
    </row>
    <row r="15">
      <c r="A15" s="166" t="s">
        <v>131</v>
      </c>
      <c r="B15" s="168" t="s">
        <v>957</v>
      </c>
      <c r="C15" s="32"/>
      <c r="D15" s="166" t="s">
        <v>1274</v>
      </c>
      <c r="E15" s="168" t="s">
        <v>1982</v>
      </c>
      <c r="F15" s="32"/>
      <c r="G15" s="166" t="s">
        <v>744</v>
      </c>
      <c r="H15" s="168" t="s">
        <v>957</v>
      </c>
      <c r="I15" s="32"/>
      <c r="J15" s="166" t="s">
        <v>1107</v>
      </c>
      <c r="K15" s="168" t="s">
        <v>957</v>
      </c>
    </row>
    <row r="16" ht="13.5" customHeight="1">
      <c r="A16" s="171"/>
    </row>
    <row r="17">
      <c r="A17" s="158" t="s">
        <v>2019</v>
      </c>
      <c r="B17" s="134"/>
      <c r="C17" s="32"/>
      <c r="D17" s="158" t="s">
        <v>2020</v>
      </c>
      <c r="E17" s="134"/>
      <c r="F17" s="32"/>
      <c r="G17" s="158" t="s">
        <v>2022</v>
      </c>
      <c r="H17" s="134"/>
      <c r="I17" s="32"/>
      <c r="J17" s="158" t="s">
        <v>2025</v>
      </c>
      <c r="K17" s="134"/>
    </row>
    <row r="18">
      <c r="A18" s="163" t="s">
        <v>1042</v>
      </c>
      <c r="B18" s="165" t="s">
        <v>957</v>
      </c>
      <c r="C18" s="32"/>
      <c r="D18" s="163" t="s">
        <v>804</v>
      </c>
      <c r="E18" s="165" t="s">
        <v>1979</v>
      </c>
      <c r="F18" s="32"/>
      <c r="G18" s="163" t="s">
        <v>1031</v>
      </c>
      <c r="H18" s="165" t="s">
        <v>1979</v>
      </c>
      <c r="I18" s="32"/>
      <c r="J18" s="163" t="s">
        <v>1078</v>
      </c>
      <c r="K18" s="165" t="s">
        <v>2032</v>
      </c>
    </row>
    <row r="19">
      <c r="A19" s="163" t="s">
        <v>830</v>
      </c>
      <c r="B19" s="165" t="s">
        <v>1982</v>
      </c>
      <c r="C19" s="32"/>
      <c r="D19" s="163" t="s">
        <v>888</v>
      </c>
      <c r="E19" s="165" t="s">
        <v>969</v>
      </c>
      <c r="F19" s="32"/>
      <c r="G19" s="163" t="s">
        <v>1067</v>
      </c>
      <c r="H19" s="165" t="s">
        <v>1982</v>
      </c>
      <c r="I19" s="32"/>
      <c r="J19" s="163" t="s">
        <v>841</v>
      </c>
      <c r="K19" s="165" t="s">
        <v>1979</v>
      </c>
    </row>
    <row r="20">
      <c r="A20" s="163" t="s">
        <v>861</v>
      </c>
      <c r="B20" s="165" t="s">
        <v>1984</v>
      </c>
      <c r="C20" s="32"/>
      <c r="D20" s="163" t="s">
        <v>1065</v>
      </c>
      <c r="E20" s="165" t="s">
        <v>950</v>
      </c>
      <c r="F20" s="32"/>
      <c r="G20" s="163" t="s">
        <v>2037</v>
      </c>
      <c r="H20" s="165" t="s">
        <v>626</v>
      </c>
      <c r="I20" s="32"/>
      <c r="J20" s="163" t="s">
        <v>1205</v>
      </c>
      <c r="K20" s="165" t="s">
        <v>970</v>
      </c>
    </row>
    <row r="21">
      <c r="A21" s="163" t="s">
        <v>1276</v>
      </c>
      <c r="B21" s="165" t="s">
        <v>2032</v>
      </c>
      <c r="C21" s="32"/>
      <c r="D21" s="163" t="s">
        <v>1062</v>
      </c>
      <c r="E21" s="165" t="s">
        <v>957</v>
      </c>
      <c r="F21" s="32"/>
      <c r="G21" s="163" t="s">
        <v>1314</v>
      </c>
      <c r="H21" s="165" t="s">
        <v>950</v>
      </c>
      <c r="I21" s="32"/>
      <c r="J21" s="163" t="s">
        <v>1034</v>
      </c>
      <c r="K21" s="165" t="s">
        <v>1984</v>
      </c>
    </row>
    <row r="22">
      <c r="A22" s="163" t="s">
        <v>760</v>
      </c>
      <c r="B22" s="165" t="s">
        <v>964</v>
      </c>
      <c r="C22" s="32"/>
      <c r="D22" s="163" t="s">
        <v>760</v>
      </c>
      <c r="E22" s="165" t="s">
        <v>964</v>
      </c>
      <c r="F22" s="32"/>
      <c r="G22" s="163" t="s">
        <v>1206</v>
      </c>
      <c r="H22" s="165" t="s">
        <v>2032</v>
      </c>
      <c r="I22" s="32"/>
      <c r="J22" s="163" t="s">
        <v>1038</v>
      </c>
      <c r="K22" s="165" t="s">
        <v>1982</v>
      </c>
    </row>
    <row r="23">
      <c r="A23" s="166" t="s">
        <v>1233</v>
      </c>
      <c r="B23" s="168" t="s">
        <v>969</v>
      </c>
      <c r="C23" s="32"/>
      <c r="D23" s="166" t="s">
        <v>1162</v>
      </c>
      <c r="E23" s="168" t="s">
        <v>1976</v>
      </c>
      <c r="F23" s="32"/>
      <c r="G23" s="166" t="s">
        <v>1210</v>
      </c>
      <c r="H23" s="168" t="s">
        <v>970</v>
      </c>
      <c r="I23" s="32"/>
      <c r="J23" s="166" t="s">
        <v>1270</v>
      </c>
      <c r="K23" s="168" t="s">
        <v>969</v>
      </c>
    </row>
    <row r="24" ht="11.25" customHeight="1">
      <c r="A24" s="171"/>
    </row>
    <row r="25">
      <c r="A25" s="158" t="s">
        <v>2053</v>
      </c>
      <c r="B25" s="134"/>
      <c r="C25" s="172" t="s">
        <v>2055</v>
      </c>
    </row>
    <row r="26">
      <c r="A26" s="163" t="s">
        <v>793</v>
      </c>
      <c r="B26" s="165" t="s">
        <v>1976</v>
      </c>
    </row>
    <row r="27">
      <c r="A27" s="163" t="s">
        <v>830</v>
      </c>
      <c r="B27" s="165" t="s">
        <v>406</v>
      </c>
    </row>
    <row r="28">
      <c r="A28" s="163" t="s">
        <v>997</v>
      </c>
      <c r="B28" s="165" t="s">
        <v>950</v>
      </c>
    </row>
    <row r="29">
      <c r="A29" s="163" t="s">
        <v>798</v>
      </c>
      <c r="B29" s="165" t="s">
        <v>1985</v>
      </c>
    </row>
    <row r="30">
      <c r="A30" s="163" t="s">
        <v>1002</v>
      </c>
      <c r="B30" s="165" t="s">
        <v>1982</v>
      </c>
    </row>
    <row r="31">
      <c r="A31" s="166" t="s">
        <v>826</v>
      </c>
      <c r="B31" s="169" t="s">
        <v>505</v>
      </c>
    </row>
  </sheetData>
  <mergeCells count="17">
    <mergeCell ref="G9:H9"/>
    <mergeCell ref="J9:K9"/>
    <mergeCell ref="A16:K16"/>
    <mergeCell ref="A17:B17"/>
    <mergeCell ref="D17:E17"/>
    <mergeCell ref="G17:H17"/>
    <mergeCell ref="J17:K17"/>
    <mergeCell ref="A24:K24"/>
    <mergeCell ref="A25:B25"/>
    <mergeCell ref="A1:B1"/>
    <mergeCell ref="D1:E1"/>
    <mergeCell ref="G1:H1"/>
    <mergeCell ref="J1:K1"/>
    <mergeCell ref="L1:L31"/>
    <mergeCell ref="A9:B9"/>
    <mergeCell ref="D9:E9"/>
    <mergeCell ref="C25:K31"/>
  </mergeCells>
  <hyperlinks>
    <hyperlink r:id="rId1" ref="L1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4.5"/>
    <col customWidth="1" min="3" max="3" width="2.13"/>
    <col customWidth="1" min="4" max="4" width="13.75"/>
    <col customWidth="1" min="5" max="5" width="12.88"/>
    <col customWidth="1" min="6" max="6" width="2.25"/>
    <col customWidth="1" min="7" max="7" width="14.13"/>
    <col customWidth="1" min="8" max="8" width="17.0"/>
    <col customWidth="1" min="9" max="9" width="1.88"/>
    <col customWidth="1" min="10" max="10" width="13.63"/>
    <col customWidth="1" min="11" max="11" width="12.88"/>
    <col customWidth="1" min="12" max="12" width="60.88"/>
  </cols>
  <sheetData>
    <row r="1">
      <c r="A1" s="159" t="s">
        <v>1965</v>
      </c>
      <c r="B1" s="134"/>
      <c r="C1" s="32"/>
      <c r="D1" s="159" t="s">
        <v>1968</v>
      </c>
      <c r="E1" s="134"/>
      <c r="F1" s="32"/>
      <c r="G1" s="159" t="s">
        <v>1970</v>
      </c>
      <c r="H1" s="134"/>
      <c r="I1" s="32"/>
      <c r="J1" s="159" t="s">
        <v>1971</v>
      </c>
      <c r="K1" s="134"/>
      <c r="L1" s="160" t="s">
        <v>1973</v>
      </c>
    </row>
    <row r="2">
      <c r="A2" s="162" t="s">
        <v>979</v>
      </c>
      <c r="B2" s="164" t="s">
        <v>736</v>
      </c>
      <c r="C2" s="32"/>
      <c r="D2" s="162" t="s">
        <v>1974</v>
      </c>
      <c r="E2" s="164" t="s">
        <v>1975</v>
      </c>
      <c r="F2" s="32"/>
      <c r="G2" s="162" t="s">
        <v>939</v>
      </c>
      <c r="H2" s="164" t="s">
        <v>1977</v>
      </c>
      <c r="I2" s="32"/>
      <c r="J2" s="162" t="s">
        <v>958</v>
      </c>
      <c r="K2" s="164" t="s">
        <v>1978</v>
      </c>
    </row>
    <row r="3">
      <c r="A3" s="162" t="s">
        <v>944</v>
      </c>
      <c r="B3" s="164" t="s">
        <v>1980</v>
      </c>
      <c r="C3" s="32"/>
      <c r="D3" s="162" t="s">
        <v>1981</v>
      </c>
      <c r="E3" s="164" t="s">
        <v>1975</v>
      </c>
      <c r="F3" s="32"/>
      <c r="G3" s="162" t="s">
        <v>948</v>
      </c>
      <c r="H3" s="164" t="s">
        <v>725</v>
      </c>
      <c r="I3" s="32"/>
      <c r="J3" s="162" t="s">
        <v>975</v>
      </c>
      <c r="K3" s="164" t="s">
        <v>1978</v>
      </c>
    </row>
    <row r="4">
      <c r="A4" s="162" t="s">
        <v>953</v>
      </c>
      <c r="B4" s="164" t="s">
        <v>1980</v>
      </c>
      <c r="C4" s="32"/>
      <c r="D4" s="162" t="s">
        <v>1983</v>
      </c>
      <c r="E4" s="164" t="s">
        <v>1975</v>
      </c>
      <c r="F4" s="32"/>
      <c r="G4" s="162" t="s">
        <v>966</v>
      </c>
      <c r="H4" s="164" t="s">
        <v>708</v>
      </c>
      <c r="I4" s="32"/>
      <c r="J4" s="162" t="s">
        <v>950</v>
      </c>
      <c r="K4" s="164" t="s">
        <v>1978</v>
      </c>
    </row>
    <row r="5">
      <c r="A5" s="162" t="s">
        <v>992</v>
      </c>
      <c r="B5" s="164" t="s">
        <v>1980</v>
      </c>
      <c r="C5" s="32"/>
      <c r="D5" s="162" t="s">
        <v>947</v>
      </c>
      <c r="E5" s="164" t="s">
        <v>1975</v>
      </c>
      <c r="F5" s="32"/>
      <c r="G5" s="162" t="s">
        <v>986</v>
      </c>
      <c r="H5" s="164" t="s">
        <v>725</v>
      </c>
      <c r="I5" s="32"/>
      <c r="J5" s="162" t="s">
        <v>940</v>
      </c>
      <c r="K5" s="164" t="s">
        <v>1986</v>
      </c>
    </row>
    <row r="6">
      <c r="A6" s="162" t="s">
        <v>962</v>
      </c>
      <c r="B6" s="164" t="s">
        <v>1980</v>
      </c>
      <c r="C6" s="32"/>
      <c r="D6" s="162" t="s">
        <v>1979</v>
      </c>
      <c r="E6" s="164" t="s">
        <v>1975</v>
      </c>
      <c r="F6" s="32"/>
      <c r="G6" s="162" t="s">
        <v>957</v>
      </c>
      <c r="H6" s="164" t="s">
        <v>725</v>
      </c>
      <c r="I6" s="32"/>
      <c r="J6" s="162" t="s">
        <v>1987</v>
      </c>
      <c r="K6" s="164" t="s">
        <v>1978</v>
      </c>
    </row>
    <row r="7">
      <c r="A7" s="167" t="s">
        <v>969</v>
      </c>
      <c r="B7" s="169" t="s">
        <v>1980</v>
      </c>
      <c r="C7" s="32"/>
      <c r="D7" s="167" t="s">
        <v>937</v>
      </c>
      <c r="E7" s="169" t="s">
        <v>1975</v>
      </c>
      <c r="F7" s="32"/>
      <c r="G7" s="167" t="s">
        <v>974</v>
      </c>
      <c r="H7" s="169" t="s">
        <v>725</v>
      </c>
      <c r="I7" s="32"/>
      <c r="J7" s="167" t="s">
        <v>1988</v>
      </c>
      <c r="K7" s="169" t="s">
        <v>1989</v>
      </c>
    </row>
    <row r="8" ht="8.25" customHeight="1">
      <c r="A8" s="32"/>
      <c r="B8" s="170" t="s">
        <v>1990</v>
      </c>
      <c r="C8" s="32"/>
      <c r="D8" s="32"/>
      <c r="E8" s="32"/>
      <c r="F8" s="32"/>
      <c r="G8" s="32"/>
      <c r="H8" s="32"/>
      <c r="I8" s="32"/>
      <c r="J8" s="32"/>
      <c r="K8" s="32"/>
    </row>
    <row r="9">
      <c r="A9" s="159" t="s">
        <v>1991</v>
      </c>
      <c r="B9" s="134"/>
      <c r="C9" s="32"/>
      <c r="D9" s="159" t="s">
        <v>1994</v>
      </c>
      <c r="E9" s="134"/>
      <c r="F9" s="32"/>
      <c r="G9" s="159" t="s">
        <v>1996</v>
      </c>
      <c r="H9" s="134"/>
      <c r="I9" s="32"/>
      <c r="J9" s="159" t="s">
        <v>1998</v>
      </c>
      <c r="K9" s="134"/>
    </row>
    <row r="10">
      <c r="A10" s="162" t="s">
        <v>1999</v>
      </c>
      <c r="B10" s="164" t="s">
        <v>1977</v>
      </c>
      <c r="C10" s="32"/>
      <c r="D10" s="162" t="s">
        <v>1979</v>
      </c>
      <c r="E10" s="164" t="s">
        <v>1975</v>
      </c>
      <c r="F10" s="32"/>
      <c r="G10" s="162" t="s">
        <v>403</v>
      </c>
      <c r="H10" s="164" t="s">
        <v>2000</v>
      </c>
      <c r="I10" s="32"/>
      <c r="J10" s="162" t="s">
        <v>2001</v>
      </c>
      <c r="K10" s="164" t="s">
        <v>710</v>
      </c>
    </row>
    <row r="11">
      <c r="A11" s="162" t="s">
        <v>2002</v>
      </c>
      <c r="B11" s="164" t="s">
        <v>2003</v>
      </c>
      <c r="C11" s="32"/>
      <c r="D11" s="162" t="s">
        <v>943</v>
      </c>
      <c r="E11" s="164" t="s">
        <v>2004</v>
      </c>
      <c r="F11" s="32"/>
      <c r="G11" s="162" t="s">
        <v>2005</v>
      </c>
      <c r="H11" s="164" t="s">
        <v>2006</v>
      </c>
      <c r="I11" s="32"/>
      <c r="J11" s="162" t="s">
        <v>939</v>
      </c>
      <c r="K11" s="164" t="s">
        <v>1977</v>
      </c>
    </row>
    <row r="12">
      <c r="A12" s="162" t="s">
        <v>1985</v>
      </c>
      <c r="B12" s="164" t="s">
        <v>2007</v>
      </c>
      <c r="C12" s="32"/>
      <c r="D12" s="162" t="s">
        <v>968</v>
      </c>
      <c r="E12" s="164" t="s">
        <v>2004</v>
      </c>
      <c r="F12" s="32"/>
      <c r="G12" s="162" t="s">
        <v>665</v>
      </c>
      <c r="H12" s="164" t="s">
        <v>2006</v>
      </c>
      <c r="I12" s="32"/>
      <c r="J12" s="162" t="s">
        <v>2008</v>
      </c>
      <c r="K12" s="164" t="s">
        <v>2009</v>
      </c>
    </row>
    <row r="13">
      <c r="A13" s="162" t="s">
        <v>1981</v>
      </c>
      <c r="B13" s="164" t="s">
        <v>2003</v>
      </c>
      <c r="C13" s="32"/>
      <c r="D13" s="162" t="s">
        <v>940</v>
      </c>
      <c r="E13" s="164" t="s">
        <v>1986</v>
      </c>
      <c r="F13" s="32"/>
      <c r="G13" s="162" t="s">
        <v>2010</v>
      </c>
      <c r="H13" s="164" t="s">
        <v>2000</v>
      </c>
      <c r="I13" s="32"/>
      <c r="J13" s="162" t="s">
        <v>980</v>
      </c>
      <c r="K13" s="164" t="s">
        <v>2011</v>
      </c>
    </row>
    <row r="14">
      <c r="A14" s="162" t="s">
        <v>2012</v>
      </c>
      <c r="B14" s="164" t="s">
        <v>2003</v>
      </c>
      <c r="C14" s="32"/>
      <c r="D14" s="162" t="s">
        <v>977</v>
      </c>
      <c r="E14" s="164" t="s">
        <v>2013</v>
      </c>
      <c r="F14" s="32"/>
      <c r="G14" s="162" t="s">
        <v>2014</v>
      </c>
      <c r="H14" s="164" t="s">
        <v>2006</v>
      </c>
      <c r="I14" s="32"/>
      <c r="J14" s="162" t="s">
        <v>2015</v>
      </c>
      <c r="K14" s="164" t="s">
        <v>710</v>
      </c>
    </row>
    <row r="15">
      <c r="A15" s="167" t="s">
        <v>2005</v>
      </c>
      <c r="B15" s="169" t="s">
        <v>2006</v>
      </c>
      <c r="C15" s="32"/>
      <c r="D15" s="167" t="s">
        <v>952</v>
      </c>
      <c r="E15" s="169" t="s">
        <v>2016</v>
      </c>
      <c r="F15" s="32"/>
      <c r="G15" s="167" t="s">
        <v>2017</v>
      </c>
      <c r="H15" s="169" t="s">
        <v>2018</v>
      </c>
      <c r="I15" s="32"/>
      <c r="J15" s="167" t="s">
        <v>626</v>
      </c>
      <c r="K15" s="169" t="s">
        <v>710</v>
      </c>
    </row>
    <row r="16" ht="13.5" customHeight="1">
      <c r="A16" s="171"/>
    </row>
    <row r="17">
      <c r="A17" s="159" t="s">
        <v>2021</v>
      </c>
      <c r="B17" s="134"/>
      <c r="C17" s="32"/>
      <c r="D17" s="159" t="s">
        <v>2023</v>
      </c>
      <c r="E17" s="134"/>
      <c r="F17" s="32"/>
      <c r="G17" s="159" t="s">
        <v>2024</v>
      </c>
      <c r="H17" s="134"/>
      <c r="I17" s="32"/>
      <c r="J17" s="159" t="s">
        <v>2026</v>
      </c>
      <c r="K17" s="134"/>
    </row>
    <row r="18">
      <c r="A18" s="162" t="s">
        <v>2027</v>
      </c>
      <c r="B18" s="164" t="s">
        <v>708</v>
      </c>
      <c r="C18" s="32"/>
      <c r="D18" s="162" t="s">
        <v>951</v>
      </c>
      <c r="E18" s="164" t="s">
        <v>2028</v>
      </c>
      <c r="F18" s="32"/>
      <c r="G18" s="162" t="s">
        <v>2029</v>
      </c>
      <c r="H18" s="164" t="s">
        <v>2030</v>
      </c>
      <c r="I18" s="32"/>
      <c r="J18" s="162" t="s">
        <v>2031</v>
      </c>
      <c r="K18" s="164" t="s">
        <v>2033</v>
      </c>
    </row>
    <row r="19">
      <c r="A19" s="162" t="s">
        <v>964</v>
      </c>
      <c r="B19" s="164" t="s">
        <v>2034</v>
      </c>
      <c r="C19" s="32"/>
      <c r="D19" s="162" t="s">
        <v>942</v>
      </c>
      <c r="E19" s="164" t="s">
        <v>2028</v>
      </c>
      <c r="F19" s="32"/>
      <c r="G19" s="162" t="s">
        <v>988</v>
      </c>
      <c r="H19" s="164" t="s">
        <v>2030</v>
      </c>
      <c r="I19" s="32"/>
      <c r="J19" s="162" t="s">
        <v>2035</v>
      </c>
      <c r="K19" s="164" t="s">
        <v>2033</v>
      </c>
    </row>
    <row r="20">
      <c r="A20" s="162" t="s">
        <v>2014</v>
      </c>
      <c r="B20" s="164" t="s">
        <v>2006</v>
      </c>
      <c r="C20" s="32"/>
      <c r="D20" s="162" t="s">
        <v>935</v>
      </c>
      <c r="E20" s="164" t="s">
        <v>2036</v>
      </c>
      <c r="F20" s="32"/>
      <c r="G20" s="162" t="s">
        <v>942</v>
      </c>
      <c r="H20" s="164" t="s">
        <v>2028</v>
      </c>
      <c r="I20" s="32"/>
      <c r="J20" s="162" t="s">
        <v>2038</v>
      </c>
      <c r="K20" s="164" t="s">
        <v>2039</v>
      </c>
    </row>
    <row r="21">
      <c r="A21" s="162" t="s">
        <v>2040</v>
      </c>
      <c r="B21" s="164" t="s">
        <v>2041</v>
      </c>
      <c r="C21" s="32"/>
      <c r="D21" s="162" t="s">
        <v>1976</v>
      </c>
      <c r="E21" s="164" t="s">
        <v>2036</v>
      </c>
      <c r="F21" s="32"/>
      <c r="G21" s="162" t="s">
        <v>959</v>
      </c>
      <c r="H21" s="164" t="s">
        <v>2042</v>
      </c>
      <c r="I21" s="32"/>
      <c r="J21" s="162" t="s">
        <v>2043</v>
      </c>
      <c r="K21" s="164" t="s">
        <v>2033</v>
      </c>
    </row>
    <row r="22">
      <c r="A22" s="162" t="s">
        <v>2044</v>
      </c>
      <c r="B22" s="164" t="s">
        <v>708</v>
      </c>
      <c r="C22" s="32"/>
      <c r="D22" s="162" t="s">
        <v>2045</v>
      </c>
      <c r="E22" s="164" t="s">
        <v>2036</v>
      </c>
      <c r="F22" s="32"/>
      <c r="G22" s="162" t="s">
        <v>2046</v>
      </c>
      <c r="H22" s="164" t="s">
        <v>2047</v>
      </c>
      <c r="I22" s="32"/>
      <c r="J22" s="162" t="s">
        <v>2048</v>
      </c>
      <c r="K22" s="164" t="s">
        <v>2049</v>
      </c>
    </row>
    <row r="23">
      <c r="A23" s="167" t="s">
        <v>955</v>
      </c>
      <c r="B23" s="169" t="s">
        <v>2050</v>
      </c>
      <c r="C23" s="32"/>
      <c r="D23" s="167" t="s">
        <v>963</v>
      </c>
      <c r="E23" s="169" t="s">
        <v>2036</v>
      </c>
      <c r="F23" s="32"/>
      <c r="G23" s="167" t="s">
        <v>975</v>
      </c>
      <c r="H23" s="169" t="s">
        <v>2051</v>
      </c>
      <c r="I23" s="32"/>
      <c r="J23" s="167" t="s">
        <v>2052</v>
      </c>
      <c r="K23" s="169" t="s">
        <v>2033</v>
      </c>
    </row>
    <row r="24" ht="11.25" customHeight="1">
      <c r="A24" s="171"/>
    </row>
    <row r="25">
      <c r="A25" s="159" t="s">
        <v>2054</v>
      </c>
      <c r="B25" s="134"/>
      <c r="C25" s="172"/>
    </row>
    <row r="26">
      <c r="A26" s="162" t="s">
        <v>2015</v>
      </c>
      <c r="B26" s="164" t="s">
        <v>710</v>
      </c>
    </row>
    <row r="27">
      <c r="A27" s="162" t="s">
        <v>2056</v>
      </c>
      <c r="B27" s="164" t="s">
        <v>2057</v>
      </c>
    </row>
    <row r="28">
      <c r="A28" s="162" t="s">
        <v>2058</v>
      </c>
      <c r="B28" s="164" t="s">
        <v>736</v>
      </c>
    </row>
    <row r="29">
      <c r="A29" s="162" t="s">
        <v>2001</v>
      </c>
      <c r="B29" s="164" t="s">
        <v>710</v>
      </c>
    </row>
    <row r="30">
      <c r="A30" s="162" t="s">
        <v>2059</v>
      </c>
      <c r="B30" s="164" t="s">
        <v>2060</v>
      </c>
    </row>
    <row r="31">
      <c r="A31" s="167" t="s">
        <v>2038</v>
      </c>
      <c r="B31" s="169" t="s">
        <v>2039</v>
      </c>
    </row>
  </sheetData>
  <mergeCells count="17">
    <mergeCell ref="G9:H9"/>
    <mergeCell ref="J9:K9"/>
    <mergeCell ref="A16:K16"/>
    <mergeCell ref="A17:B17"/>
    <mergeCell ref="D17:E17"/>
    <mergeCell ref="G17:H17"/>
    <mergeCell ref="J17:K17"/>
    <mergeCell ref="A24:K24"/>
    <mergeCell ref="A25:B25"/>
    <mergeCell ref="A1:B1"/>
    <mergeCell ref="D1:E1"/>
    <mergeCell ref="G1:H1"/>
    <mergeCell ref="J1:K1"/>
    <mergeCell ref="L1:L31"/>
    <mergeCell ref="A9:B9"/>
    <mergeCell ref="D9:E9"/>
    <mergeCell ref="C25:K31"/>
  </mergeCells>
  <hyperlinks>
    <hyperlink r:id="rId1" ref="L1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3" width="16.38"/>
    <col customWidth="1" min="4" max="4" width="2.63"/>
    <col customWidth="1" min="5" max="5" width="27.88"/>
    <col customWidth="1" min="6" max="6" width="2.0"/>
    <col customWidth="1" min="7" max="7" width="49.25"/>
    <col customWidth="1" min="8" max="9" width="21.0"/>
  </cols>
  <sheetData>
    <row r="1">
      <c r="A1" s="21" t="str">
        <f>IFERROR(__xludf.DUMMYFUNCTION("IMPORTRANGE(""1ID3qu1P4Zey82OSLntg4O0xoZlY1hGK58tte0D_Cv_s"", ""Medals!A1:C"")"),"Pokemon")</f>
        <v>Pokemon</v>
      </c>
      <c r="B1" s="21" t="str">
        <f>IFERROR(__xludf.DUMMYFUNCTION("""COMPUTED_VALUE"""),"Buff")</f>
        <v>Buff</v>
      </c>
      <c r="C1" s="21" t="str">
        <f>IFERROR(__xludf.DUMMYFUNCTION("""COMPUTED_VALUE"""),"Debuff")</f>
        <v>Debuff</v>
      </c>
      <c r="D1" s="21"/>
      <c r="E1" s="38" t="s">
        <v>445</v>
      </c>
      <c r="F1" s="174"/>
      <c r="G1" s="38" t="str">
        <f>"Medalhas que dão o buff '" &amp; E2 &amp; "'"</f>
        <v>Medalhas que dão o buff 'Damage Boost'</v>
      </c>
      <c r="H1" s="177" t="s">
        <v>445</v>
      </c>
      <c r="I1" s="177" t="s">
        <v>2064</v>
      </c>
    </row>
    <row r="2">
      <c r="A2" s="11" t="str">
        <f>IFERROR(__xludf.DUMMYFUNCTION("""COMPUTED_VALUE"""),"Bulbasaur")</f>
        <v>Bulbasaur</v>
      </c>
      <c r="B2" s="11" t="str">
        <f>IFERROR(__xludf.DUMMYFUNCTION("""COMPUTED_VALUE"""),"Defense Boost")</f>
        <v>Defense Boost</v>
      </c>
      <c r="C2" s="11" t="str">
        <f>IFERROR(__xludf.DUMMYFUNCTION("""COMPUTED_VALUE"""),"Damage Boost")</f>
        <v>Damage Boost</v>
      </c>
      <c r="E2" s="179" t="s">
        <v>2065</v>
      </c>
      <c r="F2" s="42"/>
      <c r="G2" s="43" t="str">
        <f>IFERROR(__xludf.DUMMYFUNCTION("QUERY(A1:C1000, ""SELECT A, B, C WHERE B = '""&amp;E2&amp;""'"")"),"Raticate")</f>
        <v>Raticate</v>
      </c>
      <c r="H2" s="43" t="str">
        <f>IFERROR(__xludf.DUMMYFUNCTION("""COMPUTED_VALUE"""),"Damage Boost")</f>
        <v>Damage Boost</v>
      </c>
      <c r="I2" s="43" t="str">
        <f>IFERROR(__xludf.DUMMYFUNCTION("""COMPUTED_VALUE"""),"Ride Speed")</f>
        <v>Ride Speed</v>
      </c>
    </row>
    <row r="3">
      <c r="A3" s="11" t="str">
        <f>IFERROR(__xludf.DUMMYFUNCTION("""COMPUTED_VALUE"""),"Ivysaur")</f>
        <v>Ivysaur</v>
      </c>
      <c r="B3" s="11" t="str">
        <f>IFERROR(__xludf.DUMMYFUNCTION("""COMPUTED_VALUE"""),"HP Boost")</f>
        <v>HP Boost</v>
      </c>
      <c r="C3" s="11" t="str">
        <f>IFERROR(__xludf.DUMMYFUNCTION("""COMPUTED_VALUE"""),"Pokemon Speed")</f>
        <v>Pokemon Speed</v>
      </c>
      <c r="F3" s="42"/>
      <c r="G3" s="44" t="str">
        <f>IFERROR(__xludf.DUMMYFUNCTION("""COMPUTED_VALUE"""),"Wigglytuff")</f>
        <v>Wigglytuff</v>
      </c>
      <c r="H3" s="44" t="str">
        <f>IFERROR(__xludf.DUMMYFUNCTION("""COMPUTED_VALUE"""),"Damage Boost")</f>
        <v>Damage Boost</v>
      </c>
      <c r="I3" s="44" t="str">
        <f>IFERROR(__xludf.DUMMYFUNCTION("""COMPUTED_VALUE"""),"Ride Speed")</f>
        <v>Ride Speed</v>
      </c>
    </row>
    <row r="4">
      <c r="A4" s="11" t="str">
        <f>IFERROR(__xludf.DUMMYFUNCTION("""COMPUTED_VALUE"""),"Venusaur")</f>
        <v>Venusaur</v>
      </c>
      <c r="B4" s="11" t="str">
        <f>IFERROR(__xludf.DUMMYFUNCTION("""COMPUTED_VALUE"""),"Pokemon Speed")</f>
        <v>Pokemon Speed</v>
      </c>
      <c r="C4" s="11" t="str">
        <f>IFERROR(__xludf.DUMMYFUNCTION("""COMPUTED_VALUE"""),"HP Boost")</f>
        <v>HP Boost</v>
      </c>
      <c r="E4" s="181"/>
      <c r="F4" s="42"/>
      <c r="G4" s="43" t="str">
        <f>IFERROR(__xludf.DUMMYFUNCTION("""COMPUTED_VALUE"""),"Poliwag")</f>
        <v>Poliwag</v>
      </c>
      <c r="H4" s="43" t="str">
        <f>IFERROR(__xludf.DUMMYFUNCTION("""COMPUTED_VALUE"""),"Damage Boost")</f>
        <v>Damage Boost</v>
      </c>
      <c r="I4" s="43" t="str">
        <f>IFERROR(__xludf.DUMMYFUNCTION("""COMPUTED_VALUE"""),"Ride Speed")</f>
        <v>Ride Speed</v>
      </c>
    </row>
    <row r="5">
      <c r="A5" s="11" t="str">
        <f>IFERROR(__xludf.DUMMYFUNCTION("""COMPUTED_VALUE"""),"Charmander")</f>
        <v>Charmander</v>
      </c>
      <c r="B5" s="11" t="str">
        <f>IFERROR(__xludf.DUMMYFUNCTION("""COMPUTED_VALUE"""),"Character Speed")</f>
        <v>Character Speed</v>
      </c>
      <c r="C5" s="11" t="str">
        <f>IFERROR(__xludf.DUMMYFUNCTION("""COMPUTED_VALUE"""),"Pokemon Speed")</f>
        <v>Pokemon Speed</v>
      </c>
      <c r="F5" s="42"/>
      <c r="G5" s="44" t="str">
        <f>IFERROR(__xludf.DUMMYFUNCTION("""COMPUTED_VALUE"""),"Slowbro")</f>
        <v>Slowbro</v>
      </c>
      <c r="H5" s="44" t="str">
        <f>IFERROR(__xludf.DUMMYFUNCTION("""COMPUTED_VALUE"""),"Damage Boost")</f>
        <v>Damage Boost</v>
      </c>
      <c r="I5" s="44" t="str">
        <f>IFERROR(__xludf.DUMMYFUNCTION("""COMPUTED_VALUE"""),"Ride Speed")</f>
        <v>Ride Speed</v>
      </c>
    </row>
    <row r="6">
      <c r="A6" s="11" t="str">
        <f>IFERROR(__xludf.DUMMYFUNCTION("""COMPUTED_VALUE"""),"Charmelion")</f>
        <v>Charmelion</v>
      </c>
      <c r="B6" s="11" t="str">
        <f>IFERROR(__xludf.DUMMYFUNCTION("""COMPUTED_VALUE"""),"Critical Chance")</f>
        <v>Critical Chance</v>
      </c>
      <c r="C6" s="11" t="str">
        <f>IFERROR(__xludf.DUMMYFUNCTION("""COMPUTED_VALUE"""),"Character Speed")</f>
        <v>Character Speed</v>
      </c>
      <c r="F6" s="42"/>
      <c r="G6" s="43" t="str">
        <f>IFERROR(__xludf.DUMMYFUNCTION("""COMPUTED_VALUE"""),"Voltorb")</f>
        <v>Voltorb</v>
      </c>
      <c r="H6" s="43" t="str">
        <f>IFERROR(__xludf.DUMMYFUNCTION("""COMPUTED_VALUE"""),"Damage Boost")</f>
        <v>Damage Boost</v>
      </c>
      <c r="I6" s="43" t="str">
        <f>IFERROR(__xludf.DUMMYFUNCTION("""COMPUTED_VALUE"""),"Ride Speed")</f>
        <v>Ride Speed</v>
      </c>
    </row>
    <row r="7">
      <c r="A7" s="11" t="str">
        <f>IFERROR(__xludf.DUMMYFUNCTION("""COMPUTED_VALUE"""),"Charizard")</f>
        <v>Charizard</v>
      </c>
      <c r="B7" s="11" t="str">
        <f>IFERROR(__xludf.DUMMYFUNCTION("""COMPUTED_VALUE"""),"Critical Damage")</f>
        <v>Critical Damage</v>
      </c>
      <c r="C7" s="11" t="str">
        <f>IFERROR(__xludf.DUMMYFUNCTION("""COMPUTED_VALUE"""),"Defense Boost")</f>
        <v>Defense Boost</v>
      </c>
      <c r="F7" s="42"/>
      <c r="G7" s="44" t="str">
        <f>IFERROR(__xludf.DUMMYFUNCTION("""COMPUTED_VALUE"""),"Staryu")</f>
        <v>Staryu</v>
      </c>
      <c r="H7" s="44" t="str">
        <f>IFERROR(__xludf.DUMMYFUNCTION("""COMPUTED_VALUE"""),"Damage Boost")</f>
        <v>Damage Boost</v>
      </c>
      <c r="I7" s="44" t="str">
        <f>IFERROR(__xludf.DUMMYFUNCTION("""COMPUTED_VALUE"""),"Ride Speed")</f>
        <v>Ride Speed</v>
      </c>
    </row>
    <row r="8">
      <c r="A8" s="11" t="str">
        <f>IFERROR(__xludf.DUMMYFUNCTION("""COMPUTED_VALUE"""),"Squirtle")</f>
        <v>Squirtle</v>
      </c>
      <c r="B8" s="11" t="str">
        <f>IFERROR(__xludf.DUMMYFUNCTION("""COMPUTED_VALUE"""),"Life Leech")</f>
        <v>Life Leech</v>
      </c>
      <c r="C8" s="11" t="str">
        <f>IFERROR(__xludf.DUMMYFUNCTION("""COMPUTED_VALUE"""),"Critical Damage")</f>
        <v>Critical Damage</v>
      </c>
      <c r="F8" s="42"/>
      <c r="G8" s="43" t="str">
        <f>IFERROR(__xludf.DUMMYFUNCTION("""COMPUTED_VALUE"""),"Kabuto")</f>
        <v>Kabuto</v>
      </c>
      <c r="H8" s="43" t="str">
        <f>IFERROR(__xludf.DUMMYFUNCTION("""COMPUTED_VALUE"""),"Damage Boost")</f>
        <v>Damage Boost</v>
      </c>
      <c r="I8" s="43" t="str">
        <f>IFERROR(__xludf.DUMMYFUNCTION("""COMPUTED_VALUE"""),"Ride Speed")</f>
        <v>Ride Speed</v>
      </c>
    </row>
    <row r="9">
      <c r="A9" s="11" t="str">
        <f>IFERROR(__xludf.DUMMYFUNCTION("""COMPUTED_VALUE"""),"Wartortle")</f>
        <v>Wartortle</v>
      </c>
      <c r="B9" s="11" t="str">
        <f>IFERROR(__xludf.DUMMYFUNCTION("""COMPUTED_VALUE"""),"Precision Percent")</f>
        <v>Precision Percent</v>
      </c>
      <c r="C9" s="11" t="str">
        <f>IFERROR(__xludf.DUMMYFUNCTION("""COMPUTED_VALUE"""),"Life Leech")</f>
        <v>Life Leech</v>
      </c>
      <c r="F9" s="42"/>
      <c r="G9" s="47"/>
      <c r="H9" s="47"/>
      <c r="I9" s="47"/>
    </row>
    <row r="10">
      <c r="A10" s="11" t="str">
        <f>IFERROR(__xludf.DUMMYFUNCTION("""COMPUTED_VALUE"""),"Blastoise")</f>
        <v>Blastoise</v>
      </c>
      <c r="B10" s="11" t="str">
        <f>IFERROR(__xludf.DUMMYFUNCTION("""COMPUTED_VALUE"""),"Evasion Percent")</f>
        <v>Evasion Percent</v>
      </c>
      <c r="C10" s="11" t="str">
        <f>IFERROR(__xludf.DUMMYFUNCTION("""COMPUTED_VALUE"""),"Fishing Skill")</f>
        <v>Fishing Skill</v>
      </c>
      <c r="F10" s="42"/>
      <c r="G10" s="47"/>
      <c r="H10" s="47"/>
      <c r="I10" s="47"/>
    </row>
    <row r="11">
      <c r="A11" s="11" t="str">
        <f>IFERROR(__xludf.DUMMYFUNCTION("""COMPUTED_VALUE"""),"Caterpie")</f>
        <v>Caterpie</v>
      </c>
      <c r="B11" s="11" t="str">
        <f>IFERROR(__xludf.DUMMYFUNCTION("""COMPUTED_VALUE"""),"Shiny Fishing Rate")</f>
        <v>Shiny Fishing Rate</v>
      </c>
      <c r="C11" s="11" t="str">
        <f>IFERROR(__xludf.DUMMYFUNCTION("""COMPUTED_VALUE"""),"Evasion Percent")</f>
        <v>Evasion Percent</v>
      </c>
      <c r="F11" s="42"/>
      <c r="G11" s="186"/>
      <c r="H11" s="186"/>
      <c r="I11" s="186"/>
    </row>
    <row r="12">
      <c r="A12" s="11" t="str">
        <f>IFERROR(__xludf.DUMMYFUNCTION("""COMPUTED_VALUE"""),"Metapod")</f>
        <v>Metapod</v>
      </c>
      <c r="B12" s="11" t="str">
        <f>IFERROR(__xludf.DUMMYFUNCTION("""COMPUTED_VALUE"""),"Shiny Headbutt Rate")</f>
        <v>Shiny Headbutt Rate</v>
      </c>
      <c r="C12" s="11" t="str">
        <f>IFERROR(__xludf.DUMMYFUNCTION("""COMPUTED_VALUE"""),"Shiny Fishing Rate")</f>
        <v>Shiny Fishing Rate</v>
      </c>
      <c r="F12" s="42"/>
      <c r="G12" s="186"/>
      <c r="H12" s="186"/>
      <c r="I12" s="186"/>
    </row>
    <row r="13">
      <c r="A13" s="11" t="str">
        <f>IFERROR(__xludf.DUMMYFUNCTION("""COMPUTED_VALUE"""),"Butterfree")</f>
        <v>Butterfree</v>
      </c>
      <c r="B13" s="11" t="str">
        <f>IFERROR(__xludf.DUMMYFUNCTION("""COMPUTED_VALUE"""),"Loot Boost")</f>
        <v>Loot Boost</v>
      </c>
      <c r="C13" s="11" t="str">
        <f>IFERROR(__xludf.DUMMYFUNCTION("""COMPUTED_VALUE"""),"Shiny Headbutt Rate")</f>
        <v>Shiny Headbutt Rate</v>
      </c>
      <c r="F13" s="42"/>
      <c r="G13" s="186"/>
      <c r="H13" s="186"/>
      <c r="I13" s="186"/>
    </row>
    <row r="14">
      <c r="A14" s="11" t="str">
        <f>IFERROR(__xludf.DUMMYFUNCTION("""COMPUTED_VALUE"""),"Weedle")</f>
        <v>Weedle</v>
      </c>
      <c r="B14" s="11" t="str">
        <f>IFERROR(__xludf.DUMMYFUNCTION("""COMPUTED_VALUE"""),"Catch Rate")</f>
        <v>Catch Rate</v>
      </c>
      <c r="C14" s="11" t="str">
        <f>IFERROR(__xludf.DUMMYFUNCTION("""COMPUTED_VALUE"""),"Loot Boost")</f>
        <v>Loot Boost</v>
      </c>
      <c r="F14" s="42"/>
      <c r="G14" s="186"/>
      <c r="H14" s="186"/>
      <c r="I14" s="186"/>
    </row>
    <row r="15">
      <c r="A15" s="11" t="str">
        <f>IFERROR(__xludf.DUMMYFUNCTION("""COMPUTED_VALUE"""),"Kakuna")</f>
        <v>Kakuna</v>
      </c>
      <c r="B15" s="11" t="str">
        <f>IFERROR(__xludf.DUMMYFUNCTION("""COMPUTED_VALUE"""),"Shiny Catch Rate")</f>
        <v>Shiny Catch Rate</v>
      </c>
      <c r="C15" s="11" t="str">
        <f>IFERROR(__xludf.DUMMYFUNCTION("""COMPUTED_VALUE"""),"Catch Rate")</f>
        <v>Catch Rate</v>
      </c>
      <c r="F15" s="42"/>
      <c r="G15" s="186"/>
      <c r="H15" s="186"/>
      <c r="I15" s="186"/>
    </row>
    <row r="16">
      <c r="A16" s="11" t="str">
        <f>IFERROR(__xludf.DUMMYFUNCTION("""COMPUTED_VALUE"""),"Beedrill")</f>
        <v>Beedrill</v>
      </c>
      <c r="B16" s="11" t="str">
        <f>IFERROR(__xludf.DUMMYFUNCTION("""COMPUTED_VALUE"""),"Shiny Charm Rate")</f>
        <v>Shiny Charm Rate</v>
      </c>
      <c r="C16" s="11" t="str">
        <f>IFERROR(__xludf.DUMMYFUNCTION("""COMPUTED_VALUE"""),"Headbutt Skill")</f>
        <v>Headbutt Skill</v>
      </c>
      <c r="F16" s="42"/>
      <c r="G16" s="186"/>
      <c r="H16" s="186"/>
      <c r="I16" s="186"/>
    </row>
    <row r="17">
      <c r="A17" s="11" t="str">
        <f>IFERROR(__xludf.DUMMYFUNCTION("""COMPUTED_VALUE"""),"Pidgey")</f>
        <v>Pidgey</v>
      </c>
      <c r="B17" s="11" t="str">
        <f>IFERROR(__xludf.DUMMYFUNCTION("""COMPUTED_VALUE"""),"Critical Resistance")</f>
        <v>Critical Resistance</v>
      </c>
      <c r="C17" s="11" t="str">
        <f>IFERROR(__xludf.DUMMYFUNCTION("""COMPUTED_VALUE"""),"Shiny Charm Rate")</f>
        <v>Shiny Charm Rate</v>
      </c>
      <c r="F17" s="42"/>
      <c r="G17" s="186"/>
      <c r="H17" s="186"/>
      <c r="I17" s="186"/>
    </row>
    <row r="18">
      <c r="A18" s="11" t="str">
        <f>IFERROR(__xludf.DUMMYFUNCTION("""COMPUTED_VALUE"""),"Pidgeotto")</f>
        <v>Pidgeotto</v>
      </c>
      <c r="B18" s="11" t="str">
        <f>IFERROR(__xludf.DUMMYFUNCTION("""COMPUTED_VALUE"""),"Fly Speed")</f>
        <v>Fly Speed</v>
      </c>
      <c r="C18" s="11" t="str">
        <f>IFERROR(__xludf.DUMMYFUNCTION("""COMPUTED_VALUE"""),"Extra Fishing")</f>
        <v>Extra Fishing</v>
      </c>
      <c r="F18" s="42"/>
      <c r="G18" s="186"/>
      <c r="H18" s="186"/>
      <c r="I18" s="186"/>
    </row>
    <row r="19">
      <c r="A19" s="11" t="str">
        <f>IFERROR(__xludf.DUMMYFUNCTION("""COMPUTED_VALUE"""),"Pidgeot")</f>
        <v>Pidgeot</v>
      </c>
      <c r="B19" s="11" t="str">
        <f>IFERROR(__xludf.DUMMYFUNCTION("""COMPUTED_VALUE"""),"Fly Speed")</f>
        <v>Fly Speed</v>
      </c>
      <c r="C19" s="11" t="str">
        <f>IFERROR(__xludf.DUMMYFUNCTION("""COMPUTED_VALUE"""),"Surf Speed")</f>
        <v>Surf Speed</v>
      </c>
      <c r="F19" s="42"/>
      <c r="G19" s="186"/>
      <c r="H19" s="186"/>
      <c r="I19" s="186"/>
    </row>
    <row r="20">
      <c r="A20" s="11" t="str">
        <f>IFERROR(__xludf.DUMMYFUNCTION("""COMPUTED_VALUE"""),"Rattata")</f>
        <v>Rattata</v>
      </c>
      <c r="B20" s="11" t="str">
        <f>IFERROR(__xludf.DUMMYFUNCTION("""COMPUTED_VALUE"""),"Ride Speed")</f>
        <v>Ride Speed</v>
      </c>
      <c r="C20" s="11" t="str">
        <f>IFERROR(__xludf.DUMMYFUNCTION("""COMPUTED_VALUE"""),"Surf Speed")</f>
        <v>Surf Speed</v>
      </c>
      <c r="F20" s="42"/>
      <c r="G20" s="186"/>
      <c r="H20" s="186"/>
      <c r="I20" s="186"/>
    </row>
    <row r="21">
      <c r="A21" s="11" t="str">
        <f>IFERROR(__xludf.DUMMYFUNCTION("""COMPUTED_VALUE"""),"Raticate")</f>
        <v>Raticate</v>
      </c>
      <c r="B21" s="11" t="str">
        <f>IFERROR(__xludf.DUMMYFUNCTION("""COMPUTED_VALUE"""),"Damage Boost")</f>
        <v>Damage Boost</v>
      </c>
      <c r="C21" s="11" t="str">
        <f>IFERROR(__xludf.DUMMYFUNCTION("""COMPUTED_VALUE"""),"Ride Speed")</f>
        <v>Ride Speed</v>
      </c>
      <c r="F21" s="42"/>
      <c r="G21" s="186"/>
      <c r="H21" s="186"/>
      <c r="I21" s="186"/>
    </row>
    <row r="22">
      <c r="A22" s="11" t="str">
        <f>IFERROR(__xludf.DUMMYFUNCTION("""COMPUTED_VALUE"""),"Spearow")</f>
        <v>Spearow</v>
      </c>
      <c r="B22" s="11" t="str">
        <f>IFERROR(__xludf.DUMMYFUNCTION("""COMPUTED_VALUE"""),"Defense Boost")</f>
        <v>Defense Boost</v>
      </c>
      <c r="C22" s="11" t="str">
        <f>IFERROR(__xludf.DUMMYFUNCTION("""COMPUTED_VALUE"""),"Damage Boost")</f>
        <v>Damage Boost</v>
      </c>
      <c r="F22" s="42"/>
      <c r="G22" s="186"/>
      <c r="H22" s="186"/>
      <c r="I22" s="186"/>
    </row>
    <row r="23">
      <c r="A23" s="11" t="str">
        <f>IFERROR(__xludf.DUMMYFUNCTION("""COMPUTED_VALUE"""),"Fearow")</f>
        <v>Fearow</v>
      </c>
      <c r="B23" s="11" t="str">
        <f>IFERROR(__xludf.DUMMYFUNCTION("""COMPUTED_VALUE"""),"HP Boost")</f>
        <v>HP Boost</v>
      </c>
      <c r="C23" s="11" t="str">
        <f>IFERROR(__xludf.DUMMYFUNCTION("""COMPUTED_VALUE"""),"Defense Boost")</f>
        <v>Defense Boost</v>
      </c>
      <c r="F23" s="42"/>
      <c r="G23" s="186"/>
      <c r="H23" s="186"/>
      <c r="I23" s="186"/>
    </row>
    <row r="24">
      <c r="A24" s="11" t="str">
        <f>IFERROR(__xludf.DUMMYFUNCTION("""COMPUTED_VALUE"""),"Ekans")</f>
        <v>Ekans</v>
      </c>
      <c r="B24" s="11" t="str">
        <f>IFERROR(__xludf.DUMMYFUNCTION("""COMPUTED_VALUE"""),"Pokemon Speed")</f>
        <v>Pokemon Speed</v>
      </c>
      <c r="C24" s="11" t="str">
        <f>IFERROR(__xludf.DUMMYFUNCTION("""COMPUTED_VALUE"""),"HP Boost")</f>
        <v>HP Boost</v>
      </c>
      <c r="F24" s="42"/>
      <c r="G24" s="186"/>
      <c r="H24" s="186"/>
      <c r="I24" s="186"/>
    </row>
    <row r="25">
      <c r="A25" s="11" t="str">
        <f>IFERROR(__xludf.DUMMYFUNCTION("""COMPUTED_VALUE"""),"Arbok")</f>
        <v>Arbok</v>
      </c>
      <c r="B25" s="11" t="str">
        <f>IFERROR(__xludf.DUMMYFUNCTION("""COMPUTED_VALUE"""),"Character Speed")</f>
        <v>Character Speed</v>
      </c>
      <c r="C25" s="11" t="str">
        <f>IFERROR(__xludf.DUMMYFUNCTION("""COMPUTED_VALUE"""),"Pokemon Speed")</f>
        <v>Pokemon Speed</v>
      </c>
      <c r="F25" s="42"/>
      <c r="G25" s="186"/>
      <c r="H25" s="186"/>
      <c r="I25" s="186"/>
    </row>
    <row r="26">
      <c r="A26" s="11" t="str">
        <f>IFERROR(__xludf.DUMMYFUNCTION("""COMPUTED_VALUE"""),"Pikachu")</f>
        <v>Pikachu</v>
      </c>
      <c r="B26" s="11" t="str">
        <f>IFERROR(__xludf.DUMMYFUNCTION("""COMPUTED_VALUE"""),"Critical Chance")</f>
        <v>Critical Chance</v>
      </c>
      <c r="C26" s="11" t="str">
        <f>IFERROR(__xludf.DUMMYFUNCTION("""COMPUTED_VALUE"""),"Character Speed")</f>
        <v>Character Speed</v>
      </c>
      <c r="F26" s="42"/>
      <c r="G26" s="186"/>
      <c r="H26" s="186"/>
      <c r="I26" s="186"/>
    </row>
    <row r="27">
      <c r="A27" s="11" t="str">
        <f>IFERROR(__xludf.DUMMYFUNCTION("""COMPUTED_VALUE"""),"Raichu")</f>
        <v>Raichu</v>
      </c>
      <c r="B27" s="11" t="str">
        <f>IFERROR(__xludf.DUMMYFUNCTION("""COMPUTED_VALUE"""),"Critical Damage")</f>
        <v>Critical Damage</v>
      </c>
      <c r="C27" s="11" t="str">
        <f>IFERROR(__xludf.DUMMYFUNCTION("""COMPUTED_VALUE"""),"Critical Chance")</f>
        <v>Critical Chance</v>
      </c>
      <c r="F27" s="42"/>
      <c r="G27" s="186"/>
      <c r="H27" s="186"/>
      <c r="I27" s="186"/>
    </row>
    <row r="28">
      <c r="A28" s="11" t="str">
        <f>IFERROR(__xludf.DUMMYFUNCTION("""COMPUTED_VALUE"""),"Sandshrew")</f>
        <v>Sandshrew</v>
      </c>
      <c r="B28" s="11" t="str">
        <f>IFERROR(__xludf.DUMMYFUNCTION("""COMPUTED_VALUE"""),"Life Leech")</f>
        <v>Life Leech</v>
      </c>
      <c r="C28" s="11" t="str">
        <f>IFERROR(__xludf.DUMMYFUNCTION("""COMPUTED_VALUE"""),"Critical Damage")</f>
        <v>Critical Damage</v>
      </c>
      <c r="F28" s="42"/>
      <c r="G28" s="186"/>
      <c r="H28" s="186"/>
      <c r="I28" s="186"/>
    </row>
    <row r="29">
      <c r="A29" s="11" t="str">
        <f>IFERROR(__xludf.DUMMYFUNCTION("""COMPUTED_VALUE"""),"Sandslash")</f>
        <v>Sandslash</v>
      </c>
      <c r="B29" s="11" t="str">
        <f>IFERROR(__xludf.DUMMYFUNCTION("""COMPUTED_VALUE"""),"Precision Percent")</f>
        <v>Precision Percent</v>
      </c>
      <c r="C29" s="11" t="str">
        <f>IFERROR(__xludf.DUMMYFUNCTION("""COMPUTED_VALUE"""),"Life Leech")</f>
        <v>Life Leech</v>
      </c>
      <c r="F29" s="42"/>
      <c r="G29" s="186"/>
      <c r="H29" s="186"/>
      <c r="I29" s="186"/>
    </row>
    <row r="30">
      <c r="A30" s="11" t="str">
        <f>IFERROR(__xludf.DUMMYFUNCTION("""COMPUTED_VALUE"""),"Nidoran female")</f>
        <v>Nidoran female</v>
      </c>
      <c r="B30" s="11" t="str">
        <f>IFERROR(__xludf.DUMMYFUNCTION("""COMPUTED_VALUE"""),"Evasion Percent")</f>
        <v>Evasion Percent</v>
      </c>
      <c r="C30" s="11" t="str">
        <f>IFERROR(__xludf.DUMMYFUNCTION("""COMPUTED_VALUE"""),"Fishing Skill")</f>
        <v>Fishing Skill</v>
      </c>
      <c r="F30" s="42"/>
      <c r="G30" s="186"/>
      <c r="H30" s="186"/>
      <c r="I30" s="186"/>
    </row>
    <row r="31">
      <c r="A31" s="11" t="str">
        <f>IFERROR(__xludf.DUMMYFUNCTION("""COMPUTED_VALUE"""),"Nidorina")</f>
        <v>Nidorina</v>
      </c>
      <c r="B31" s="11" t="str">
        <f>IFERROR(__xludf.DUMMYFUNCTION("""COMPUTED_VALUE"""),"Shiny Fishing Rate")</f>
        <v>Shiny Fishing Rate</v>
      </c>
      <c r="C31" s="11" t="str">
        <f>IFERROR(__xludf.DUMMYFUNCTION("""COMPUTED_VALUE"""),"Evasion Percent")</f>
        <v>Evasion Percent</v>
      </c>
      <c r="F31" s="42"/>
      <c r="G31" s="186"/>
      <c r="H31" s="186"/>
      <c r="I31" s="186"/>
    </row>
    <row r="32">
      <c r="A32" s="11" t="str">
        <f>IFERROR(__xludf.DUMMYFUNCTION("""COMPUTED_VALUE"""),"Nidoqueen")</f>
        <v>Nidoqueen</v>
      </c>
      <c r="B32" s="11" t="str">
        <f>IFERROR(__xludf.DUMMYFUNCTION("""COMPUTED_VALUE"""),"Shiny Headbutt Rate")</f>
        <v>Shiny Headbutt Rate</v>
      </c>
      <c r="C32" s="11" t="str">
        <f>IFERROR(__xludf.DUMMYFUNCTION("""COMPUTED_VALUE"""),"Shiny Fishing Rate")</f>
        <v>Shiny Fishing Rate</v>
      </c>
      <c r="F32" s="42"/>
      <c r="G32" s="186"/>
      <c r="H32" s="186"/>
      <c r="I32" s="186"/>
    </row>
    <row r="33">
      <c r="A33" s="11" t="str">
        <f>IFERROR(__xludf.DUMMYFUNCTION("""COMPUTED_VALUE"""),"Nidoran Male")</f>
        <v>Nidoran Male</v>
      </c>
      <c r="B33" s="11" t="str">
        <f>IFERROR(__xludf.DUMMYFUNCTION("""COMPUTED_VALUE"""),"Loot Boost")</f>
        <v>Loot Boost</v>
      </c>
      <c r="C33" s="11" t="str">
        <f>IFERROR(__xludf.DUMMYFUNCTION("""COMPUTED_VALUE"""),"Shiny Headbutt Rate")</f>
        <v>Shiny Headbutt Rate</v>
      </c>
      <c r="F33" s="42"/>
      <c r="G33" s="186"/>
      <c r="H33" s="186"/>
      <c r="I33" s="186"/>
    </row>
    <row r="34">
      <c r="A34" s="11" t="str">
        <f>IFERROR(__xludf.DUMMYFUNCTION("""COMPUTED_VALUE"""),"Nidorino")</f>
        <v>Nidorino</v>
      </c>
      <c r="B34" s="11" t="str">
        <f>IFERROR(__xludf.DUMMYFUNCTION("""COMPUTED_VALUE"""),"Catch Rate")</f>
        <v>Catch Rate</v>
      </c>
      <c r="C34" s="11" t="str">
        <f>IFERROR(__xludf.DUMMYFUNCTION("""COMPUTED_VALUE"""),"Loot Boost")</f>
        <v>Loot Boost</v>
      </c>
      <c r="F34" s="42"/>
      <c r="G34" s="186"/>
      <c r="H34" s="186"/>
      <c r="I34" s="186"/>
    </row>
    <row r="35">
      <c r="A35" s="11" t="str">
        <f>IFERROR(__xludf.DUMMYFUNCTION("""COMPUTED_VALUE"""),"Nidoking")</f>
        <v>Nidoking</v>
      </c>
      <c r="B35" s="11" t="str">
        <f>IFERROR(__xludf.DUMMYFUNCTION("""COMPUTED_VALUE"""),"Shiny Catch Rate")</f>
        <v>Shiny Catch Rate</v>
      </c>
      <c r="C35" s="11" t="str">
        <f>IFERROR(__xludf.DUMMYFUNCTION("""COMPUTED_VALUE"""),"Catch Rate")</f>
        <v>Catch Rate</v>
      </c>
      <c r="F35" s="42"/>
      <c r="G35" s="186"/>
      <c r="H35" s="186"/>
      <c r="I35" s="186"/>
    </row>
    <row r="36">
      <c r="A36" s="11" t="str">
        <f>IFERROR(__xludf.DUMMYFUNCTION("""COMPUTED_VALUE"""),"Clefairy")</f>
        <v>Clefairy</v>
      </c>
      <c r="B36" s="11" t="str">
        <f>IFERROR(__xludf.DUMMYFUNCTION("""COMPUTED_VALUE"""),"Shiny Charm Rate")</f>
        <v>Shiny Charm Rate</v>
      </c>
      <c r="C36" s="11" t="str">
        <f>IFERROR(__xludf.DUMMYFUNCTION("""COMPUTED_VALUE"""),"Shiny Catch Rate")</f>
        <v>Shiny Catch Rate</v>
      </c>
      <c r="F36" s="42"/>
      <c r="G36" s="186"/>
      <c r="H36" s="186"/>
      <c r="I36" s="186"/>
    </row>
    <row r="37">
      <c r="A37" s="11" t="str">
        <f>IFERROR(__xludf.DUMMYFUNCTION("""COMPUTED_VALUE"""),"Clefable")</f>
        <v>Clefable</v>
      </c>
      <c r="B37" s="11" t="str">
        <f>IFERROR(__xludf.DUMMYFUNCTION("""COMPUTED_VALUE"""),"Critical Resistance")</f>
        <v>Critical Resistance</v>
      </c>
      <c r="C37" s="11" t="str">
        <f>IFERROR(__xludf.DUMMYFUNCTION("""COMPUTED_VALUE"""),"Shiny Charm Rate")</f>
        <v>Shiny Charm Rate</v>
      </c>
      <c r="F37" s="42"/>
      <c r="G37" s="186"/>
      <c r="H37" s="186"/>
      <c r="I37" s="186"/>
    </row>
    <row r="38">
      <c r="A38" s="11" t="str">
        <f>IFERROR(__xludf.DUMMYFUNCTION("""COMPUTED_VALUE"""),"Vulpix")</f>
        <v>Vulpix</v>
      </c>
      <c r="B38" s="11" t="str">
        <f>IFERROR(__xludf.DUMMYFUNCTION("""COMPUTED_VALUE"""),"Fly Speed")</f>
        <v>Fly Speed</v>
      </c>
      <c r="C38" s="11" t="str">
        <f>IFERROR(__xludf.DUMMYFUNCTION("""COMPUTED_VALUE"""),"Extra Fishing")</f>
        <v>Extra Fishing</v>
      </c>
      <c r="F38" s="42"/>
      <c r="G38" s="186"/>
      <c r="H38" s="186"/>
      <c r="I38" s="186"/>
    </row>
    <row r="39">
      <c r="A39" s="11" t="str">
        <f>IFERROR(__xludf.DUMMYFUNCTION("""COMPUTED_VALUE"""),"Ninetales")</f>
        <v>Ninetales</v>
      </c>
      <c r="B39" s="11" t="str">
        <f>IFERROR(__xludf.DUMMYFUNCTION("""COMPUTED_VALUE"""),"Surf Speed")</f>
        <v>Surf Speed</v>
      </c>
      <c r="C39" s="11" t="str">
        <f>IFERROR(__xludf.DUMMYFUNCTION("""COMPUTED_VALUE"""),"Fly Speed")</f>
        <v>Fly Speed</v>
      </c>
      <c r="F39" s="42"/>
      <c r="G39" s="186"/>
      <c r="H39" s="186"/>
      <c r="I39" s="186"/>
    </row>
    <row r="40">
      <c r="A40" s="11" t="str">
        <f>IFERROR(__xludf.DUMMYFUNCTION("""COMPUTED_VALUE"""),"Jigglypuff")</f>
        <v>Jigglypuff</v>
      </c>
      <c r="B40" s="11" t="str">
        <f>IFERROR(__xludf.DUMMYFUNCTION("""COMPUTED_VALUE"""),"Ride Speed")</f>
        <v>Ride Speed</v>
      </c>
      <c r="C40" s="11" t="str">
        <f>IFERROR(__xludf.DUMMYFUNCTION("""COMPUTED_VALUE"""),"Surf Speed")</f>
        <v>Surf Speed</v>
      </c>
      <c r="F40" s="42"/>
      <c r="G40" s="186"/>
      <c r="H40" s="186"/>
      <c r="I40" s="186"/>
    </row>
    <row r="41">
      <c r="A41" s="11" t="str">
        <f>IFERROR(__xludf.DUMMYFUNCTION("""COMPUTED_VALUE"""),"Wigglytuff")</f>
        <v>Wigglytuff</v>
      </c>
      <c r="B41" s="11" t="str">
        <f>IFERROR(__xludf.DUMMYFUNCTION("""COMPUTED_VALUE"""),"Damage Boost")</f>
        <v>Damage Boost</v>
      </c>
      <c r="C41" s="11" t="str">
        <f>IFERROR(__xludf.DUMMYFUNCTION("""COMPUTED_VALUE"""),"Ride Speed")</f>
        <v>Ride Speed</v>
      </c>
      <c r="F41" s="42"/>
      <c r="G41" s="186"/>
      <c r="H41" s="186"/>
      <c r="I41" s="186"/>
    </row>
    <row r="42">
      <c r="A42" s="11" t="str">
        <f>IFERROR(__xludf.DUMMYFUNCTION("""COMPUTED_VALUE"""),"Zubat")</f>
        <v>Zubat</v>
      </c>
      <c r="B42" s="11" t="str">
        <f>IFERROR(__xludf.DUMMYFUNCTION("""COMPUTED_VALUE"""),"Defense Boost")</f>
        <v>Defense Boost</v>
      </c>
      <c r="C42" s="11" t="str">
        <f>IFERROR(__xludf.DUMMYFUNCTION("""COMPUTED_VALUE"""),"Life Leech")</f>
        <v>Life Leech</v>
      </c>
      <c r="F42" s="42"/>
      <c r="G42" s="186"/>
      <c r="H42" s="186"/>
      <c r="I42" s="186"/>
    </row>
    <row r="43">
      <c r="A43" s="11" t="str">
        <f>IFERROR(__xludf.DUMMYFUNCTION("""COMPUTED_VALUE"""),"Golbat")</f>
        <v>Golbat</v>
      </c>
      <c r="B43" s="11" t="str">
        <f>IFERROR(__xludf.DUMMYFUNCTION("""COMPUTED_VALUE"""),"HP Boost")</f>
        <v>HP Boost</v>
      </c>
      <c r="C43" s="11" t="str">
        <f>IFERROR(__xludf.DUMMYFUNCTION("""COMPUTED_VALUE"""),"Defense Boost")</f>
        <v>Defense Boost</v>
      </c>
      <c r="F43" s="42"/>
      <c r="G43" s="186"/>
      <c r="H43" s="186"/>
      <c r="I43" s="186"/>
    </row>
    <row r="44">
      <c r="A44" s="11" t="str">
        <f>IFERROR(__xludf.DUMMYFUNCTION("""COMPUTED_VALUE"""),"Oddish")</f>
        <v>Oddish</v>
      </c>
      <c r="B44" s="11" t="str">
        <f>IFERROR(__xludf.DUMMYFUNCTION("""COMPUTED_VALUE"""),"Pokemon Speed")</f>
        <v>Pokemon Speed</v>
      </c>
      <c r="C44" s="11" t="str">
        <f>IFERROR(__xludf.DUMMYFUNCTION("""COMPUTED_VALUE"""),"HP Boost")</f>
        <v>HP Boost</v>
      </c>
      <c r="F44" s="42"/>
      <c r="G44" s="186"/>
      <c r="H44" s="186"/>
      <c r="I44" s="186"/>
    </row>
    <row r="45">
      <c r="A45" s="11" t="str">
        <f>IFERROR(__xludf.DUMMYFUNCTION("""COMPUTED_VALUE"""),"Gloom")</f>
        <v>Gloom</v>
      </c>
      <c r="B45" s="11" t="str">
        <f>IFERROR(__xludf.DUMMYFUNCTION("""COMPUTED_VALUE"""),"Character Speed")</f>
        <v>Character Speed</v>
      </c>
      <c r="C45" s="11" t="str">
        <f>IFERROR(__xludf.DUMMYFUNCTION("""COMPUTED_VALUE"""),"Pokemon speed")</f>
        <v>Pokemon speed</v>
      </c>
      <c r="F45" s="42"/>
      <c r="G45" s="186"/>
      <c r="H45" s="186"/>
      <c r="I45" s="186"/>
    </row>
    <row r="46">
      <c r="A46" s="11" t="str">
        <f>IFERROR(__xludf.DUMMYFUNCTION("""COMPUTED_VALUE"""),"Vileplume")</f>
        <v>Vileplume</v>
      </c>
      <c r="B46" s="11" t="str">
        <f>IFERROR(__xludf.DUMMYFUNCTION("""COMPUTED_VALUE"""),"Critical Chance")</f>
        <v>Critical Chance</v>
      </c>
      <c r="C46" s="11" t="str">
        <f>IFERROR(__xludf.DUMMYFUNCTION("""COMPUTED_VALUE"""),"Character Speed")</f>
        <v>Character Speed</v>
      </c>
      <c r="F46" s="42"/>
      <c r="G46" s="186"/>
      <c r="H46" s="186"/>
      <c r="I46" s="186"/>
    </row>
    <row r="47">
      <c r="A47" s="11" t="str">
        <f>IFERROR(__xludf.DUMMYFUNCTION("""COMPUTED_VALUE"""),"Paras")</f>
        <v>Paras</v>
      </c>
      <c r="B47" s="11" t="str">
        <f>IFERROR(__xludf.DUMMYFUNCTION("""COMPUTED_VALUE"""),"Critical Damage")</f>
        <v>Critical Damage</v>
      </c>
      <c r="C47" s="11" t="str">
        <f>IFERROR(__xludf.DUMMYFUNCTION("""COMPUTED_VALUE"""),"Critical Chance")</f>
        <v>Critical Chance</v>
      </c>
      <c r="F47" s="42"/>
      <c r="G47" s="186"/>
      <c r="H47" s="186"/>
      <c r="I47" s="186"/>
    </row>
    <row r="48">
      <c r="A48" s="11" t="str">
        <f>IFERROR(__xludf.DUMMYFUNCTION("""COMPUTED_VALUE"""),"Parasect")</f>
        <v>Parasect</v>
      </c>
      <c r="B48" s="11" t="str">
        <f>IFERROR(__xludf.DUMMYFUNCTION("""COMPUTED_VALUE"""),"Life Leech")</f>
        <v>Life Leech</v>
      </c>
      <c r="C48" s="11" t="str">
        <f>IFERROR(__xludf.DUMMYFUNCTION("""COMPUTED_VALUE"""),"Critital Damage")</f>
        <v>Critital Damage</v>
      </c>
      <c r="F48" s="42"/>
      <c r="G48" s="186"/>
      <c r="H48" s="186"/>
      <c r="I48" s="186"/>
    </row>
    <row r="49">
      <c r="A49" s="11" t="str">
        <f>IFERROR(__xludf.DUMMYFUNCTION("""COMPUTED_VALUE"""),"Venonat")</f>
        <v>Venonat</v>
      </c>
      <c r="B49" s="11" t="str">
        <f>IFERROR(__xludf.DUMMYFUNCTION("""COMPUTED_VALUE"""),"Precision Percent")</f>
        <v>Precision Percent</v>
      </c>
      <c r="C49" s="11" t="str">
        <f>IFERROR(__xludf.DUMMYFUNCTION("""COMPUTED_VALUE"""),"Life Leech")</f>
        <v>Life Leech</v>
      </c>
      <c r="F49" s="42"/>
      <c r="G49" s="186"/>
      <c r="H49" s="186"/>
      <c r="I49" s="186"/>
    </row>
    <row r="50">
      <c r="A50" s="11" t="str">
        <f>IFERROR(__xludf.DUMMYFUNCTION("""COMPUTED_VALUE"""),"Venomoth")</f>
        <v>Venomoth</v>
      </c>
      <c r="B50" s="11" t="str">
        <f>IFERROR(__xludf.DUMMYFUNCTION("""COMPUTED_VALUE"""),"Evasion Percent")</f>
        <v>Evasion Percent</v>
      </c>
      <c r="C50" s="11" t="str">
        <f>IFERROR(__xludf.DUMMYFUNCTION("""COMPUTED_VALUE"""),"Fishing Skill")</f>
        <v>Fishing Skill</v>
      </c>
      <c r="F50" s="42"/>
      <c r="G50" s="186"/>
      <c r="H50" s="186"/>
      <c r="I50" s="186"/>
    </row>
    <row r="51">
      <c r="A51" s="11" t="str">
        <f>IFERROR(__xludf.DUMMYFUNCTION("""COMPUTED_VALUE"""),"Diglett")</f>
        <v>Diglett</v>
      </c>
      <c r="B51" s="11" t="str">
        <f>IFERROR(__xludf.DUMMYFUNCTION("""COMPUTED_VALUE"""),"Shiny Fishing Rate")</f>
        <v>Shiny Fishing Rate</v>
      </c>
      <c r="C51" s="11" t="str">
        <f>IFERROR(__xludf.DUMMYFUNCTION("""COMPUTED_VALUE"""),"Evasion Percent")</f>
        <v>Evasion Percent</v>
      </c>
      <c r="F51" s="42"/>
      <c r="G51" s="186"/>
      <c r="H51" s="186"/>
      <c r="I51" s="186"/>
    </row>
    <row r="52">
      <c r="A52" s="11" t="str">
        <f>IFERROR(__xludf.DUMMYFUNCTION("""COMPUTED_VALUE"""),"Dugtrio")</f>
        <v>Dugtrio</v>
      </c>
      <c r="B52" s="11" t="str">
        <f>IFERROR(__xludf.DUMMYFUNCTION("""COMPUTED_VALUE"""),"Shiny Headbutt Rate")</f>
        <v>Shiny Headbutt Rate</v>
      </c>
      <c r="C52" s="11" t="str">
        <f>IFERROR(__xludf.DUMMYFUNCTION("""COMPUTED_VALUE"""),"Shiny Fishing Rate")</f>
        <v>Shiny Fishing Rate</v>
      </c>
      <c r="F52" s="42"/>
      <c r="G52" s="186"/>
      <c r="H52" s="186"/>
      <c r="I52" s="186"/>
    </row>
    <row r="53">
      <c r="A53" s="11" t="str">
        <f>IFERROR(__xludf.DUMMYFUNCTION("""COMPUTED_VALUE"""),"Meowth")</f>
        <v>Meowth</v>
      </c>
      <c r="B53" s="11" t="str">
        <f>IFERROR(__xludf.DUMMYFUNCTION("""COMPUTED_VALUE"""),"Loot Boost")</f>
        <v>Loot Boost</v>
      </c>
      <c r="C53" s="11" t="str">
        <f>IFERROR(__xludf.DUMMYFUNCTION("""COMPUTED_VALUE"""),"Shiny Headbutt Rate")</f>
        <v>Shiny Headbutt Rate</v>
      </c>
      <c r="F53" s="42"/>
      <c r="G53" s="186"/>
      <c r="H53" s="186"/>
      <c r="I53" s="186"/>
    </row>
    <row r="54">
      <c r="A54" s="11" t="str">
        <f>IFERROR(__xludf.DUMMYFUNCTION("""COMPUTED_VALUE"""),"Persian")</f>
        <v>Persian</v>
      </c>
      <c r="B54" s="11" t="str">
        <f>IFERROR(__xludf.DUMMYFUNCTION("""COMPUTED_VALUE"""),"Catch Rate")</f>
        <v>Catch Rate</v>
      </c>
      <c r="C54" s="11" t="str">
        <f>IFERROR(__xludf.DUMMYFUNCTION("""COMPUTED_VALUE"""),"Loot Boost")</f>
        <v>Loot Boost</v>
      </c>
      <c r="F54" s="42"/>
      <c r="G54" s="186"/>
      <c r="H54" s="186"/>
      <c r="I54" s="186"/>
    </row>
    <row r="55">
      <c r="A55" s="11" t="str">
        <f>IFERROR(__xludf.DUMMYFUNCTION("""COMPUTED_VALUE"""),"Psyduck")</f>
        <v>Psyduck</v>
      </c>
      <c r="B55" s="11" t="str">
        <f>IFERROR(__xludf.DUMMYFUNCTION("""COMPUTED_VALUE"""),"Shiny Catch Rate")</f>
        <v>Shiny Catch Rate</v>
      </c>
      <c r="C55" s="11" t="str">
        <f>IFERROR(__xludf.DUMMYFUNCTION("""COMPUTED_VALUE"""),"Catch Rate")</f>
        <v>Catch Rate</v>
      </c>
      <c r="F55" s="42"/>
      <c r="G55" s="186"/>
      <c r="H55" s="186"/>
      <c r="I55" s="186"/>
    </row>
    <row r="56">
      <c r="A56" s="11" t="str">
        <f>IFERROR(__xludf.DUMMYFUNCTION("""COMPUTED_VALUE"""),"Golduck")</f>
        <v>Golduck</v>
      </c>
      <c r="B56" s="11" t="str">
        <f>IFERROR(__xludf.DUMMYFUNCTION("""COMPUTED_VALUE"""),"Shiny Charm Rate")</f>
        <v>Shiny Charm Rate</v>
      </c>
      <c r="C56" s="11" t="str">
        <f>IFERROR(__xludf.DUMMYFUNCTION("""COMPUTED_VALUE"""),"Shiny Catch Rate")</f>
        <v>Shiny Catch Rate</v>
      </c>
      <c r="F56" s="42"/>
      <c r="G56" s="186"/>
      <c r="H56" s="186"/>
      <c r="I56" s="186"/>
    </row>
    <row r="57">
      <c r="A57" s="11" t="str">
        <f>IFERROR(__xludf.DUMMYFUNCTION("""COMPUTED_VALUE"""),"Mankey")</f>
        <v>Mankey</v>
      </c>
      <c r="B57" s="11" t="str">
        <f>IFERROR(__xludf.DUMMYFUNCTION("""COMPUTED_VALUE"""),"Critical Resistance")</f>
        <v>Critical Resistance</v>
      </c>
      <c r="C57" s="11" t="str">
        <f>IFERROR(__xludf.DUMMYFUNCTION("""COMPUTED_VALUE"""),"Shiny Charm Rate")</f>
        <v>Shiny Charm Rate</v>
      </c>
      <c r="F57" s="42"/>
      <c r="G57" s="186"/>
      <c r="H57" s="186"/>
      <c r="I57" s="186"/>
    </row>
    <row r="58">
      <c r="A58" s="11" t="str">
        <f>IFERROR(__xludf.DUMMYFUNCTION("""COMPUTED_VALUE"""),"Primeape")</f>
        <v>Primeape</v>
      </c>
      <c r="B58" s="11" t="str">
        <f>IFERROR(__xludf.DUMMYFUNCTION("""COMPUTED_VALUE"""),"Fly Speed")</f>
        <v>Fly Speed</v>
      </c>
      <c r="C58" s="11" t="str">
        <f>IFERROR(__xludf.DUMMYFUNCTION("""COMPUTED_VALUE"""),"Extra Fishing")</f>
        <v>Extra Fishing</v>
      </c>
      <c r="F58" s="42"/>
      <c r="G58" s="186"/>
      <c r="H58" s="186"/>
      <c r="I58" s="186"/>
    </row>
    <row r="59">
      <c r="A59" s="11" t="str">
        <f>IFERROR(__xludf.DUMMYFUNCTION("""COMPUTED_VALUE"""),"Growlithe")</f>
        <v>Growlithe</v>
      </c>
      <c r="B59" s="11" t="str">
        <f>IFERROR(__xludf.DUMMYFUNCTION("""COMPUTED_VALUE"""),"Surf Speed")</f>
        <v>Surf Speed</v>
      </c>
      <c r="C59" s="11" t="str">
        <f>IFERROR(__xludf.DUMMYFUNCTION("""COMPUTED_VALUE"""),"Fly Spped")</f>
        <v>Fly Spped</v>
      </c>
      <c r="F59" s="42"/>
      <c r="G59" s="186"/>
      <c r="H59" s="186"/>
      <c r="I59" s="186"/>
    </row>
    <row r="60">
      <c r="A60" s="11" t="str">
        <f>IFERROR(__xludf.DUMMYFUNCTION("""COMPUTED_VALUE"""),"Arcanine")</f>
        <v>Arcanine</v>
      </c>
      <c r="B60" s="11" t="str">
        <f>IFERROR(__xludf.DUMMYFUNCTION("""COMPUTED_VALUE"""),"Ride Speed")</f>
        <v>Ride Speed</v>
      </c>
      <c r="C60" s="11" t="str">
        <f>IFERROR(__xludf.DUMMYFUNCTION("""COMPUTED_VALUE"""),"Surf Speed")</f>
        <v>Surf Speed</v>
      </c>
      <c r="F60" s="42"/>
      <c r="G60" s="186"/>
      <c r="H60" s="186"/>
      <c r="I60" s="186"/>
    </row>
    <row r="61">
      <c r="A61" s="11" t="str">
        <f>IFERROR(__xludf.DUMMYFUNCTION("""COMPUTED_VALUE"""),"Poliwag")</f>
        <v>Poliwag</v>
      </c>
      <c r="B61" s="11" t="str">
        <f>IFERROR(__xludf.DUMMYFUNCTION("""COMPUTED_VALUE"""),"Damage Boost")</f>
        <v>Damage Boost</v>
      </c>
      <c r="C61" s="11" t="str">
        <f>IFERROR(__xludf.DUMMYFUNCTION("""COMPUTED_VALUE"""),"Ride Speed")</f>
        <v>Ride Speed</v>
      </c>
      <c r="F61" s="42"/>
      <c r="G61" s="186"/>
      <c r="H61" s="186"/>
      <c r="I61" s="186"/>
    </row>
    <row r="62">
      <c r="A62" s="11" t="str">
        <f>IFERROR(__xludf.DUMMYFUNCTION("""COMPUTED_VALUE"""),"Poliwhirl")</f>
        <v>Poliwhirl</v>
      </c>
      <c r="B62" s="11" t="str">
        <f>IFERROR(__xludf.DUMMYFUNCTION("""COMPUTED_VALUE"""),"Defense Boost")</f>
        <v>Defense Boost</v>
      </c>
      <c r="C62" s="11" t="str">
        <f>IFERROR(__xludf.DUMMYFUNCTION("""COMPUTED_VALUE"""),"Surf Speed")</f>
        <v>Surf Speed</v>
      </c>
      <c r="F62" s="42"/>
      <c r="G62" s="186"/>
      <c r="H62" s="186"/>
      <c r="I62" s="186"/>
    </row>
    <row r="63">
      <c r="A63" s="11" t="str">
        <f>IFERROR(__xludf.DUMMYFUNCTION("""COMPUTED_VALUE"""),"Poliwrath")</f>
        <v>Poliwrath</v>
      </c>
      <c r="B63" s="11" t="str">
        <f>IFERROR(__xludf.DUMMYFUNCTION("""COMPUTED_VALUE"""),"HP Boost")</f>
        <v>HP Boost</v>
      </c>
      <c r="C63" s="11" t="str">
        <f>IFERROR(__xludf.DUMMYFUNCTION("""COMPUTED_VALUE"""),"Defense Boost")</f>
        <v>Defense Boost</v>
      </c>
      <c r="F63" s="42"/>
      <c r="G63" s="186"/>
      <c r="H63" s="186"/>
      <c r="I63" s="186"/>
    </row>
    <row r="64">
      <c r="A64" s="11" t="str">
        <f>IFERROR(__xludf.DUMMYFUNCTION("""COMPUTED_VALUE"""),"Abra")</f>
        <v>Abra</v>
      </c>
      <c r="B64" s="11" t="str">
        <f>IFERROR(__xludf.DUMMYFUNCTION("""COMPUTED_VALUE"""),"Pokemon Speed")</f>
        <v>Pokemon Speed</v>
      </c>
      <c r="C64" s="11" t="str">
        <f>IFERROR(__xludf.DUMMYFUNCTION("""COMPUTED_VALUE"""),"Hp Boost")</f>
        <v>Hp Boost</v>
      </c>
      <c r="F64" s="42"/>
      <c r="G64" s="186"/>
      <c r="H64" s="186"/>
      <c r="I64" s="186"/>
    </row>
    <row r="65">
      <c r="A65" s="11" t="str">
        <f>IFERROR(__xludf.DUMMYFUNCTION("""COMPUTED_VALUE"""),"Kadabra")</f>
        <v>Kadabra</v>
      </c>
      <c r="B65" s="11" t="str">
        <f>IFERROR(__xludf.DUMMYFUNCTION("""COMPUTED_VALUE"""),"Character Speed")</f>
        <v>Character Speed</v>
      </c>
      <c r="C65" s="11" t="str">
        <f>IFERROR(__xludf.DUMMYFUNCTION("""COMPUTED_VALUE"""),"Pokemon Speed")</f>
        <v>Pokemon Speed</v>
      </c>
      <c r="F65" s="42"/>
      <c r="G65" s="186"/>
      <c r="H65" s="186"/>
      <c r="I65" s="186"/>
    </row>
    <row r="66">
      <c r="A66" s="11" t="str">
        <f>IFERROR(__xludf.DUMMYFUNCTION("""COMPUTED_VALUE"""),"Alakazam")</f>
        <v>Alakazam</v>
      </c>
      <c r="B66" s="11" t="str">
        <f>IFERROR(__xludf.DUMMYFUNCTION("""COMPUTED_VALUE"""),"Critical Chance")</f>
        <v>Critical Chance</v>
      </c>
      <c r="C66" s="11" t="str">
        <f>IFERROR(__xludf.DUMMYFUNCTION("""COMPUTED_VALUE"""),"Character Speed")</f>
        <v>Character Speed</v>
      </c>
      <c r="F66" s="42"/>
      <c r="G66" s="186"/>
      <c r="H66" s="186"/>
      <c r="I66" s="186"/>
    </row>
    <row r="67">
      <c r="A67" s="11" t="str">
        <f>IFERROR(__xludf.DUMMYFUNCTION("""COMPUTED_VALUE"""),"Machop")</f>
        <v>Machop</v>
      </c>
      <c r="B67" s="11" t="str">
        <f>IFERROR(__xludf.DUMMYFUNCTION("""COMPUTED_VALUE"""),"Critical Damage")</f>
        <v>Critical Damage</v>
      </c>
      <c r="C67" s="11" t="str">
        <f>IFERROR(__xludf.DUMMYFUNCTION("""COMPUTED_VALUE"""),"Critical Change")</f>
        <v>Critical Change</v>
      </c>
      <c r="F67" s="42"/>
      <c r="G67" s="186"/>
      <c r="H67" s="186"/>
      <c r="I67" s="186"/>
    </row>
    <row r="68">
      <c r="A68" s="11" t="str">
        <f>IFERROR(__xludf.DUMMYFUNCTION("""COMPUTED_VALUE"""),"Machoke")</f>
        <v>Machoke</v>
      </c>
      <c r="B68" s="11" t="str">
        <f>IFERROR(__xludf.DUMMYFUNCTION("""COMPUTED_VALUE"""),"Life Leech")</f>
        <v>Life Leech</v>
      </c>
      <c r="C68" s="11" t="str">
        <f>IFERROR(__xludf.DUMMYFUNCTION("""COMPUTED_VALUE"""),"Critical Damage")</f>
        <v>Critical Damage</v>
      </c>
      <c r="F68" s="42"/>
      <c r="G68" s="186"/>
      <c r="H68" s="186"/>
      <c r="I68" s="186"/>
    </row>
    <row r="69">
      <c r="A69" s="11" t="str">
        <f>IFERROR(__xludf.DUMMYFUNCTION("""COMPUTED_VALUE"""),"Machamp")</f>
        <v>Machamp</v>
      </c>
      <c r="B69" s="11" t="str">
        <f>IFERROR(__xludf.DUMMYFUNCTION("""COMPUTED_VALUE"""),"Precision Percent")</f>
        <v>Precision Percent</v>
      </c>
      <c r="C69" s="11" t="str">
        <f>IFERROR(__xludf.DUMMYFUNCTION("""COMPUTED_VALUE"""),"Life Leech")</f>
        <v>Life Leech</v>
      </c>
      <c r="F69" s="42"/>
      <c r="G69" s="186"/>
      <c r="H69" s="186"/>
      <c r="I69" s="186"/>
    </row>
    <row r="70">
      <c r="A70" s="11" t="str">
        <f>IFERROR(__xludf.DUMMYFUNCTION("""COMPUTED_VALUE"""),"Bellsprout")</f>
        <v>Bellsprout</v>
      </c>
      <c r="B70" s="11" t="str">
        <f>IFERROR(__xludf.DUMMYFUNCTION("""COMPUTED_VALUE"""),"Evasion Percent")</f>
        <v>Evasion Percent</v>
      </c>
      <c r="C70" s="11" t="str">
        <f>IFERROR(__xludf.DUMMYFUNCTION("""COMPUTED_VALUE"""),"Fishing Skill")</f>
        <v>Fishing Skill</v>
      </c>
      <c r="F70" s="42"/>
      <c r="G70" s="186"/>
      <c r="H70" s="186"/>
      <c r="I70" s="186"/>
    </row>
    <row r="71">
      <c r="A71" s="11" t="str">
        <f>IFERROR(__xludf.DUMMYFUNCTION("""COMPUTED_VALUE"""),"Weepinbell")</f>
        <v>Weepinbell</v>
      </c>
      <c r="B71" s="11" t="str">
        <f>IFERROR(__xludf.DUMMYFUNCTION("""COMPUTED_VALUE"""),"Shiny Fishing Rate")</f>
        <v>Shiny Fishing Rate</v>
      </c>
      <c r="C71" s="11" t="str">
        <f>IFERROR(__xludf.DUMMYFUNCTION("""COMPUTED_VALUE"""),"Evasion Percent")</f>
        <v>Evasion Percent</v>
      </c>
      <c r="F71" s="42"/>
      <c r="G71" s="186"/>
      <c r="H71" s="186"/>
      <c r="I71" s="186"/>
    </row>
    <row r="72">
      <c r="A72" s="11" t="str">
        <f>IFERROR(__xludf.DUMMYFUNCTION("""COMPUTED_VALUE"""),"Victreebel")</f>
        <v>Victreebel</v>
      </c>
      <c r="B72" s="11" t="str">
        <f>IFERROR(__xludf.DUMMYFUNCTION("""COMPUTED_VALUE"""),"Shiny Headbutt Rate")</f>
        <v>Shiny Headbutt Rate</v>
      </c>
      <c r="C72" s="11" t="str">
        <f>IFERROR(__xludf.DUMMYFUNCTION("""COMPUTED_VALUE"""),"Shiny Fishing Rate")</f>
        <v>Shiny Fishing Rate</v>
      </c>
      <c r="F72" s="42"/>
      <c r="G72" s="186"/>
      <c r="H72" s="186"/>
      <c r="I72" s="186"/>
    </row>
    <row r="73">
      <c r="A73" s="11" t="str">
        <f>IFERROR(__xludf.DUMMYFUNCTION("""COMPUTED_VALUE"""),"Tentacool")</f>
        <v>Tentacool</v>
      </c>
      <c r="B73" s="11" t="str">
        <f>IFERROR(__xludf.DUMMYFUNCTION("""COMPUTED_VALUE"""),"Loot Boost")</f>
        <v>Loot Boost</v>
      </c>
      <c r="C73" s="11" t="str">
        <f>IFERROR(__xludf.DUMMYFUNCTION("""COMPUTED_VALUE"""),"Shiny Headbutt Rate")</f>
        <v>Shiny Headbutt Rate</v>
      </c>
      <c r="F73" s="42"/>
      <c r="G73" s="186"/>
      <c r="H73" s="186"/>
      <c r="I73" s="186"/>
    </row>
    <row r="74">
      <c r="A74" s="11" t="str">
        <f>IFERROR(__xludf.DUMMYFUNCTION("""COMPUTED_VALUE"""),"Tentacruel")</f>
        <v>Tentacruel</v>
      </c>
      <c r="B74" s="11" t="str">
        <f>IFERROR(__xludf.DUMMYFUNCTION("""COMPUTED_VALUE"""),"Catch Rate")</f>
        <v>Catch Rate</v>
      </c>
      <c r="C74" s="11" t="str">
        <f>IFERROR(__xludf.DUMMYFUNCTION("""COMPUTED_VALUE"""),"Loot Boost")</f>
        <v>Loot Boost</v>
      </c>
      <c r="F74" s="42"/>
      <c r="G74" s="186"/>
      <c r="H74" s="186"/>
      <c r="I74" s="186"/>
    </row>
    <row r="75">
      <c r="A75" s="11" t="str">
        <f>IFERROR(__xludf.DUMMYFUNCTION("""COMPUTED_VALUE"""),"Geodude")</f>
        <v>Geodude</v>
      </c>
      <c r="B75" s="11" t="str">
        <f>IFERROR(__xludf.DUMMYFUNCTION("""COMPUTED_VALUE"""),"Shiny Catch Rate")</f>
        <v>Shiny Catch Rate</v>
      </c>
      <c r="C75" s="11" t="str">
        <f>IFERROR(__xludf.DUMMYFUNCTION("""COMPUTED_VALUE"""),"Catch Rate")</f>
        <v>Catch Rate</v>
      </c>
      <c r="F75" s="42"/>
      <c r="G75" s="186"/>
      <c r="H75" s="186"/>
      <c r="I75" s="186"/>
    </row>
    <row r="76">
      <c r="A76" s="11" t="str">
        <f>IFERROR(__xludf.DUMMYFUNCTION("""COMPUTED_VALUE"""),"Graveler")</f>
        <v>Graveler</v>
      </c>
      <c r="B76" s="11" t="str">
        <f>IFERROR(__xludf.DUMMYFUNCTION("""COMPUTED_VALUE"""),"Shiny Charm Rate")</f>
        <v>Shiny Charm Rate</v>
      </c>
      <c r="C76" s="11" t="str">
        <f>IFERROR(__xludf.DUMMYFUNCTION("""COMPUTED_VALUE"""),"Shiny Catch Rate")</f>
        <v>Shiny Catch Rate</v>
      </c>
      <c r="F76" s="42"/>
      <c r="G76" s="186"/>
      <c r="H76" s="186"/>
      <c r="I76" s="186"/>
    </row>
    <row r="77">
      <c r="A77" s="11" t="str">
        <f>IFERROR(__xludf.DUMMYFUNCTION("""COMPUTED_VALUE"""),"Golem")</f>
        <v>Golem</v>
      </c>
      <c r="B77" s="11" t="str">
        <f>IFERROR(__xludf.DUMMYFUNCTION("""COMPUTED_VALUE"""),"Critical Resistance")</f>
        <v>Critical Resistance</v>
      </c>
      <c r="C77" s="11" t="str">
        <f>IFERROR(__xludf.DUMMYFUNCTION("""COMPUTED_VALUE"""),"Shiny Charm Rate")</f>
        <v>Shiny Charm Rate</v>
      </c>
      <c r="F77" s="42"/>
      <c r="G77" s="186"/>
      <c r="H77" s="186"/>
      <c r="I77" s="186"/>
    </row>
    <row r="78">
      <c r="A78" s="11" t="str">
        <f>IFERROR(__xludf.DUMMYFUNCTION("""COMPUTED_VALUE"""),"Ponyta")</f>
        <v>Ponyta</v>
      </c>
      <c r="B78" s="11" t="str">
        <f>IFERROR(__xludf.DUMMYFUNCTION("""COMPUTED_VALUE"""),"Fly Speed")</f>
        <v>Fly Speed</v>
      </c>
      <c r="C78" s="11" t="str">
        <f>IFERROR(__xludf.DUMMYFUNCTION("""COMPUTED_VALUE"""),"Extra Fishing")</f>
        <v>Extra Fishing</v>
      </c>
      <c r="F78" s="42"/>
      <c r="G78" s="186"/>
      <c r="H78" s="186"/>
      <c r="I78" s="186"/>
    </row>
    <row r="79">
      <c r="A79" s="11" t="str">
        <f>IFERROR(__xludf.DUMMYFUNCTION("""COMPUTED_VALUE"""),"Rapidash")</f>
        <v>Rapidash</v>
      </c>
      <c r="B79" s="11" t="str">
        <f>IFERROR(__xludf.DUMMYFUNCTION("""COMPUTED_VALUE"""),"Surf Speed")</f>
        <v>Surf Speed</v>
      </c>
      <c r="C79" s="11" t="str">
        <f>IFERROR(__xludf.DUMMYFUNCTION("""COMPUTED_VALUE"""),"Fly Speed")</f>
        <v>Fly Speed</v>
      </c>
      <c r="F79" s="42"/>
      <c r="G79" s="186"/>
      <c r="H79" s="186"/>
      <c r="I79" s="186"/>
    </row>
    <row r="80">
      <c r="A80" s="11" t="str">
        <f>IFERROR(__xludf.DUMMYFUNCTION("""COMPUTED_VALUE"""),"Slowpoke")</f>
        <v>Slowpoke</v>
      </c>
      <c r="B80" s="11" t="str">
        <f>IFERROR(__xludf.DUMMYFUNCTION("""COMPUTED_VALUE"""),"Ride Speed")</f>
        <v>Ride Speed</v>
      </c>
      <c r="C80" s="11" t="str">
        <f>IFERROR(__xludf.DUMMYFUNCTION("""COMPUTED_VALUE"""),"Surf Speed")</f>
        <v>Surf Speed</v>
      </c>
      <c r="F80" s="42"/>
      <c r="G80" s="186"/>
      <c r="H80" s="186"/>
      <c r="I80" s="186"/>
    </row>
    <row r="81">
      <c r="A81" s="11" t="str">
        <f>IFERROR(__xludf.DUMMYFUNCTION("""COMPUTED_VALUE"""),"Slowbro")</f>
        <v>Slowbro</v>
      </c>
      <c r="B81" s="11" t="str">
        <f>IFERROR(__xludf.DUMMYFUNCTION("""COMPUTED_VALUE"""),"Damage Boost")</f>
        <v>Damage Boost</v>
      </c>
      <c r="C81" s="11" t="str">
        <f>IFERROR(__xludf.DUMMYFUNCTION("""COMPUTED_VALUE"""),"Ride Speed")</f>
        <v>Ride Speed</v>
      </c>
      <c r="F81" s="42"/>
      <c r="G81" s="186"/>
      <c r="H81" s="186"/>
      <c r="I81" s="186"/>
    </row>
    <row r="82">
      <c r="A82" s="11" t="str">
        <f>IFERROR(__xludf.DUMMYFUNCTION("""COMPUTED_VALUE"""),"Magnemite")</f>
        <v>Magnemite</v>
      </c>
      <c r="B82" s="11" t="str">
        <f>IFERROR(__xludf.DUMMYFUNCTION("""COMPUTED_VALUE"""),"Defense Boost")</f>
        <v>Defense Boost</v>
      </c>
      <c r="C82" s="11" t="str">
        <f>IFERROR(__xludf.DUMMYFUNCTION("""COMPUTED_VALUE"""),"Damage Boost")</f>
        <v>Damage Boost</v>
      </c>
      <c r="F82" s="42"/>
      <c r="G82" s="186"/>
      <c r="H82" s="186"/>
      <c r="I82" s="186"/>
    </row>
    <row r="83">
      <c r="A83" s="11" t="str">
        <f>IFERROR(__xludf.DUMMYFUNCTION("""COMPUTED_VALUE"""),"Magneton")</f>
        <v>Magneton</v>
      </c>
      <c r="B83" s="11" t="str">
        <f>IFERROR(__xludf.DUMMYFUNCTION("""COMPUTED_VALUE"""),"HP Boost")</f>
        <v>HP Boost</v>
      </c>
      <c r="C83" s="11" t="str">
        <f>IFERROR(__xludf.DUMMYFUNCTION("""COMPUTED_VALUE"""),"Defense Boost")</f>
        <v>Defense Boost</v>
      </c>
      <c r="F83" s="42"/>
      <c r="G83" s="186"/>
      <c r="H83" s="186"/>
      <c r="I83" s="186"/>
    </row>
    <row r="84">
      <c r="A84" s="11" t="str">
        <f>IFERROR(__xludf.DUMMYFUNCTION("""COMPUTED_VALUE"""),"Farfetch'd")</f>
        <v>Farfetch'd</v>
      </c>
      <c r="B84" s="11" t="str">
        <f>IFERROR(__xludf.DUMMYFUNCTION("""COMPUTED_VALUE"""),"Pokemon Speed")</f>
        <v>Pokemon Speed</v>
      </c>
      <c r="C84" s="11" t="str">
        <f>IFERROR(__xludf.DUMMYFUNCTION("""COMPUTED_VALUE"""),"Hp Boost")</f>
        <v>Hp Boost</v>
      </c>
      <c r="F84" s="42"/>
      <c r="G84" s="186"/>
      <c r="H84" s="186"/>
      <c r="I84" s="186"/>
    </row>
    <row r="85">
      <c r="A85" s="11" t="str">
        <f>IFERROR(__xludf.DUMMYFUNCTION("""COMPUTED_VALUE"""),"Doduo")</f>
        <v>Doduo</v>
      </c>
      <c r="B85" s="11" t="str">
        <f>IFERROR(__xludf.DUMMYFUNCTION("""COMPUTED_VALUE"""),"Character Speed")</f>
        <v>Character Speed</v>
      </c>
      <c r="C85" s="11" t="str">
        <f>IFERROR(__xludf.DUMMYFUNCTION("""COMPUTED_VALUE"""),"Pokemon Speed")</f>
        <v>Pokemon Speed</v>
      </c>
      <c r="F85" s="42"/>
      <c r="G85" s="186"/>
      <c r="H85" s="186"/>
      <c r="I85" s="186"/>
    </row>
    <row r="86">
      <c r="A86" s="11" t="str">
        <f>IFERROR(__xludf.DUMMYFUNCTION("""COMPUTED_VALUE"""),"Dodrio")</f>
        <v>Dodrio</v>
      </c>
      <c r="B86" s="11" t="str">
        <f>IFERROR(__xludf.DUMMYFUNCTION("""COMPUTED_VALUE"""),"Critical Chance")</f>
        <v>Critical Chance</v>
      </c>
      <c r="C86" s="11" t="str">
        <f>IFERROR(__xludf.DUMMYFUNCTION("""COMPUTED_VALUE"""),"Character Speed")</f>
        <v>Character Speed</v>
      </c>
      <c r="F86" s="42"/>
      <c r="G86" s="186"/>
      <c r="H86" s="186"/>
      <c r="I86" s="186"/>
    </row>
    <row r="87">
      <c r="A87" s="11" t="str">
        <f>IFERROR(__xludf.DUMMYFUNCTION("""COMPUTED_VALUE"""),"Seel")</f>
        <v>Seel</v>
      </c>
      <c r="B87" s="11" t="str">
        <f>IFERROR(__xludf.DUMMYFUNCTION("""COMPUTED_VALUE"""),"Critical Damage")</f>
        <v>Critical Damage</v>
      </c>
      <c r="C87" s="11" t="str">
        <f>IFERROR(__xludf.DUMMYFUNCTION("""COMPUTED_VALUE"""),"Critical Chance")</f>
        <v>Critical Chance</v>
      </c>
      <c r="F87" s="42"/>
      <c r="G87" s="186"/>
      <c r="H87" s="186"/>
      <c r="I87" s="186"/>
    </row>
    <row r="88">
      <c r="A88" s="11" t="str">
        <f>IFERROR(__xludf.DUMMYFUNCTION("""COMPUTED_VALUE"""),"Dewgong")</f>
        <v>Dewgong</v>
      </c>
      <c r="B88" s="11" t="str">
        <f>IFERROR(__xludf.DUMMYFUNCTION("""COMPUTED_VALUE"""),"Life Leech")</f>
        <v>Life Leech</v>
      </c>
      <c r="C88" s="11" t="str">
        <f>IFERROR(__xludf.DUMMYFUNCTION("""COMPUTED_VALUE"""),"Critical Damage")</f>
        <v>Critical Damage</v>
      </c>
      <c r="F88" s="42"/>
      <c r="G88" s="186"/>
      <c r="H88" s="186"/>
      <c r="I88" s="186"/>
    </row>
    <row r="89">
      <c r="A89" s="11" t="str">
        <f>IFERROR(__xludf.DUMMYFUNCTION("""COMPUTED_VALUE"""),"Grimer")</f>
        <v>Grimer</v>
      </c>
      <c r="B89" s="11" t="str">
        <f>IFERROR(__xludf.DUMMYFUNCTION("""COMPUTED_VALUE"""),"Precision Percent")</f>
        <v>Precision Percent</v>
      </c>
      <c r="C89" s="11" t="str">
        <f>IFERROR(__xludf.DUMMYFUNCTION("""COMPUTED_VALUE"""),"Life Leech")</f>
        <v>Life Leech</v>
      </c>
      <c r="F89" s="42"/>
      <c r="G89" s="186"/>
      <c r="H89" s="186"/>
      <c r="I89" s="186"/>
    </row>
    <row r="90">
      <c r="A90" s="11" t="str">
        <f>IFERROR(__xludf.DUMMYFUNCTION("""COMPUTED_VALUE"""),"Muk")</f>
        <v>Muk</v>
      </c>
      <c r="B90" s="11" t="str">
        <f>IFERROR(__xludf.DUMMYFUNCTION("""COMPUTED_VALUE"""),"Evasion Percent")</f>
        <v>Evasion Percent</v>
      </c>
      <c r="C90" s="11" t="str">
        <f>IFERROR(__xludf.DUMMYFUNCTION("""COMPUTED_VALUE"""),"Fishing Skill")</f>
        <v>Fishing Skill</v>
      </c>
      <c r="F90" s="42"/>
      <c r="G90" s="186"/>
      <c r="H90" s="186"/>
      <c r="I90" s="186"/>
    </row>
    <row r="91">
      <c r="A91" s="11" t="str">
        <f>IFERROR(__xludf.DUMMYFUNCTION("""COMPUTED_VALUE"""),"Shellder")</f>
        <v>Shellder</v>
      </c>
      <c r="B91" s="11" t="str">
        <f>IFERROR(__xludf.DUMMYFUNCTION("""COMPUTED_VALUE"""),"Shiny Fishing Rate")</f>
        <v>Shiny Fishing Rate</v>
      </c>
      <c r="C91" s="11" t="str">
        <f>IFERROR(__xludf.DUMMYFUNCTION("""COMPUTED_VALUE"""),"Evasion Percent")</f>
        <v>Evasion Percent</v>
      </c>
      <c r="F91" s="42"/>
      <c r="G91" s="186"/>
      <c r="H91" s="186"/>
      <c r="I91" s="186"/>
    </row>
    <row r="92">
      <c r="A92" s="11" t="str">
        <f>IFERROR(__xludf.DUMMYFUNCTION("""COMPUTED_VALUE"""),"Cloyster")</f>
        <v>Cloyster</v>
      </c>
      <c r="B92" s="11" t="str">
        <f>IFERROR(__xludf.DUMMYFUNCTION("""COMPUTED_VALUE"""),"Shiny Headbutt Rate")</f>
        <v>Shiny Headbutt Rate</v>
      </c>
      <c r="C92" s="11" t="str">
        <f>IFERROR(__xludf.DUMMYFUNCTION("""COMPUTED_VALUE"""),"Shiny Fishing Rate")</f>
        <v>Shiny Fishing Rate</v>
      </c>
      <c r="F92" s="42"/>
      <c r="G92" s="186"/>
      <c r="H92" s="186"/>
      <c r="I92" s="186"/>
    </row>
    <row r="93">
      <c r="A93" s="11" t="str">
        <f>IFERROR(__xludf.DUMMYFUNCTION("""COMPUTED_VALUE"""),"Gastly")</f>
        <v>Gastly</v>
      </c>
      <c r="B93" s="11" t="str">
        <f>IFERROR(__xludf.DUMMYFUNCTION("""COMPUTED_VALUE"""),"Loot Boost")</f>
        <v>Loot Boost</v>
      </c>
      <c r="C93" s="11" t="str">
        <f>IFERROR(__xludf.DUMMYFUNCTION("""COMPUTED_VALUE"""),"Shiny Headbutt Rate")</f>
        <v>Shiny Headbutt Rate</v>
      </c>
      <c r="F93" s="42"/>
      <c r="G93" s="186"/>
      <c r="H93" s="186"/>
      <c r="I93" s="186"/>
    </row>
    <row r="94">
      <c r="A94" s="11" t="str">
        <f>IFERROR(__xludf.DUMMYFUNCTION("""COMPUTED_VALUE"""),"Haunter")</f>
        <v>Haunter</v>
      </c>
      <c r="B94" s="11" t="str">
        <f>IFERROR(__xludf.DUMMYFUNCTION("""COMPUTED_VALUE"""),"Catch Rate")</f>
        <v>Catch Rate</v>
      </c>
      <c r="C94" s="11" t="str">
        <f>IFERROR(__xludf.DUMMYFUNCTION("""COMPUTED_VALUE"""),"Loot Boost")</f>
        <v>Loot Boost</v>
      </c>
      <c r="F94" s="42"/>
      <c r="G94" s="186"/>
      <c r="H94" s="186"/>
      <c r="I94" s="186"/>
    </row>
    <row r="95">
      <c r="A95" s="11" t="str">
        <f>IFERROR(__xludf.DUMMYFUNCTION("""COMPUTED_VALUE"""),"Gengar")</f>
        <v>Gengar</v>
      </c>
      <c r="B95" s="11" t="str">
        <f>IFERROR(__xludf.DUMMYFUNCTION("""COMPUTED_VALUE"""),"Shiny Catch Rate")</f>
        <v>Shiny Catch Rate</v>
      </c>
      <c r="C95" s="11" t="str">
        <f>IFERROR(__xludf.DUMMYFUNCTION("""COMPUTED_VALUE"""),"Catch Rate")</f>
        <v>Catch Rate</v>
      </c>
      <c r="F95" s="42"/>
      <c r="G95" s="186"/>
      <c r="H95" s="186"/>
      <c r="I95" s="186"/>
    </row>
    <row r="96">
      <c r="A96" s="11" t="str">
        <f>IFERROR(__xludf.DUMMYFUNCTION("""COMPUTED_VALUE"""),"Onix")</f>
        <v>Onix</v>
      </c>
      <c r="B96" s="11" t="str">
        <f>IFERROR(__xludf.DUMMYFUNCTION("""COMPUTED_VALUE"""),"Shiny Charm Rate")</f>
        <v>Shiny Charm Rate</v>
      </c>
      <c r="C96" s="11" t="str">
        <f>IFERROR(__xludf.DUMMYFUNCTION("""COMPUTED_VALUE"""),"Shiny Catch Rate")</f>
        <v>Shiny Catch Rate</v>
      </c>
      <c r="F96" s="42"/>
      <c r="G96" s="186"/>
      <c r="H96" s="186"/>
      <c r="I96" s="186"/>
    </row>
    <row r="97">
      <c r="A97" s="11" t="str">
        <f>IFERROR(__xludf.DUMMYFUNCTION("""COMPUTED_VALUE"""),"Drowzee")</f>
        <v>Drowzee</v>
      </c>
      <c r="B97" s="11" t="str">
        <f>IFERROR(__xludf.DUMMYFUNCTION("""COMPUTED_VALUE"""),"Critical Resistance")</f>
        <v>Critical Resistance</v>
      </c>
      <c r="C97" s="11" t="str">
        <f>IFERROR(__xludf.DUMMYFUNCTION("""COMPUTED_VALUE"""),"Shiny Charm Rate")</f>
        <v>Shiny Charm Rate</v>
      </c>
      <c r="F97" s="42"/>
      <c r="G97" s="186"/>
      <c r="H97" s="186"/>
      <c r="I97" s="186"/>
    </row>
    <row r="98">
      <c r="A98" s="11" t="str">
        <f>IFERROR(__xludf.DUMMYFUNCTION("""COMPUTED_VALUE"""),"Hypno")</f>
        <v>Hypno</v>
      </c>
      <c r="B98" s="11" t="str">
        <f>IFERROR(__xludf.DUMMYFUNCTION("""COMPUTED_VALUE"""),"Fly Speed")</f>
        <v>Fly Speed</v>
      </c>
      <c r="C98" s="11" t="str">
        <f>IFERROR(__xludf.DUMMYFUNCTION("""COMPUTED_VALUE"""),"Extra Fishing")</f>
        <v>Extra Fishing</v>
      </c>
      <c r="F98" s="42"/>
      <c r="G98" s="186"/>
      <c r="H98" s="186"/>
      <c r="I98" s="186"/>
    </row>
    <row r="99">
      <c r="A99" s="11" t="str">
        <f>IFERROR(__xludf.DUMMYFUNCTION("""COMPUTED_VALUE"""),"Krabby")</f>
        <v>Krabby</v>
      </c>
      <c r="B99" s="11" t="str">
        <f>IFERROR(__xludf.DUMMYFUNCTION("""COMPUTED_VALUE"""),"Surf Speed")</f>
        <v>Surf Speed</v>
      </c>
      <c r="C99" s="11" t="str">
        <f>IFERROR(__xludf.DUMMYFUNCTION("""COMPUTED_VALUE"""),"Fly Speed")</f>
        <v>Fly Speed</v>
      </c>
      <c r="F99" s="42"/>
      <c r="G99" s="186"/>
      <c r="H99" s="186"/>
      <c r="I99" s="186"/>
    </row>
    <row r="100">
      <c r="A100" s="11" t="str">
        <f>IFERROR(__xludf.DUMMYFUNCTION("""COMPUTED_VALUE"""),"Kingler")</f>
        <v>Kingler</v>
      </c>
      <c r="B100" s="11" t="str">
        <f>IFERROR(__xludf.DUMMYFUNCTION("""COMPUTED_VALUE"""),"Ride Speed")</f>
        <v>Ride Speed</v>
      </c>
      <c r="C100" s="11" t="str">
        <f>IFERROR(__xludf.DUMMYFUNCTION("""COMPUTED_VALUE"""),"Surf Speed")</f>
        <v>Surf Speed</v>
      </c>
      <c r="F100" s="42"/>
      <c r="G100" s="186"/>
      <c r="H100" s="186"/>
      <c r="I100" s="186"/>
    </row>
    <row r="101">
      <c r="A101" s="11" t="str">
        <f>IFERROR(__xludf.DUMMYFUNCTION("""COMPUTED_VALUE"""),"Voltorb")</f>
        <v>Voltorb</v>
      </c>
      <c r="B101" s="11" t="str">
        <f>IFERROR(__xludf.DUMMYFUNCTION("""COMPUTED_VALUE"""),"Damage Boost")</f>
        <v>Damage Boost</v>
      </c>
      <c r="C101" s="11" t="str">
        <f>IFERROR(__xludf.DUMMYFUNCTION("""COMPUTED_VALUE"""),"Ride Speed")</f>
        <v>Ride Speed</v>
      </c>
      <c r="F101" s="42"/>
      <c r="G101" s="186"/>
      <c r="H101" s="186"/>
      <c r="I101" s="186"/>
    </row>
    <row r="102">
      <c r="A102" s="11" t="str">
        <f>IFERROR(__xludf.DUMMYFUNCTION("""COMPUTED_VALUE"""),"Electrode")</f>
        <v>Electrode</v>
      </c>
      <c r="B102" s="11" t="str">
        <f>IFERROR(__xludf.DUMMYFUNCTION("""COMPUTED_VALUE"""),"Defense Boost")</f>
        <v>Defense Boost</v>
      </c>
      <c r="C102" s="11" t="str">
        <f>IFERROR(__xludf.DUMMYFUNCTION("""COMPUTED_VALUE"""),"Damage Boost")</f>
        <v>Damage Boost</v>
      </c>
      <c r="F102" s="42"/>
      <c r="G102" s="186"/>
      <c r="H102" s="186"/>
      <c r="I102" s="186"/>
    </row>
    <row r="103">
      <c r="A103" s="11" t="str">
        <f>IFERROR(__xludf.DUMMYFUNCTION("""COMPUTED_VALUE"""),"Exeggcute")</f>
        <v>Exeggcute</v>
      </c>
      <c r="B103" s="11" t="str">
        <f>IFERROR(__xludf.DUMMYFUNCTION("""COMPUTED_VALUE"""),"HP Boost")</f>
        <v>HP Boost</v>
      </c>
      <c r="C103" s="11" t="str">
        <f>IFERROR(__xludf.DUMMYFUNCTION("""COMPUTED_VALUE"""),"Defense Boost")</f>
        <v>Defense Boost</v>
      </c>
      <c r="F103" s="42"/>
      <c r="G103" s="186"/>
      <c r="H103" s="186"/>
      <c r="I103" s="186"/>
    </row>
    <row r="104">
      <c r="A104" s="11" t="str">
        <f>IFERROR(__xludf.DUMMYFUNCTION("""COMPUTED_VALUE"""),"Exeggutor")</f>
        <v>Exeggutor</v>
      </c>
      <c r="B104" s="11" t="str">
        <f>IFERROR(__xludf.DUMMYFUNCTION("""COMPUTED_VALUE"""),"Pokemon Speed")</f>
        <v>Pokemon Speed</v>
      </c>
      <c r="C104" s="11" t="str">
        <f>IFERROR(__xludf.DUMMYFUNCTION("""COMPUTED_VALUE"""),"Hp Boost")</f>
        <v>Hp Boost</v>
      </c>
      <c r="F104" s="42"/>
      <c r="G104" s="186"/>
      <c r="H104" s="186"/>
      <c r="I104" s="186"/>
    </row>
    <row r="105">
      <c r="A105" s="11" t="str">
        <f>IFERROR(__xludf.DUMMYFUNCTION("""COMPUTED_VALUE"""),"Cubone")</f>
        <v>Cubone</v>
      </c>
      <c r="B105" s="11" t="str">
        <f>IFERROR(__xludf.DUMMYFUNCTION("""COMPUTED_VALUE"""),"Character Speed")</f>
        <v>Character Speed</v>
      </c>
      <c r="C105" s="11" t="str">
        <f>IFERROR(__xludf.DUMMYFUNCTION("""COMPUTED_VALUE"""),"Pokemon Speed")</f>
        <v>Pokemon Speed</v>
      </c>
      <c r="F105" s="42"/>
      <c r="G105" s="186"/>
      <c r="H105" s="186"/>
      <c r="I105" s="186"/>
    </row>
    <row r="106">
      <c r="A106" s="11" t="str">
        <f>IFERROR(__xludf.DUMMYFUNCTION("""COMPUTED_VALUE"""),"Marowak")</f>
        <v>Marowak</v>
      </c>
      <c r="B106" s="11" t="str">
        <f>IFERROR(__xludf.DUMMYFUNCTION("""COMPUTED_VALUE"""),"Critical Chance")</f>
        <v>Critical Chance</v>
      </c>
      <c r="C106" s="11" t="str">
        <f>IFERROR(__xludf.DUMMYFUNCTION("""COMPUTED_VALUE"""),"Character Speed")</f>
        <v>Character Speed</v>
      </c>
      <c r="F106" s="42"/>
      <c r="G106" s="186"/>
      <c r="H106" s="186"/>
      <c r="I106" s="186"/>
    </row>
    <row r="107">
      <c r="A107" s="11" t="str">
        <f>IFERROR(__xludf.DUMMYFUNCTION("""COMPUTED_VALUE"""),"Hitmonlee")</f>
        <v>Hitmonlee</v>
      </c>
      <c r="B107" s="11" t="str">
        <f>IFERROR(__xludf.DUMMYFUNCTION("""COMPUTED_VALUE"""),"Critical Damage")</f>
        <v>Critical Damage</v>
      </c>
      <c r="C107" s="11" t="str">
        <f>IFERROR(__xludf.DUMMYFUNCTION("""COMPUTED_VALUE"""),"Critical Chance")</f>
        <v>Critical Chance</v>
      </c>
      <c r="F107" s="42"/>
      <c r="G107" s="186"/>
      <c r="H107" s="186"/>
      <c r="I107" s="186"/>
    </row>
    <row r="108">
      <c r="A108" s="11" t="str">
        <f>IFERROR(__xludf.DUMMYFUNCTION("""COMPUTED_VALUE"""),"Hitmonchan")</f>
        <v>Hitmonchan</v>
      </c>
      <c r="B108" s="11" t="str">
        <f>IFERROR(__xludf.DUMMYFUNCTION("""COMPUTED_VALUE"""),"Life Leech")</f>
        <v>Life Leech</v>
      </c>
      <c r="C108" s="11" t="str">
        <f>IFERROR(__xludf.DUMMYFUNCTION("""COMPUTED_VALUE"""),"Critical Damage")</f>
        <v>Critical Damage</v>
      </c>
      <c r="F108" s="42"/>
      <c r="G108" s="186"/>
      <c r="H108" s="186"/>
      <c r="I108" s="186"/>
    </row>
    <row r="109">
      <c r="A109" s="11" t="str">
        <f>IFERROR(__xludf.DUMMYFUNCTION("""COMPUTED_VALUE"""),"Lickitung")</f>
        <v>Lickitung</v>
      </c>
      <c r="B109" s="11" t="str">
        <f>IFERROR(__xludf.DUMMYFUNCTION("""COMPUTED_VALUE"""),"Precision Percent")</f>
        <v>Precision Percent</v>
      </c>
      <c r="C109" s="11" t="str">
        <f>IFERROR(__xludf.DUMMYFUNCTION("""COMPUTED_VALUE"""),"Damage Boost")</f>
        <v>Damage Boost</v>
      </c>
      <c r="F109" s="42"/>
      <c r="G109" s="186"/>
      <c r="H109" s="186"/>
      <c r="I109" s="186"/>
    </row>
    <row r="110">
      <c r="A110" s="11" t="str">
        <f>IFERROR(__xludf.DUMMYFUNCTION("""COMPUTED_VALUE"""),"Koffing")</f>
        <v>Koffing</v>
      </c>
      <c r="B110" s="11" t="str">
        <f>IFERROR(__xludf.DUMMYFUNCTION("""COMPUTED_VALUE"""),"Evasion Percent")</f>
        <v>Evasion Percent</v>
      </c>
      <c r="C110" s="11" t="str">
        <f>IFERROR(__xludf.DUMMYFUNCTION("""COMPUTED_VALUE"""),"Fishing Skill")</f>
        <v>Fishing Skill</v>
      </c>
      <c r="F110" s="42"/>
      <c r="G110" s="186"/>
      <c r="H110" s="186"/>
      <c r="I110" s="186"/>
    </row>
    <row r="111">
      <c r="A111" s="11" t="str">
        <f>IFERROR(__xludf.DUMMYFUNCTION("""COMPUTED_VALUE"""),"Weezing")</f>
        <v>Weezing</v>
      </c>
      <c r="B111" s="11" t="str">
        <f>IFERROR(__xludf.DUMMYFUNCTION("""COMPUTED_VALUE"""),"Shiny Fishing Rate")</f>
        <v>Shiny Fishing Rate</v>
      </c>
      <c r="C111" s="11" t="str">
        <f>IFERROR(__xludf.DUMMYFUNCTION("""COMPUTED_VALUE"""),"Evasion Percent")</f>
        <v>Evasion Percent</v>
      </c>
      <c r="F111" s="42"/>
      <c r="G111" s="186"/>
      <c r="H111" s="186"/>
      <c r="I111" s="186"/>
    </row>
    <row r="112">
      <c r="A112" s="11" t="str">
        <f>IFERROR(__xludf.DUMMYFUNCTION("""COMPUTED_VALUE"""),"Rhyhorn")</f>
        <v>Rhyhorn</v>
      </c>
      <c r="B112" s="11" t="str">
        <f>IFERROR(__xludf.DUMMYFUNCTION("""COMPUTED_VALUE"""),"Shiny Headbutt Rate")</f>
        <v>Shiny Headbutt Rate</v>
      </c>
      <c r="C112" s="11" t="str">
        <f>IFERROR(__xludf.DUMMYFUNCTION("""COMPUTED_VALUE"""),"Shiny Fishing Rate")</f>
        <v>Shiny Fishing Rate</v>
      </c>
      <c r="F112" s="42"/>
      <c r="G112" s="186"/>
      <c r="H112" s="186"/>
      <c r="I112" s="186"/>
    </row>
    <row r="113">
      <c r="A113" s="11" t="str">
        <f>IFERROR(__xludf.DUMMYFUNCTION("""COMPUTED_VALUE"""),"Rhydon")</f>
        <v>Rhydon</v>
      </c>
      <c r="B113" s="11" t="str">
        <f>IFERROR(__xludf.DUMMYFUNCTION("""COMPUTED_VALUE"""),"Loot Boost")</f>
        <v>Loot Boost</v>
      </c>
      <c r="C113" s="11" t="str">
        <f>IFERROR(__xludf.DUMMYFUNCTION("""COMPUTED_VALUE"""),"Shiny Headbutt Rate")</f>
        <v>Shiny Headbutt Rate</v>
      </c>
      <c r="F113" s="42"/>
      <c r="G113" s="186"/>
      <c r="H113" s="186"/>
      <c r="I113" s="186"/>
    </row>
    <row r="114">
      <c r="A114" s="11" t="str">
        <f>IFERROR(__xludf.DUMMYFUNCTION("""COMPUTED_VALUE"""),"Chansey")</f>
        <v>Chansey</v>
      </c>
      <c r="B114" s="11" t="str">
        <f>IFERROR(__xludf.DUMMYFUNCTION("""COMPUTED_VALUE"""),"Catch Rate")</f>
        <v>Catch Rate</v>
      </c>
      <c r="C114" s="11" t="str">
        <f>IFERROR(__xludf.DUMMYFUNCTION("""COMPUTED_VALUE"""),"Loot Boost")</f>
        <v>Loot Boost</v>
      </c>
      <c r="F114" s="42"/>
      <c r="G114" s="186"/>
      <c r="H114" s="186"/>
      <c r="I114" s="186"/>
    </row>
    <row r="115">
      <c r="A115" s="11" t="str">
        <f>IFERROR(__xludf.DUMMYFUNCTION("""COMPUTED_VALUE"""),"Tangela")</f>
        <v>Tangela</v>
      </c>
      <c r="B115" s="11" t="str">
        <f>IFERROR(__xludf.DUMMYFUNCTION("""COMPUTED_VALUE"""),"Shiny Catch Rate")</f>
        <v>Shiny Catch Rate</v>
      </c>
      <c r="C115" s="11" t="str">
        <f>IFERROR(__xludf.DUMMYFUNCTION("""COMPUTED_VALUE"""),"Catch Rate")</f>
        <v>Catch Rate</v>
      </c>
      <c r="F115" s="42"/>
      <c r="G115" s="186"/>
      <c r="H115" s="186"/>
      <c r="I115" s="186"/>
    </row>
    <row r="116">
      <c r="A116" s="11" t="str">
        <f>IFERROR(__xludf.DUMMYFUNCTION("""COMPUTED_VALUE"""),"Kangaskhan")</f>
        <v>Kangaskhan</v>
      </c>
      <c r="B116" s="11" t="str">
        <f>IFERROR(__xludf.DUMMYFUNCTION("""COMPUTED_VALUE"""),"Shiny Charm Rate")</f>
        <v>Shiny Charm Rate</v>
      </c>
      <c r="C116" s="11" t="str">
        <f>IFERROR(__xludf.DUMMYFUNCTION("""COMPUTED_VALUE"""),"Shiny Catch Rate")</f>
        <v>Shiny Catch Rate</v>
      </c>
      <c r="F116" s="42"/>
      <c r="G116" s="186"/>
      <c r="H116" s="186"/>
      <c r="I116" s="186"/>
    </row>
    <row r="117">
      <c r="A117" s="11" t="str">
        <f>IFERROR(__xludf.DUMMYFUNCTION("""COMPUTED_VALUE"""),"Horsea")</f>
        <v>Horsea</v>
      </c>
      <c r="B117" s="11" t="str">
        <f>IFERROR(__xludf.DUMMYFUNCTION("""COMPUTED_VALUE"""),"Critical Resistance")</f>
        <v>Critical Resistance</v>
      </c>
      <c r="C117" s="11" t="str">
        <f>IFERROR(__xludf.DUMMYFUNCTION("""COMPUTED_VALUE"""),"Shiny Fishing Rate")</f>
        <v>Shiny Fishing Rate</v>
      </c>
      <c r="F117" s="42"/>
      <c r="G117" s="186"/>
      <c r="H117" s="186"/>
      <c r="I117" s="186"/>
    </row>
    <row r="118">
      <c r="A118" s="11" t="str">
        <f>IFERROR(__xludf.DUMMYFUNCTION("""COMPUTED_VALUE"""),"Seadra")</f>
        <v>Seadra</v>
      </c>
      <c r="B118" s="11" t="str">
        <f>IFERROR(__xludf.DUMMYFUNCTION("""COMPUTED_VALUE"""),"Fly Speed")</f>
        <v>Fly Speed</v>
      </c>
      <c r="C118" s="11" t="str">
        <f>IFERROR(__xludf.DUMMYFUNCTION("""COMPUTED_VALUE"""),"Extra Fishing")</f>
        <v>Extra Fishing</v>
      </c>
      <c r="F118" s="42"/>
      <c r="G118" s="186"/>
      <c r="H118" s="186"/>
      <c r="I118" s="186"/>
    </row>
    <row r="119">
      <c r="A119" s="11" t="str">
        <f>IFERROR(__xludf.DUMMYFUNCTION("""COMPUTED_VALUE"""),"Goldeen")</f>
        <v>Goldeen</v>
      </c>
      <c r="B119" s="11" t="str">
        <f>IFERROR(__xludf.DUMMYFUNCTION("""COMPUTED_VALUE"""),"Surf Speed")</f>
        <v>Surf Speed</v>
      </c>
      <c r="C119" s="11" t="str">
        <f>IFERROR(__xludf.DUMMYFUNCTION("""COMPUTED_VALUE"""),"Fly Speed")</f>
        <v>Fly Speed</v>
      </c>
      <c r="F119" s="42"/>
      <c r="G119" s="186"/>
      <c r="H119" s="186"/>
      <c r="I119" s="186"/>
    </row>
    <row r="120">
      <c r="A120" s="11" t="str">
        <f>IFERROR(__xludf.DUMMYFUNCTION("""COMPUTED_VALUE"""),"Seaking")</f>
        <v>Seaking</v>
      </c>
      <c r="B120" s="11" t="str">
        <f>IFERROR(__xludf.DUMMYFUNCTION("""COMPUTED_VALUE"""),"Ride Speed")</f>
        <v>Ride Speed</v>
      </c>
      <c r="C120" s="11" t="str">
        <f>IFERROR(__xludf.DUMMYFUNCTION("""COMPUTED_VALUE"""),"Surf Speed")</f>
        <v>Surf Speed</v>
      </c>
      <c r="F120" s="42"/>
      <c r="G120" s="186"/>
      <c r="H120" s="186"/>
      <c r="I120" s="186"/>
    </row>
    <row r="121">
      <c r="A121" s="11" t="str">
        <f>IFERROR(__xludf.DUMMYFUNCTION("""COMPUTED_VALUE"""),"Staryu")</f>
        <v>Staryu</v>
      </c>
      <c r="B121" s="11" t="str">
        <f>IFERROR(__xludf.DUMMYFUNCTION("""COMPUTED_VALUE"""),"Damage Boost")</f>
        <v>Damage Boost</v>
      </c>
      <c r="C121" s="11" t="str">
        <f>IFERROR(__xludf.DUMMYFUNCTION("""COMPUTED_VALUE"""),"Ride Speed")</f>
        <v>Ride Speed</v>
      </c>
      <c r="F121" s="42"/>
      <c r="G121" s="186"/>
      <c r="H121" s="186"/>
      <c r="I121" s="186"/>
    </row>
    <row r="122">
      <c r="A122" s="11" t="str">
        <f>IFERROR(__xludf.DUMMYFUNCTION("""COMPUTED_VALUE"""),"Starmie")</f>
        <v>Starmie</v>
      </c>
      <c r="B122" s="11" t="str">
        <f>IFERROR(__xludf.DUMMYFUNCTION("""COMPUTED_VALUE"""),"Defense Boost")</f>
        <v>Defense Boost</v>
      </c>
      <c r="C122" s="11" t="str">
        <f>IFERROR(__xludf.DUMMYFUNCTION("""COMPUTED_VALUE"""),"Surf Speed")</f>
        <v>Surf Speed</v>
      </c>
      <c r="F122" s="42"/>
      <c r="G122" s="186"/>
      <c r="H122" s="186"/>
      <c r="I122" s="186"/>
    </row>
    <row r="123">
      <c r="A123" s="11" t="str">
        <f>IFERROR(__xludf.DUMMYFUNCTION("""COMPUTED_VALUE"""),"Mr. Mime")</f>
        <v>Mr. Mime</v>
      </c>
      <c r="B123" s="11" t="str">
        <f>IFERROR(__xludf.DUMMYFUNCTION("""COMPUTED_VALUE"""),"HP Boost")</f>
        <v>HP Boost</v>
      </c>
      <c r="C123" s="11" t="str">
        <f>IFERROR(__xludf.DUMMYFUNCTION("""COMPUTED_VALUE"""),"Defense Boost")</f>
        <v>Defense Boost</v>
      </c>
      <c r="F123" s="42"/>
      <c r="G123" s="186"/>
      <c r="H123" s="186"/>
      <c r="I123" s="186"/>
    </row>
    <row r="124">
      <c r="A124" s="11" t="str">
        <f>IFERROR(__xludf.DUMMYFUNCTION("""COMPUTED_VALUE"""),"Scyther")</f>
        <v>Scyther</v>
      </c>
      <c r="B124" s="11" t="str">
        <f>IFERROR(__xludf.DUMMYFUNCTION("""COMPUTED_VALUE"""),"Pokemon Speed")</f>
        <v>Pokemon Speed</v>
      </c>
      <c r="C124" s="11" t="str">
        <f>IFERROR(__xludf.DUMMYFUNCTION("""COMPUTED_VALUE"""),"Hp Boost")</f>
        <v>Hp Boost</v>
      </c>
      <c r="F124" s="42"/>
      <c r="G124" s="186"/>
      <c r="H124" s="186"/>
      <c r="I124" s="186"/>
    </row>
    <row r="125">
      <c r="A125" s="11" t="str">
        <f>IFERROR(__xludf.DUMMYFUNCTION("""COMPUTED_VALUE"""),"Jynx")</f>
        <v>Jynx</v>
      </c>
      <c r="B125" s="11" t="str">
        <f>IFERROR(__xludf.DUMMYFUNCTION("""COMPUTED_VALUE"""),"Character Speed")</f>
        <v>Character Speed</v>
      </c>
      <c r="C125" s="11" t="str">
        <f>IFERROR(__xludf.DUMMYFUNCTION("""COMPUTED_VALUE"""),"Pokemon Speed")</f>
        <v>Pokemon Speed</v>
      </c>
      <c r="F125" s="42"/>
      <c r="G125" s="186"/>
      <c r="H125" s="186"/>
      <c r="I125" s="186"/>
    </row>
    <row r="126">
      <c r="A126" s="11" t="str">
        <f>IFERROR(__xludf.DUMMYFUNCTION("""COMPUTED_VALUE"""),"Electabuzz")</f>
        <v>Electabuzz</v>
      </c>
      <c r="B126" s="11" t="str">
        <f>IFERROR(__xludf.DUMMYFUNCTION("""COMPUTED_VALUE"""),"Critical Chance")</f>
        <v>Critical Chance</v>
      </c>
      <c r="C126" s="11" t="str">
        <f>IFERROR(__xludf.DUMMYFUNCTION("""COMPUTED_VALUE"""),"Character Speed")</f>
        <v>Character Speed</v>
      </c>
      <c r="F126" s="42"/>
      <c r="G126" s="186"/>
      <c r="H126" s="186"/>
      <c r="I126" s="186"/>
    </row>
    <row r="127">
      <c r="A127" s="11" t="str">
        <f>IFERROR(__xludf.DUMMYFUNCTION("""COMPUTED_VALUE"""),"Magmar")</f>
        <v>Magmar</v>
      </c>
      <c r="B127" s="11" t="str">
        <f>IFERROR(__xludf.DUMMYFUNCTION("""COMPUTED_VALUE"""),"Critical Damage")</f>
        <v>Critical Damage</v>
      </c>
      <c r="C127" s="11" t="str">
        <f>IFERROR(__xludf.DUMMYFUNCTION("""COMPUTED_VALUE"""),"Critical Chance")</f>
        <v>Critical Chance</v>
      </c>
      <c r="F127" s="42"/>
      <c r="G127" s="186"/>
      <c r="H127" s="186"/>
      <c r="I127" s="186"/>
    </row>
    <row r="128">
      <c r="A128" s="11" t="str">
        <f>IFERROR(__xludf.DUMMYFUNCTION("""COMPUTED_VALUE"""),"Pinsir")</f>
        <v>Pinsir</v>
      </c>
      <c r="B128" s="11" t="str">
        <f>IFERROR(__xludf.DUMMYFUNCTION("""COMPUTED_VALUE"""),"Life Leech")</f>
        <v>Life Leech</v>
      </c>
      <c r="C128" s="11" t="str">
        <f>IFERROR(__xludf.DUMMYFUNCTION("""COMPUTED_VALUE"""),"Critical Damage")</f>
        <v>Critical Damage</v>
      </c>
      <c r="F128" s="42"/>
      <c r="G128" s="186"/>
      <c r="H128" s="186"/>
      <c r="I128" s="186"/>
    </row>
    <row r="129">
      <c r="A129" s="11" t="str">
        <f>IFERROR(__xludf.DUMMYFUNCTION("""COMPUTED_VALUE"""),"Tauros")</f>
        <v>Tauros</v>
      </c>
      <c r="B129" s="11" t="str">
        <f>IFERROR(__xludf.DUMMYFUNCTION("""COMPUTED_VALUE"""),"Precision Percent")</f>
        <v>Precision Percent</v>
      </c>
      <c r="C129" s="11" t="str">
        <f>IFERROR(__xludf.DUMMYFUNCTION("""COMPUTED_VALUE"""),"Life Leech")</f>
        <v>Life Leech</v>
      </c>
      <c r="F129" s="42"/>
      <c r="G129" s="186"/>
      <c r="H129" s="186"/>
      <c r="I129" s="186"/>
    </row>
    <row r="130">
      <c r="A130" s="11" t="str">
        <f>IFERROR(__xludf.DUMMYFUNCTION("""COMPUTED_VALUE"""),"Magikarp")</f>
        <v>Magikarp</v>
      </c>
      <c r="B130" s="11" t="str">
        <f>IFERROR(__xludf.DUMMYFUNCTION("""COMPUTED_VALUE"""),"Evasion Percent")</f>
        <v>Evasion Percent</v>
      </c>
      <c r="C130" s="11" t="str">
        <f>IFERROR(__xludf.DUMMYFUNCTION("""COMPUTED_VALUE"""),"Fishing Skill")</f>
        <v>Fishing Skill</v>
      </c>
      <c r="F130" s="42"/>
      <c r="G130" s="186"/>
      <c r="H130" s="186"/>
      <c r="I130" s="186"/>
    </row>
    <row r="131">
      <c r="A131" s="11" t="str">
        <f>IFERROR(__xludf.DUMMYFUNCTION("""COMPUTED_VALUE"""),"Gyarados")</f>
        <v>Gyarados</v>
      </c>
      <c r="B131" s="11" t="str">
        <f>IFERROR(__xludf.DUMMYFUNCTION("""COMPUTED_VALUE"""),"Shing FIshing Rate")</f>
        <v>Shing FIshing Rate</v>
      </c>
      <c r="C131" s="11" t="str">
        <f>IFERROR(__xludf.DUMMYFUNCTION("""COMPUTED_VALUE"""),"Headbutt Skill")</f>
        <v>Headbutt Skill</v>
      </c>
      <c r="F131" s="42"/>
      <c r="G131" s="186"/>
      <c r="H131" s="186"/>
      <c r="I131" s="186"/>
    </row>
    <row r="132">
      <c r="A132" s="11" t="str">
        <f>IFERROR(__xludf.DUMMYFUNCTION("""COMPUTED_VALUE"""),"Lapras")</f>
        <v>Lapras</v>
      </c>
      <c r="B132" s="11" t="str">
        <f>IFERROR(__xludf.DUMMYFUNCTION("""COMPUTED_VALUE"""),"Shiny Headbutt Rate")</f>
        <v>Shiny Headbutt Rate</v>
      </c>
      <c r="C132" s="11" t="str">
        <f>IFERROR(__xludf.DUMMYFUNCTION("""COMPUTED_VALUE"""),"Shiny Fishing Rate")</f>
        <v>Shiny Fishing Rate</v>
      </c>
      <c r="F132" s="42"/>
      <c r="G132" s="186"/>
      <c r="H132" s="186"/>
      <c r="I132" s="186"/>
    </row>
    <row r="133">
      <c r="A133" s="11" t="str">
        <f>IFERROR(__xludf.DUMMYFUNCTION("""COMPUTED_VALUE"""),"Ditto")</f>
        <v>Ditto</v>
      </c>
      <c r="B133" s="11" t="str">
        <f>IFERROR(__xludf.DUMMYFUNCTION("""COMPUTED_VALUE"""),"Loot Boost")</f>
        <v>Loot Boost</v>
      </c>
      <c r="C133" s="11" t="str">
        <f>IFERROR(__xludf.DUMMYFUNCTION("""COMPUTED_VALUE"""),"Shiny Headbutt Rate")</f>
        <v>Shiny Headbutt Rate</v>
      </c>
      <c r="F133" s="42"/>
      <c r="G133" s="186"/>
      <c r="H133" s="186"/>
      <c r="I133" s="186"/>
    </row>
    <row r="134">
      <c r="A134" s="11" t="str">
        <f>IFERROR(__xludf.DUMMYFUNCTION("""COMPUTED_VALUE"""),"Eevee")</f>
        <v>Eevee</v>
      </c>
      <c r="B134" s="11" t="str">
        <f>IFERROR(__xludf.DUMMYFUNCTION("""COMPUTED_VALUE"""),"Catch Rate")</f>
        <v>Catch Rate</v>
      </c>
      <c r="C134" s="11" t="str">
        <f>IFERROR(__xludf.DUMMYFUNCTION("""COMPUTED_VALUE"""),"Loot Boost")</f>
        <v>Loot Boost</v>
      </c>
      <c r="F134" s="42"/>
      <c r="G134" s="186"/>
      <c r="H134" s="186"/>
      <c r="I134" s="186"/>
    </row>
    <row r="135">
      <c r="A135" s="11" t="str">
        <f>IFERROR(__xludf.DUMMYFUNCTION("""COMPUTED_VALUE"""),"Vaporeon")</f>
        <v>Vaporeon</v>
      </c>
      <c r="B135" s="11" t="str">
        <f>IFERROR(__xludf.DUMMYFUNCTION("""COMPUTED_VALUE"""),"Shiny Catch Rate")</f>
        <v>Shiny Catch Rate</v>
      </c>
      <c r="C135" s="11" t="str">
        <f>IFERROR(__xludf.DUMMYFUNCTION("""COMPUTED_VALUE"""),"Catch Rate")</f>
        <v>Catch Rate</v>
      </c>
      <c r="F135" s="42"/>
      <c r="G135" s="186"/>
      <c r="H135" s="186"/>
      <c r="I135" s="186"/>
    </row>
    <row r="136">
      <c r="A136" s="11" t="str">
        <f>IFERROR(__xludf.DUMMYFUNCTION("""COMPUTED_VALUE"""),"Jolteon")</f>
        <v>Jolteon</v>
      </c>
      <c r="B136" s="11" t="str">
        <f>IFERROR(__xludf.DUMMYFUNCTION("""COMPUTED_VALUE"""),"Shiny Charm Rate")</f>
        <v>Shiny Charm Rate</v>
      </c>
      <c r="C136" s="11" t="str">
        <f>IFERROR(__xludf.DUMMYFUNCTION("""COMPUTED_VALUE"""),"Shiny Catch Rate")</f>
        <v>Shiny Catch Rate</v>
      </c>
      <c r="F136" s="42"/>
      <c r="G136" s="186"/>
      <c r="H136" s="186"/>
      <c r="I136" s="186"/>
    </row>
    <row r="137">
      <c r="A137" s="11" t="str">
        <f>IFERROR(__xludf.DUMMYFUNCTION("""COMPUTED_VALUE"""),"Flareon")</f>
        <v>Flareon</v>
      </c>
      <c r="B137" s="11" t="str">
        <f>IFERROR(__xludf.DUMMYFUNCTION("""COMPUTED_VALUE"""),"Critical Resistance")</f>
        <v>Critical Resistance</v>
      </c>
      <c r="C137" s="11" t="str">
        <f>IFERROR(__xludf.DUMMYFUNCTION("""COMPUTED_VALUE"""),"Shiny Charm Rate")</f>
        <v>Shiny Charm Rate</v>
      </c>
      <c r="F137" s="42"/>
      <c r="G137" s="186"/>
      <c r="H137" s="186"/>
      <c r="I137" s="186"/>
    </row>
    <row r="138">
      <c r="A138" s="11" t="str">
        <f>IFERROR(__xludf.DUMMYFUNCTION("""COMPUTED_VALUE"""),"Porygon")</f>
        <v>Porygon</v>
      </c>
      <c r="B138" s="11" t="str">
        <f>IFERROR(__xludf.DUMMYFUNCTION("""COMPUTED_VALUE"""),"Fly Speed")</f>
        <v>Fly Speed</v>
      </c>
      <c r="C138" s="11" t="str">
        <f>IFERROR(__xludf.DUMMYFUNCTION("""COMPUTED_VALUE"""),"Extra Fishing")</f>
        <v>Extra Fishing</v>
      </c>
      <c r="F138" s="42"/>
      <c r="G138" s="186"/>
      <c r="H138" s="186"/>
      <c r="I138" s="186"/>
    </row>
    <row r="139">
      <c r="A139" s="11" t="str">
        <f>IFERROR(__xludf.DUMMYFUNCTION("""COMPUTED_VALUE"""),"Omanyte")</f>
        <v>Omanyte</v>
      </c>
      <c r="B139" s="11" t="str">
        <f>IFERROR(__xludf.DUMMYFUNCTION("""COMPUTED_VALUE"""),"Surf Speed")</f>
        <v>Surf Speed</v>
      </c>
      <c r="C139" s="11" t="str">
        <f>IFERROR(__xludf.DUMMYFUNCTION("""COMPUTED_VALUE"""),"Fly Speed")</f>
        <v>Fly Speed</v>
      </c>
      <c r="F139" s="42"/>
      <c r="G139" s="186"/>
      <c r="H139" s="186"/>
      <c r="I139" s="186"/>
    </row>
    <row r="140">
      <c r="A140" s="11" t="str">
        <f>IFERROR(__xludf.DUMMYFUNCTION("""COMPUTED_VALUE"""),"Omastar")</f>
        <v>Omastar</v>
      </c>
      <c r="B140" s="11" t="str">
        <f>IFERROR(__xludf.DUMMYFUNCTION("""COMPUTED_VALUE"""),"Ride Speed")</f>
        <v>Ride Speed</v>
      </c>
      <c r="C140" s="11" t="str">
        <f>IFERROR(__xludf.DUMMYFUNCTION("""COMPUTED_VALUE"""),"Surf Speed")</f>
        <v>Surf Speed</v>
      </c>
      <c r="F140" s="42"/>
      <c r="G140" s="186"/>
      <c r="H140" s="186"/>
      <c r="I140" s="186"/>
    </row>
    <row r="141">
      <c r="A141" s="11" t="str">
        <f>IFERROR(__xludf.DUMMYFUNCTION("""COMPUTED_VALUE"""),"Kabuto")</f>
        <v>Kabuto</v>
      </c>
      <c r="B141" s="11" t="str">
        <f>IFERROR(__xludf.DUMMYFUNCTION("""COMPUTED_VALUE"""),"Damage Boost")</f>
        <v>Damage Boost</v>
      </c>
      <c r="C141" s="11" t="str">
        <f>IFERROR(__xludf.DUMMYFUNCTION("""COMPUTED_VALUE"""),"Ride Speed")</f>
        <v>Ride Speed</v>
      </c>
      <c r="F141" s="42"/>
      <c r="G141" s="186"/>
      <c r="H141" s="186"/>
      <c r="I141" s="186"/>
    </row>
    <row r="142">
      <c r="A142" s="11" t="str">
        <f>IFERROR(__xludf.DUMMYFUNCTION("""COMPUTED_VALUE"""),"Kabutops")</f>
        <v>Kabutops</v>
      </c>
      <c r="B142" s="11" t="str">
        <f>IFERROR(__xludf.DUMMYFUNCTION("""COMPUTED_VALUE"""),"Defense Boost")</f>
        <v>Defense Boost</v>
      </c>
      <c r="C142" s="11" t="str">
        <f>IFERROR(__xludf.DUMMYFUNCTION("""COMPUTED_VALUE"""),"Damage Boost")</f>
        <v>Damage Boost</v>
      </c>
      <c r="F142" s="42"/>
      <c r="G142" s="186"/>
      <c r="H142" s="186"/>
      <c r="I142" s="186"/>
    </row>
    <row r="143">
      <c r="A143" s="11" t="str">
        <f>IFERROR(__xludf.DUMMYFUNCTION("""COMPUTED_VALUE"""),"Aerodactyl")</f>
        <v>Aerodactyl</v>
      </c>
      <c r="B143" s="11" t="str">
        <f>IFERROR(__xludf.DUMMYFUNCTION("""COMPUTED_VALUE"""),"Hp Boost")</f>
        <v>Hp Boost</v>
      </c>
      <c r="C143" s="11" t="str">
        <f>IFERROR(__xludf.DUMMYFUNCTION("""COMPUTED_VALUE"""),"Defense Boost")</f>
        <v>Defense Boost</v>
      </c>
      <c r="F143" s="42"/>
      <c r="G143" s="186"/>
      <c r="H143" s="186"/>
      <c r="I143" s="186"/>
    </row>
    <row r="144">
      <c r="A144" s="11" t="str">
        <f>IFERROR(__xludf.DUMMYFUNCTION("""COMPUTED_VALUE"""),"Snorlax")</f>
        <v>Snorlax</v>
      </c>
      <c r="B144" s="11" t="str">
        <f>IFERROR(__xludf.DUMMYFUNCTION("""COMPUTED_VALUE"""),"Pokemon Speed")</f>
        <v>Pokemon Speed</v>
      </c>
      <c r="C144" s="11" t="str">
        <f>IFERROR(__xludf.DUMMYFUNCTION("""COMPUTED_VALUE"""),"HP Boost")</f>
        <v>HP Boost</v>
      </c>
      <c r="F144" s="42"/>
      <c r="G144" s="186"/>
      <c r="H144" s="186"/>
      <c r="I144" s="186"/>
    </row>
    <row r="145">
      <c r="A145" s="11" t="str">
        <f>IFERROR(__xludf.DUMMYFUNCTION("""COMPUTED_VALUE"""),"Articuno")</f>
        <v>Articuno</v>
      </c>
      <c r="B145" s="11" t="str">
        <f>IFERROR(__xludf.DUMMYFUNCTION("""COMPUTED_VALUE"""),"Pokemon Speed")</f>
        <v>Pokemon Speed</v>
      </c>
      <c r="C145" s="11" t="str">
        <f>IFERROR(__xludf.DUMMYFUNCTION("""COMPUTED_VALUE"""),"-")</f>
        <v>-</v>
      </c>
      <c r="F145" s="42"/>
      <c r="G145" s="186"/>
      <c r="H145" s="186"/>
      <c r="I145" s="186"/>
    </row>
    <row r="146">
      <c r="A146" s="11" t="str">
        <f>IFERROR(__xludf.DUMMYFUNCTION("""COMPUTED_VALUE"""),"Zapdos")</f>
        <v>Zapdos</v>
      </c>
      <c r="B146" s="11" t="str">
        <f>IFERROR(__xludf.DUMMYFUNCTION("""COMPUTED_VALUE"""),"Character Speed")</f>
        <v>Character Speed</v>
      </c>
      <c r="C146" s="11" t="str">
        <f>IFERROR(__xludf.DUMMYFUNCTION("""COMPUTED_VALUE"""),"-")</f>
        <v>-</v>
      </c>
      <c r="F146" s="42"/>
      <c r="G146" s="186"/>
      <c r="H146" s="186"/>
      <c r="I146" s="186"/>
    </row>
    <row r="147">
      <c r="A147" s="11" t="str">
        <f>IFERROR(__xludf.DUMMYFUNCTION("""COMPUTED_VALUE"""),"Moltres")</f>
        <v>Moltres</v>
      </c>
      <c r="B147" s="11" t="str">
        <f>IFERROR(__xludf.DUMMYFUNCTION("""COMPUTED_VALUE"""),"Critical Chance")</f>
        <v>Critical Chance</v>
      </c>
      <c r="C147" s="11" t="str">
        <f>IFERROR(__xludf.DUMMYFUNCTION("""COMPUTED_VALUE"""),"-")</f>
        <v>-</v>
      </c>
      <c r="F147" s="42"/>
      <c r="G147" s="186"/>
      <c r="H147" s="186"/>
      <c r="I147" s="186"/>
    </row>
    <row r="148">
      <c r="A148" s="11" t="str">
        <f>IFERROR(__xludf.DUMMYFUNCTION("""COMPUTED_VALUE"""),"Dratini")</f>
        <v>Dratini</v>
      </c>
      <c r="B148" s="11" t="str">
        <f>IFERROR(__xludf.DUMMYFUNCTION("""COMPUTED_VALUE"""),"Life Leech")</f>
        <v>Life Leech</v>
      </c>
      <c r="C148" s="11" t="str">
        <f>IFERROR(__xludf.DUMMYFUNCTION("""COMPUTED_VALUE"""),"Critical Damage")</f>
        <v>Critical Damage</v>
      </c>
      <c r="F148" s="42"/>
      <c r="G148" s="186"/>
      <c r="H148" s="186"/>
      <c r="I148" s="186"/>
    </row>
    <row r="149">
      <c r="A149" s="11" t="str">
        <f>IFERROR(__xludf.DUMMYFUNCTION("""COMPUTED_VALUE"""),"Dragonair")</f>
        <v>Dragonair</v>
      </c>
      <c r="B149" s="11" t="str">
        <f>IFERROR(__xludf.DUMMYFUNCTION("""COMPUTED_VALUE"""),"Precision Percent")</f>
        <v>Precision Percent</v>
      </c>
      <c r="C149" s="11" t="str">
        <f>IFERROR(__xludf.DUMMYFUNCTION("""COMPUTED_VALUE"""),"Life Leech")</f>
        <v>Life Leech</v>
      </c>
      <c r="F149" s="42"/>
      <c r="G149" s="186"/>
      <c r="H149" s="186"/>
      <c r="I149" s="186"/>
    </row>
    <row r="150">
      <c r="A150" s="11" t="str">
        <f>IFERROR(__xludf.DUMMYFUNCTION("""COMPUTED_VALUE"""),"Dragonite")</f>
        <v>Dragonite</v>
      </c>
      <c r="B150" s="11" t="str">
        <f>IFERROR(__xludf.DUMMYFUNCTION("""COMPUTED_VALUE"""),"Evasion Percent")</f>
        <v>Evasion Percent</v>
      </c>
      <c r="C150" s="11" t="str">
        <f>IFERROR(__xludf.DUMMYFUNCTION("""COMPUTED_VALUE"""),"Fishing Skill")</f>
        <v>Fishing Skill</v>
      </c>
      <c r="F150" s="42"/>
      <c r="G150" s="186"/>
      <c r="H150" s="186"/>
      <c r="I150" s="186"/>
    </row>
    <row r="151">
      <c r="A151" s="11" t="str">
        <f>IFERROR(__xludf.DUMMYFUNCTION("""COMPUTED_VALUE"""),"Mewtwo")</f>
        <v>Mewtwo</v>
      </c>
      <c r="B151" s="11" t="str">
        <f>IFERROR(__xludf.DUMMYFUNCTION("""COMPUTED_VALUE"""),"Shiny Catch Rate")</f>
        <v>Shiny Catch Rate</v>
      </c>
      <c r="C151" s="11" t="str">
        <f>IFERROR(__xludf.DUMMYFUNCTION("""COMPUTED_VALUE"""),"-")</f>
        <v>-</v>
      </c>
      <c r="F151" s="42"/>
      <c r="G151" s="186"/>
      <c r="H151" s="186"/>
      <c r="I151" s="186"/>
    </row>
    <row r="152">
      <c r="A152" s="11" t="str">
        <f>IFERROR(__xludf.DUMMYFUNCTION("""COMPUTED_VALUE"""),"Mew")</f>
        <v>Mew</v>
      </c>
      <c r="B152" s="11" t="str">
        <f>IFERROR(__xludf.DUMMYFUNCTION("""COMPUTED_VALUE"""),"Shiny Charm Rate")</f>
        <v>Shiny Charm Rate</v>
      </c>
      <c r="C152" s="11" t="str">
        <f>IFERROR(__xludf.DUMMYFUNCTION("""COMPUTED_VALUE"""),"-")</f>
        <v>-</v>
      </c>
      <c r="F152" s="42"/>
      <c r="G152" s="186"/>
      <c r="H152" s="186"/>
      <c r="I152" s="186"/>
    </row>
    <row r="153">
      <c r="A153" s="62"/>
      <c r="B153" s="62"/>
      <c r="C153" s="62"/>
      <c r="F153" s="42"/>
      <c r="G153" s="186"/>
      <c r="H153" s="52"/>
      <c r="I153" s="52"/>
    </row>
    <row r="154">
      <c r="A154" s="62"/>
      <c r="B154" s="62"/>
      <c r="C154" s="62"/>
      <c r="F154" s="42"/>
      <c r="G154" s="186"/>
      <c r="H154" s="52"/>
      <c r="I154" s="52"/>
    </row>
    <row r="155">
      <c r="A155" s="62"/>
      <c r="B155" s="62"/>
      <c r="C155" s="62"/>
      <c r="F155" s="42"/>
      <c r="G155" s="186"/>
      <c r="H155" s="52"/>
      <c r="I155" s="52"/>
    </row>
    <row r="156">
      <c r="A156" s="62"/>
      <c r="B156" s="62"/>
      <c r="C156" s="62"/>
      <c r="F156" s="42"/>
      <c r="G156" s="186"/>
      <c r="H156" s="52"/>
      <c r="I156" s="52"/>
    </row>
    <row r="157">
      <c r="A157" s="62"/>
      <c r="B157" s="62"/>
      <c r="C157" s="62"/>
      <c r="F157" s="42"/>
      <c r="G157" s="186"/>
      <c r="H157" s="52"/>
      <c r="I157" s="52"/>
    </row>
    <row r="158">
      <c r="A158" s="62"/>
      <c r="B158" s="62"/>
      <c r="C158" s="62"/>
      <c r="F158" s="42"/>
      <c r="G158" s="186"/>
      <c r="H158" s="52"/>
      <c r="I158" s="52"/>
    </row>
    <row r="159">
      <c r="A159" s="62"/>
      <c r="B159" s="62"/>
      <c r="C159" s="62"/>
      <c r="F159" s="42"/>
      <c r="G159" s="186"/>
      <c r="H159" s="52"/>
      <c r="I159" s="52"/>
    </row>
    <row r="160">
      <c r="A160" s="62"/>
      <c r="B160" s="62"/>
      <c r="C160" s="62"/>
      <c r="F160" s="42"/>
      <c r="G160" s="186"/>
      <c r="H160" s="52"/>
      <c r="I160" s="52"/>
    </row>
    <row r="161">
      <c r="A161" s="62"/>
      <c r="B161" s="62"/>
      <c r="C161" s="62"/>
      <c r="F161" s="42"/>
      <c r="G161" s="186"/>
      <c r="H161" s="52"/>
      <c r="I161" s="52"/>
    </row>
    <row r="162">
      <c r="A162" s="62"/>
      <c r="B162" s="62"/>
      <c r="C162" s="62"/>
      <c r="F162" s="42"/>
      <c r="G162" s="186"/>
      <c r="H162" s="52"/>
      <c r="I162" s="52"/>
    </row>
    <row r="163">
      <c r="A163" s="62"/>
      <c r="B163" s="62"/>
      <c r="C163" s="62"/>
      <c r="F163" s="42"/>
      <c r="G163" s="186"/>
      <c r="H163" s="52"/>
      <c r="I163" s="52"/>
    </row>
    <row r="164">
      <c r="A164" s="62"/>
      <c r="B164" s="62"/>
      <c r="C164" s="62"/>
      <c r="F164" s="42"/>
      <c r="G164" s="186"/>
      <c r="H164" s="52"/>
      <c r="I164" s="52"/>
    </row>
    <row r="165">
      <c r="A165" s="62"/>
      <c r="B165" s="62"/>
      <c r="C165" s="62"/>
      <c r="F165" s="42"/>
      <c r="G165" s="186"/>
      <c r="H165" s="52"/>
      <c r="I165" s="52"/>
    </row>
    <row r="166">
      <c r="A166" s="62"/>
      <c r="B166" s="62"/>
      <c r="C166" s="62"/>
      <c r="F166" s="42"/>
      <c r="G166" s="186"/>
      <c r="H166" s="52"/>
      <c r="I166" s="52"/>
    </row>
    <row r="167">
      <c r="A167" s="62"/>
      <c r="B167" s="62"/>
      <c r="C167" s="62"/>
      <c r="F167" s="42"/>
      <c r="G167" s="186"/>
      <c r="H167" s="52"/>
      <c r="I167" s="52"/>
    </row>
    <row r="168">
      <c r="A168" s="62"/>
      <c r="B168" s="62"/>
      <c r="C168" s="62"/>
      <c r="F168" s="42"/>
      <c r="G168" s="186"/>
      <c r="H168" s="52"/>
      <c r="I168" s="52"/>
    </row>
    <row r="169">
      <c r="A169" s="62"/>
      <c r="B169" s="62"/>
      <c r="C169" s="62"/>
      <c r="F169" s="42"/>
      <c r="G169" s="186"/>
      <c r="H169" s="52"/>
      <c r="I169" s="52"/>
    </row>
    <row r="170">
      <c r="A170" s="62"/>
      <c r="B170" s="62"/>
      <c r="C170" s="62"/>
      <c r="F170" s="42"/>
      <c r="G170" s="186"/>
      <c r="H170" s="52"/>
      <c r="I170" s="52"/>
    </row>
    <row r="171">
      <c r="A171" s="62"/>
      <c r="B171" s="62"/>
      <c r="C171" s="62"/>
      <c r="F171" s="42"/>
      <c r="G171" s="186"/>
      <c r="H171" s="52"/>
      <c r="I171" s="52"/>
    </row>
    <row r="172">
      <c r="A172" s="62"/>
      <c r="B172" s="62"/>
      <c r="C172" s="62"/>
      <c r="F172" s="42"/>
      <c r="G172" s="186"/>
      <c r="H172" s="52"/>
      <c r="I172" s="52"/>
    </row>
    <row r="173">
      <c r="A173" s="62"/>
      <c r="B173" s="62"/>
      <c r="C173" s="62"/>
      <c r="F173" s="42"/>
      <c r="G173" s="186"/>
      <c r="H173" s="52"/>
      <c r="I173" s="52"/>
    </row>
    <row r="174">
      <c r="A174" s="62"/>
      <c r="B174" s="62"/>
      <c r="C174" s="62"/>
      <c r="F174" s="42"/>
      <c r="G174" s="186"/>
      <c r="H174" s="52"/>
      <c r="I174" s="52"/>
    </row>
    <row r="175">
      <c r="A175" s="62"/>
      <c r="B175" s="62"/>
      <c r="C175" s="62"/>
      <c r="F175" s="42"/>
      <c r="G175" s="186"/>
      <c r="H175" s="52"/>
      <c r="I175" s="52"/>
    </row>
    <row r="176">
      <c r="A176" s="62"/>
      <c r="B176" s="62"/>
      <c r="C176" s="62"/>
      <c r="F176" s="42"/>
      <c r="G176" s="186"/>
      <c r="H176" s="52"/>
      <c r="I176" s="52"/>
    </row>
    <row r="177">
      <c r="A177" s="62"/>
      <c r="B177" s="62"/>
      <c r="C177" s="62"/>
      <c r="F177" s="42"/>
      <c r="G177" s="186"/>
      <c r="H177" s="52"/>
      <c r="I177" s="52"/>
    </row>
    <row r="178">
      <c r="A178" s="62"/>
      <c r="B178" s="62"/>
      <c r="C178" s="62"/>
      <c r="F178" s="42"/>
      <c r="G178" s="186"/>
      <c r="H178" s="52"/>
      <c r="I178" s="52"/>
    </row>
    <row r="179">
      <c r="A179" s="62"/>
      <c r="B179" s="62"/>
      <c r="C179" s="62"/>
      <c r="F179" s="42"/>
      <c r="G179" s="186"/>
      <c r="H179" s="52"/>
      <c r="I179" s="52"/>
    </row>
    <row r="180">
      <c r="A180" s="62"/>
      <c r="B180" s="62"/>
      <c r="C180" s="62"/>
      <c r="F180" s="42"/>
      <c r="G180" s="186"/>
      <c r="H180" s="52"/>
      <c r="I180" s="52"/>
    </row>
    <row r="181">
      <c r="A181" s="62"/>
      <c r="B181" s="62"/>
      <c r="C181" s="62"/>
      <c r="F181" s="42"/>
      <c r="G181" s="186"/>
      <c r="H181" s="52"/>
      <c r="I181" s="52"/>
    </row>
    <row r="182">
      <c r="A182" s="62"/>
      <c r="B182" s="62"/>
      <c r="C182" s="62"/>
      <c r="F182" s="42"/>
      <c r="G182" s="186"/>
      <c r="H182" s="52"/>
      <c r="I182" s="52"/>
    </row>
    <row r="183">
      <c r="A183" s="62"/>
      <c r="B183" s="62"/>
      <c r="C183" s="62"/>
      <c r="F183" s="42"/>
      <c r="G183" s="186"/>
      <c r="H183" s="52"/>
      <c r="I183" s="52"/>
    </row>
    <row r="184">
      <c r="A184" s="62"/>
      <c r="B184" s="62"/>
      <c r="C184" s="62"/>
      <c r="F184" s="42"/>
      <c r="G184" s="186"/>
      <c r="H184" s="52"/>
      <c r="I184" s="52"/>
    </row>
    <row r="185">
      <c r="A185" s="62"/>
      <c r="B185" s="62"/>
      <c r="C185" s="62"/>
      <c r="F185" s="42"/>
      <c r="G185" s="186"/>
      <c r="H185" s="52"/>
      <c r="I185" s="52"/>
    </row>
    <row r="186">
      <c r="A186" s="62"/>
      <c r="B186" s="62"/>
      <c r="C186" s="62"/>
      <c r="F186" s="42"/>
      <c r="G186" s="186"/>
      <c r="H186" s="52"/>
      <c r="I186" s="52"/>
    </row>
    <row r="187">
      <c r="A187" s="62"/>
      <c r="B187" s="62"/>
      <c r="C187" s="62"/>
      <c r="F187" s="42"/>
      <c r="G187" s="186"/>
      <c r="H187" s="52"/>
      <c r="I187" s="52"/>
    </row>
    <row r="188">
      <c r="A188" s="62"/>
      <c r="B188" s="62"/>
      <c r="C188" s="62"/>
      <c r="F188" s="42"/>
      <c r="G188" s="186"/>
      <c r="H188" s="52"/>
      <c r="I188" s="52"/>
    </row>
    <row r="189">
      <c r="A189" s="62"/>
      <c r="B189" s="62"/>
      <c r="C189" s="62"/>
      <c r="F189" s="42"/>
      <c r="G189" s="186"/>
      <c r="H189" s="52"/>
      <c r="I189" s="52"/>
    </row>
    <row r="190">
      <c r="A190" s="62"/>
      <c r="B190" s="62"/>
      <c r="C190" s="62"/>
      <c r="F190" s="42"/>
      <c r="G190" s="186"/>
      <c r="H190" s="52"/>
      <c r="I190" s="52"/>
    </row>
    <row r="191">
      <c r="A191" s="62"/>
      <c r="B191" s="62"/>
      <c r="C191" s="62"/>
      <c r="F191" s="42"/>
      <c r="G191" s="186"/>
      <c r="H191" s="52"/>
      <c r="I191" s="52"/>
    </row>
    <row r="192">
      <c r="A192" s="62"/>
      <c r="B192" s="62"/>
      <c r="C192" s="62"/>
      <c r="F192" s="42"/>
      <c r="G192" s="186"/>
      <c r="H192" s="52"/>
      <c r="I192" s="52"/>
    </row>
    <row r="193">
      <c r="A193" s="62"/>
      <c r="B193" s="62"/>
      <c r="C193" s="62"/>
      <c r="F193" s="42"/>
      <c r="G193" s="186"/>
      <c r="H193" s="52"/>
      <c r="I193" s="52"/>
    </row>
    <row r="194">
      <c r="A194" s="62"/>
      <c r="B194" s="62"/>
      <c r="C194" s="62"/>
      <c r="F194" s="42"/>
      <c r="G194" s="186"/>
      <c r="H194" s="52"/>
      <c r="I194" s="52"/>
    </row>
    <row r="195">
      <c r="A195" s="62"/>
      <c r="B195" s="62"/>
      <c r="C195" s="62"/>
      <c r="F195" s="42"/>
      <c r="G195" s="186"/>
      <c r="H195" s="52"/>
      <c r="I195" s="52"/>
    </row>
    <row r="196">
      <c r="A196" s="62"/>
      <c r="B196" s="62"/>
      <c r="C196" s="62"/>
      <c r="F196" s="42"/>
      <c r="G196" s="186"/>
      <c r="H196" s="52"/>
      <c r="I196" s="52"/>
    </row>
    <row r="197">
      <c r="A197" s="62"/>
      <c r="B197" s="62"/>
      <c r="C197" s="62"/>
      <c r="F197" s="42"/>
      <c r="G197" s="186"/>
      <c r="H197" s="52"/>
      <c r="I197" s="52"/>
    </row>
    <row r="198">
      <c r="A198" s="62"/>
      <c r="B198" s="62"/>
      <c r="C198" s="62"/>
      <c r="F198" s="42"/>
      <c r="G198" s="186"/>
      <c r="H198" s="52"/>
      <c r="I198" s="52"/>
    </row>
    <row r="199">
      <c r="A199" s="62"/>
      <c r="B199" s="62"/>
      <c r="C199" s="62"/>
      <c r="F199" s="42"/>
      <c r="G199" s="186"/>
      <c r="H199" s="52"/>
      <c r="I199" s="52"/>
    </row>
    <row r="200">
      <c r="A200" s="62"/>
      <c r="B200" s="62"/>
      <c r="C200" s="62"/>
      <c r="F200" s="42"/>
      <c r="G200" s="186"/>
      <c r="H200" s="52"/>
      <c r="I200" s="52"/>
    </row>
    <row r="201">
      <c r="A201" s="62"/>
      <c r="B201" s="62"/>
      <c r="C201" s="62"/>
      <c r="F201" s="42"/>
      <c r="G201" s="186"/>
      <c r="H201" s="52"/>
      <c r="I201" s="52"/>
    </row>
    <row r="202">
      <c r="A202" s="62"/>
      <c r="B202" s="62"/>
      <c r="C202" s="62"/>
      <c r="F202" s="42"/>
      <c r="G202" s="186"/>
      <c r="H202" s="52"/>
      <c r="I202" s="52"/>
    </row>
    <row r="203">
      <c r="A203" s="62"/>
      <c r="B203" s="62"/>
      <c r="C203" s="62"/>
      <c r="F203" s="42"/>
      <c r="G203" s="186"/>
      <c r="H203" s="52"/>
      <c r="I203" s="52"/>
    </row>
    <row r="204">
      <c r="A204" s="62"/>
      <c r="B204" s="62"/>
      <c r="C204" s="62"/>
      <c r="F204" s="42"/>
      <c r="G204" s="186"/>
      <c r="H204" s="52"/>
      <c r="I204" s="52"/>
    </row>
    <row r="205">
      <c r="A205" s="62"/>
      <c r="B205" s="62"/>
      <c r="C205" s="62"/>
      <c r="F205" s="42"/>
      <c r="G205" s="186"/>
      <c r="H205" s="52"/>
      <c r="I205" s="52"/>
    </row>
    <row r="206">
      <c r="A206" s="62"/>
      <c r="B206" s="62"/>
      <c r="C206" s="62"/>
      <c r="F206" s="42"/>
      <c r="G206" s="186"/>
      <c r="H206" s="52"/>
      <c r="I206" s="52"/>
    </row>
    <row r="207">
      <c r="A207" s="62"/>
      <c r="B207" s="62"/>
      <c r="C207" s="62"/>
      <c r="F207" s="42"/>
      <c r="G207" s="186"/>
      <c r="H207" s="52"/>
      <c r="I207" s="52"/>
    </row>
    <row r="208">
      <c r="A208" s="62"/>
      <c r="B208" s="62"/>
      <c r="C208" s="62"/>
      <c r="F208" s="42"/>
      <c r="G208" s="186"/>
      <c r="H208" s="52"/>
      <c r="I208" s="52"/>
    </row>
    <row r="209">
      <c r="A209" s="62"/>
      <c r="B209" s="62"/>
      <c r="C209" s="62"/>
      <c r="F209" s="42"/>
      <c r="G209" s="186"/>
      <c r="H209" s="52"/>
      <c r="I209" s="52"/>
    </row>
    <row r="210">
      <c r="A210" s="62"/>
      <c r="B210" s="62"/>
      <c r="C210" s="62"/>
      <c r="F210" s="42"/>
      <c r="G210" s="186"/>
      <c r="H210" s="52"/>
      <c r="I210" s="52"/>
    </row>
    <row r="211">
      <c r="A211" s="62"/>
      <c r="B211" s="62"/>
      <c r="C211" s="62"/>
      <c r="F211" s="42"/>
      <c r="G211" s="186"/>
      <c r="H211" s="52"/>
      <c r="I211" s="52"/>
    </row>
    <row r="212">
      <c r="A212" s="62"/>
      <c r="B212" s="62"/>
      <c r="C212" s="62"/>
      <c r="F212" s="42"/>
      <c r="G212" s="186"/>
      <c r="H212" s="52"/>
      <c r="I212" s="52"/>
    </row>
    <row r="213">
      <c r="A213" s="62"/>
      <c r="B213" s="62"/>
      <c r="C213" s="62"/>
      <c r="F213" s="42"/>
      <c r="G213" s="186"/>
      <c r="H213" s="52"/>
      <c r="I213" s="52"/>
    </row>
    <row r="214">
      <c r="A214" s="62"/>
      <c r="B214" s="62"/>
      <c r="C214" s="62"/>
      <c r="F214" s="42"/>
      <c r="G214" s="186"/>
      <c r="H214" s="52"/>
      <c r="I214" s="52"/>
    </row>
    <row r="215">
      <c r="A215" s="62"/>
      <c r="B215" s="62"/>
      <c r="C215" s="62"/>
      <c r="F215" s="42"/>
      <c r="G215" s="186"/>
      <c r="H215" s="52"/>
      <c r="I215" s="52"/>
    </row>
    <row r="216">
      <c r="A216" s="62"/>
      <c r="B216" s="62"/>
      <c r="C216" s="62"/>
      <c r="F216" s="42"/>
      <c r="G216" s="186"/>
      <c r="H216" s="52"/>
      <c r="I216" s="52"/>
    </row>
    <row r="217">
      <c r="A217" s="62"/>
      <c r="B217" s="62"/>
      <c r="C217" s="62"/>
      <c r="F217" s="42"/>
      <c r="G217" s="186"/>
      <c r="H217" s="52"/>
      <c r="I217" s="52"/>
    </row>
    <row r="218">
      <c r="A218" s="62"/>
      <c r="B218" s="62"/>
      <c r="C218" s="62"/>
      <c r="F218" s="42"/>
      <c r="G218" s="186"/>
      <c r="H218" s="52"/>
      <c r="I218" s="52"/>
    </row>
    <row r="219">
      <c r="A219" s="62"/>
      <c r="B219" s="62"/>
      <c r="C219" s="62"/>
      <c r="F219" s="42"/>
      <c r="G219" s="186"/>
      <c r="H219" s="52"/>
      <c r="I219" s="52"/>
    </row>
    <row r="220">
      <c r="A220" s="62"/>
      <c r="B220" s="62"/>
      <c r="C220" s="62"/>
      <c r="F220" s="42"/>
      <c r="G220" s="186"/>
      <c r="H220" s="52"/>
      <c r="I220" s="52"/>
    </row>
    <row r="221">
      <c r="A221" s="62"/>
      <c r="B221" s="62"/>
      <c r="C221" s="62"/>
      <c r="F221" s="42"/>
      <c r="G221" s="186"/>
      <c r="H221" s="52"/>
      <c r="I221" s="52"/>
    </row>
    <row r="222">
      <c r="A222" s="62"/>
      <c r="B222" s="62"/>
      <c r="C222" s="62"/>
      <c r="F222" s="42"/>
      <c r="G222" s="186"/>
      <c r="H222" s="52"/>
      <c r="I222" s="52"/>
    </row>
    <row r="223">
      <c r="A223" s="62"/>
      <c r="B223" s="62"/>
      <c r="C223" s="62"/>
      <c r="F223" s="42"/>
      <c r="G223" s="186"/>
      <c r="H223" s="52"/>
      <c r="I223" s="52"/>
    </row>
    <row r="224">
      <c r="A224" s="62"/>
      <c r="B224" s="62"/>
      <c r="C224" s="62"/>
      <c r="F224" s="42"/>
      <c r="G224" s="186"/>
      <c r="H224" s="52"/>
      <c r="I224" s="52"/>
    </row>
    <row r="225">
      <c r="A225" s="62"/>
      <c r="B225" s="62"/>
      <c r="C225" s="62"/>
      <c r="F225" s="42"/>
      <c r="G225" s="186"/>
      <c r="H225" s="52"/>
      <c r="I225" s="52"/>
    </row>
    <row r="226">
      <c r="A226" s="62"/>
      <c r="B226" s="62"/>
      <c r="C226" s="62"/>
      <c r="F226" s="42"/>
      <c r="G226" s="186"/>
      <c r="H226" s="52"/>
      <c r="I226" s="52"/>
    </row>
    <row r="227">
      <c r="A227" s="62"/>
      <c r="B227" s="62"/>
      <c r="C227" s="62"/>
      <c r="F227" s="42"/>
      <c r="G227" s="186"/>
      <c r="H227" s="52"/>
      <c r="I227" s="52"/>
    </row>
    <row r="228">
      <c r="A228" s="62"/>
      <c r="B228" s="62"/>
      <c r="C228" s="62"/>
      <c r="F228" s="42"/>
      <c r="G228" s="186"/>
      <c r="H228" s="52"/>
      <c r="I228" s="52"/>
    </row>
    <row r="229">
      <c r="A229" s="62"/>
      <c r="B229" s="62"/>
      <c r="C229" s="62"/>
      <c r="F229" s="42"/>
      <c r="G229" s="186"/>
      <c r="H229" s="52"/>
      <c r="I229" s="52"/>
    </row>
    <row r="230">
      <c r="A230" s="62"/>
      <c r="B230" s="62"/>
      <c r="C230" s="62"/>
      <c r="F230" s="42"/>
      <c r="G230" s="186"/>
      <c r="H230" s="52"/>
      <c r="I230" s="52"/>
    </row>
    <row r="231">
      <c r="A231" s="62"/>
      <c r="B231" s="62"/>
      <c r="C231" s="62"/>
      <c r="F231" s="42"/>
      <c r="G231" s="186"/>
      <c r="H231" s="52"/>
      <c r="I231" s="52"/>
    </row>
    <row r="232">
      <c r="A232" s="62"/>
      <c r="B232" s="62"/>
      <c r="C232" s="62"/>
      <c r="F232" s="42"/>
      <c r="G232" s="186"/>
      <c r="H232" s="52"/>
      <c r="I232" s="52"/>
    </row>
    <row r="233">
      <c r="A233" s="62"/>
      <c r="B233" s="62"/>
      <c r="C233" s="62"/>
      <c r="F233" s="42"/>
      <c r="G233" s="186"/>
      <c r="H233" s="52"/>
      <c r="I233" s="52"/>
    </row>
    <row r="234">
      <c r="A234" s="62"/>
      <c r="B234" s="62"/>
      <c r="C234" s="62"/>
      <c r="F234" s="42"/>
      <c r="G234" s="186"/>
      <c r="H234" s="52"/>
      <c r="I234" s="52"/>
    </row>
    <row r="235">
      <c r="A235" s="62"/>
      <c r="B235" s="62"/>
      <c r="C235" s="62"/>
      <c r="F235" s="42"/>
      <c r="G235" s="186"/>
      <c r="H235" s="52"/>
      <c r="I235" s="52"/>
    </row>
    <row r="236">
      <c r="A236" s="62"/>
      <c r="B236" s="62"/>
      <c r="C236" s="62"/>
      <c r="F236" s="42"/>
      <c r="G236" s="186"/>
      <c r="H236" s="52"/>
      <c r="I236" s="52"/>
    </row>
    <row r="237">
      <c r="A237" s="62"/>
      <c r="B237" s="62"/>
      <c r="C237" s="62"/>
      <c r="F237" s="42"/>
      <c r="G237" s="186"/>
      <c r="H237" s="52"/>
      <c r="I237" s="52"/>
    </row>
    <row r="238">
      <c r="A238" s="62"/>
      <c r="B238" s="62"/>
      <c r="C238" s="62"/>
      <c r="F238" s="42"/>
      <c r="G238" s="186"/>
      <c r="H238" s="52"/>
      <c r="I238" s="52"/>
    </row>
    <row r="239">
      <c r="A239" s="62"/>
      <c r="B239" s="62"/>
      <c r="C239" s="62"/>
      <c r="F239" s="42"/>
      <c r="G239" s="186"/>
      <c r="H239" s="52"/>
      <c r="I239" s="52"/>
    </row>
    <row r="240">
      <c r="A240" s="62"/>
      <c r="B240" s="62"/>
      <c r="C240" s="62"/>
      <c r="F240" s="42"/>
      <c r="G240" s="186"/>
      <c r="H240" s="52"/>
      <c r="I240" s="52"/>
    </row>
    <row r="241">
      <c r="A241" s="62"/>
      <c r="B241" s="62"/>
      <c r="C241" s="62"/>
      <c r="F241" s="42"/>
      <c r="G241" s="186"/>
      <c r="H241" s="52"/>
      <c r="I241" s="52"/>
    </row>
    <row r="242">
      <c r="A242" s="62"/>
      <c r="B242" s="62"/>
      <c r="C242" s="62"/>
      <c r="F242" s="42"/>
      <c r="G242" s="186"/>
      <c r="H242" s="52"/>
      <c r="I242" s="52"/>
    </row>
    <row r="243">
      <c r="A243" s="62"/>
      <c r="B243" s="62"/>
      <c r="C243" s="62"/>
      <c r="F243" s="42"/>
      <c r="G243" s="186"/>
      <c r="H243" s="52"/>
      <c r="I243" s="52"/>
    </row>
    <row r="244">
      <c r="A244" s="62"/>
      <c r="B244" s="62"/>
      <c r="C244" s="62"/>
      <c r="F244" s="42"/>
      <c r="G244" s="186"/>
      <c r="H244" s="52"/>
      <c r="I244" s="52"/>
    </row>
    <row r="245">
      <c r="A245" s="62"/>
      <c r="B245" s="62"/>
      <c r="C245" s="62"/>
      <c r="F245" s="42"/>
      <c r="G245" s="186"/>
      <c r="H245" s="52"/>
      <c r="I245" s="52"/>
    </row>
    <row r="246">
      <c r="A246" s="62"/>
      <c r="B246" s="62"/>
      <c r="C246" s="62"/>
      <c r="F246" s="42"/>
      <c r="G246" s="186"/>
      <c r="H246" s="52"/>
      <c r="I246" s="52"/>
    </row>
    <row r="247">
      <c r="A247" s="62"/>
      <c r="B247" s="62"/>
      <c r="C247" s="62"/>
      <c r="F247" s="42"/>
      <c r="G247" s="186"/>
      <c r="H247" s="52"/>
      <c r="I247" s="52"/>
    </row>
    <row r="248">
      <c r="A248" s="62"/>
      <c r="B248" s="62"/>
      <c r="C248" s="62"/>
      <c r="F248" s="42"/>
      <c r="G248" s="186"/>
      <c r="H248" s="52"/>
      <c r="I248" s="52"/>
    </row>
    <row r="249">
      <c r="A249" s="62"/>
      <c r="B249" s="62"/>
      <c r="C249" s="62"/>
      <c r="F249" s="42"/>
      <c r="G249" s="186"/>
      <c r="H249" s="52"/>
      <c r="I249" s="52"/>
    </row>
    <row r="250">
      <c r="A250" s="62"/>
      <c r="B250" s="62"/>
      <c r="C250" s="62"/>
      <c r="F250" s="42"/>
      <c r="G250" s="186"/>
      <c r="H250" s="52"/>
      <c r="I250" s="52"/>
    </row>
    <row r="251">
      <c r="A251" s="62"/>
      <c r="B251" s="62"/>
      <c r="C251" s="62"/>
      <c r="F251" s="42"/>
      <c r="G251" s="186"/>
      <c r="H251" s="52"/>
      <c r="I251" s="52"/>
    </row>
    <row r="252">
      <c r="A252" s="62"/>
      <c r="B252" s="62"/>
      <c r="C252" s="62"/>
      <c r="F252" s="42"/>
      <c r="G252" s="186"/>
      <c r="H252" s="52"/>
      <c r="I252" s="52"/>
    </row>
    <row r="253">
      <c r="A253" s="62"/>
      <c r="B253" s="62"/>
      <c r="C253" s="62"/>
      <c r="F253" s="42"/>
      <c r="G253" s="186"/>
      <c r="H253" s="52"/>
      <c r="I253" s="52"/>
    </row>
    <row r="254">
      <c r="A254" s="62"/>
      <c r="B254" s="62"/>
      <c r="C254" s="62"/>
      <c r="F254" s="42"/>
      <c r="G254" s="186"/>
      <c r="H254" s="52"/>
      <c r="I254" s="52"/>
    </row>
    <row r="255">
      <c r="A255" s="62"/>
      <c r="B255" s="62"/>
      <c r="C255" s="62"/>
      <c r="F255" s="42"/>
      <c r="G255" s="186"/>
      <c r="H255" s="52"/>
      <c r="I255" s="52"/>
    </row>
    <row r="256">
      <c r="A256" s="62"/>
      <c r="B256" s="62"/>
      <c r="C256" s="62"/>
      <c r="F256" s="42"/>
      <c r="G256" s="186"/>
      <c r="H256" s="52"/>
      <c r="I256" s="52"/>
    </row>
    <row r="257">
      <c r="A257" s="62"/>
      <c r="B257" s="62"/>
      <c r="C257" s="62"/>
      <c r="F257" s="42"/>
      <c r="G257" s="186"/>
      <c r="H257" s="52"/>
      <c r="I257" s="52"/>
    </row>
    <row r="258">
      <c r="A258" s="62"/>
      <c r="B258" s="62"/>
      <c r="C258" s="62"/>
      <c r="F258" s="42"/>
      <c r="G258" s="186"/>
      <c r="H258" s="52"/>
      <c r="I258" s="52"/>
    </row>
    <row r="259">
      <c r="A259" s="62"/>
      <c r="B259" s="62"/>
      <c r="C259" s="62"/>
      <c r="F259" s="42"/>
      <c r="G259" s="186"/>
      <c r="H259" s="52"/>
      <c r="I259" s="52"/>
    </row>
    <row r="260">
      <c r="A260" s="62"/>
      <c r="B260" s="62"/>
      <c r="C260" s="62"/>
      <c r="F260" s="42"/>
      <c r="G260" s="186"/>
      <c r="H260" s="52"/>
      <c r="I260" s="52"/>
    </row>
    <row r="261">
      <c r="A261" s="62"/>
      <c r="B261" s="62"/>
      <c r="C261" s="62"/>
      <c r="F261" s="42"/>
      <c r="G261" s="186"/>
      <c r="H261" s="52"/>
      <c r="I261" s="52"/>
    </row>
    <row r="262">
      <c r="A262" s="62"/>
      <c r="B262" s="62"/>
      <c r="C262" s="62"/>
      <c r="F262" s="42"/>
      <c r="G262" s="186"/>
      <c r="H262" s="52"/>
      <c r="I262" s="52"/>
    </row>
    <row r="263">
      <c r="A263" s="62"/>
      <c r="B263" s="62"/>
      <c r="C263" s="62"/>
      <c r="F263" s="42"/>
      <c r="G263" s="186"/>
      <c r="H263" s="52"/>
      <c r="I263" s="52"/>
    </row>
    <row r="264">
      <c r="A264" s="62"/>
      <c r="B264" s="62"/>
      <c r="C264" s="62"/>
      <c r="F264" s="42"/>
      <c r="G264" s="186"/>
      <c r="H264" s="52"/>
      <c r="I264" s="52"/>
    </row>
    <row r="265">
      <c r="A265" s="62"/>
      <c r="B265" s="62"/>
      <c r="C265" s="62"/>
      <c r="F265" s="42"/>
      <c r="G265" s="186"/>
      <c r="H265" s="52"/>
      <c r="I265" s="52"/>
    </row>
    <row r="266">
      <c r="A266" s="62"/>
      <c r="B266" s="62"/>
      <c r="C266" s="62"/>
      <c r="F266" s="42"/>
      <c r="G266" s="186"/>
      <c r="H266" s="52"/>
      <c r="I266" s="52"/>
    </row>
    <row r="267">
      <c r="A267" s="62"/>
      <c r="B267" s="62"/>
      <c r="C267" s="62"/>
      <c r="F267" s="42"/>
      <c r="G267" s="186"/>
      <c r="H267" s="52"/>
      <c r="I267" s="52"/>
    </row>
    <row r="268">
      <c r="A268" s="62"/>
      <c r="B268" s="62"/>
      <c r="C268" s="62"/>
      <c r="F268" s="42"/>
      <c r="G268" s="186"/>
      <c r="H268" s="52"/>
      <c r="I268" s="52"/>
    </row>
    <row r="269">
      <c r="A269" s="62"/>
      <c r="B269" s="62"/>
      <c r="C269" s="62"/>
      <c r="F269" s="42"/>
      <c r="G269" s="186"/>
      <c r="H269" s="52"/>
      <c r="I269" s="52"/>
    </row>
    <row r="270">
      <c r="A270" s="62"/>
      <c r="B270" s="62"/>
      <c r="C270" s="62"/>
      <c r="F270" s="42"/>
      <c r="G270" s="186"/>
      <c r="H270" s="52"/>
      <c r="I270" s="52"/>
    </row>
    <row r="271">
      <c r="A271" s="62"/>
      <c r="B271" s="62"/>
      <c r="C271" s="62"/>
      <c r="F271" s="42"/>
      <c r="G271" s="186"/>
      <c r="H271" s="52"/>
      <c r="I271" s="52"/>
    </row>
    <row r="272">
      <c r="A272" s="62"/>
      <c r="B272" s="62"/>
      <c r="C272" s="62"/>
      <c r="F272" s="42"/>
      <c r="G272" s="186"/>
      <c r="H272" s="52"/>
      <c r="I272" s="52"/>
    </row>
    <row r="273">
      <c r="A273" s="62"/>
      <c r="B273" s="62"/>
      <c r="C273" s="62"/>
      <c r="F273" s="42"/>
      <c r="G273" s="186"/>
      <c r="H273" s="52"/>
      <c r="I273" s="52"/>
    </row>
    <row r="274">
      <c r="A274" s="62"/>
      <c r="B274" s="62"/>
      <c r="C274" s="62"/>
      <c r="F274" s="42"/>
      <c r="G274" s="186"/>
      <c r="H274" s="52"/>
      <c r="I274" s="52"/>
    </row>
    <row r="275">
      <c r="A275" s="62"/>
      <c r="B275" s="62"/>
      <c r="C275" s="62"/>
      <c r="F275" s="42"/>
      <c r="G275" s="186"/>
      <c r="H275" s="52"/>
      <c r="I275" s="52"/>
    </row>
    <row r="276">
      <c r="A276" s="62"/>
      <c r="B276" s="62"/>
      <c r="C276" s="62"/>
      <c r="F276" s="42"/>
      <c r="G276" s="186"/>
      <c r="H276" s="52"/>
      <c r="I276" s="52"/>
    </row>
    <row r="277">
      <c r="A277" s="62"/>
      <c r="B277" s="62"/>
      <c r="C277" s="62"/>
      <c r="F277" s="42"/>
      <c r="G277" s="186"/>
      <c r="H277" s="52"/>
      <c r="I277" s="52"/>
    </row>
    <row r="278">
      <c r="A278" s="62"/>
      <c r="B278" s="62"/>
      <c r="C278" s="62"/>
      <c r="F278" s="42"/>
      <c r="G278" s="186"/>
      <c r="H278" s="52"/>
      <c r="I278" s="52"/>
    </row>
    <row r="279">
      <c r="A279" s="62"/>
      <c r="B279" s="62"/>
      <c r="C279" s="62"/>
      <c r="F279" s="42"/>
      <c r="G279" s="186"/>
      <c r="H279" s="52"/>
      <c r="I279" s="52"/>
    </row>
    <row r="280">
      <c r="A280" s="62"/>
      <c r="B280" s="62"/>
      <c r="C280" s="62"/>
      <c r="F280" s="42"/>
      <c r="G280" s="186"/>
      <c r="H280" s="52"/>
      <c r="I280" s="52"/>
    </row>
    <row r="281">
      <c r="A281" s="62"/>
      <c r="B281" s="62"/>
      <c r="C281" s="62"/>
      <c r="F281" s="42"/>
      <c r="G281" s="186"/>
      <c r="H281" s="52"/>
      <c r="I281" s="52"/>
    </row>
    <row r="282">
      <c r="A282" s="62"/>
      <c r="B282" s="62"/>
      <c r="C282" s="62"/>
      <c r="F282" s="42"/>
      <c r="G282" s="186"/>
      <c r="H282" s="52"/>
      <c r="I282" s="52"/>
    </row>
    <row r="283">
      <c r="A283" s="62"/>
      <c r="B283" s="62"/>
      <c r="C283" s="62"/>
      <c r="F283" s="42"/>
      <c r="G283" s="186"/>
      <c r="H283" s="52"/>
      <c r="I283" s="52"/>
    </row>
    <row r="284">
      <c r="A284" s="62"/>
      <c r="B284" s="62"/>
      <c r="C284" s="62"/>
      <c r="F284" s="42"/>
      <c r="G284" s="186"/>
      <c r="H284" s="52"/>
      <c r="I284" s="52"/>
    </row>
    <row r="285">
      <c r="A285" s="62"/>
      <c r="B285" s="62"/>
      <c r="C285" s="62"/>
      <c r="F285" s="42"/>
      <c r="G285" s="186"/>
      <c r="H285" s="52"/>
      <c r="I285" s="52"/>
    </row>
    <row r="286">
      <c r="A286" s="62"/>
      <c r="B286" s="62"/>
      <c r="C286" s="62"/>
      <c r="F286" s="42"/>
      <c r="G286" s="186"/>
      <c r="H286" s="52"/>
      <c r="I286" s="52"/>
    </row>
    <row r="287">
      <c r="A287" s="62"/>
      <c r="B287" s="62"/>
      <c r="C287" s="62"/>
      <c r="F287" s="42"/>
      <c r="G287" s="186"/>
      <c r="H287" s="52"/>
      <c r="I287" s="52"/>
    </row>
    <row r="288">
      <c r="A288" s="62"/>
      <c r="B288" s="62"/>
      <c r="C288" s="62"/>
      <c r="F288" s="42"/>
      <c r="G288" s="186"/>
      <c r="H288" s="52"/>
      <c r="I288" s="52"/>
    </row>
    <row r="289">
      <c r="A289" s="62"/>
      <c r="B289" s="62"/>
      <c r="C289" s="62"/>
      <c r="F289" s="42"/>
      <c r="G289" s="186"/>
      <c r="H289" s="52"/>
      <c r="I289" s="52"/>
    </row>
    <row r="290">
      <c r="A290" s="62"/>
      <c r="B290" s="62"/>
      <c r="C290" s="62"/>
      <c r="F290" s="42"/>
      <c r="G290" s="186"/>
      <c r="H290" s="52"/>
      <c r="I290" s="52"/>
    </row>
    <row r="291">
      <c r="A291" s="62"/>
      <c r="B291" s="62"/>
      <c r="C291" s="62"/>
      <c r="F291" s="42"/>
      <c r="G291" s="186"/>
      <c r="H291" s="52"/>
      <c r="I291" s="52"/>
    </row>
    <row r="292">
      <c r="A292" s="62"/>
      <c r="B292" s="62"/>
      <c r="C292" s="62"/>
      <c r="F292" s="42"/>
      <c r="G292" s="186"/>
      <c r="H292" s="52"/>
      <c r="I292" s="52"/>
    </row>
    <row r="293">
      <c r="A293" s="62"/>
      <c r="B293" s="62"/>
      <c r="C293" s="62"/>
      <c r="F293" s="42"/>
      <c r="G293" s="186"/>
      <c r="H293" s="52"/>
      <c r="I293" s="52"/>
    </row>
    <row r="294">
      <c r="A294" s="62"/>
      <c r="B294" s="62"/>
      <c r="C294" s="62"/>
      <c r="F294" s="42"/>
      <c r="G294" s="186"/>
      <c r="H294" s="52"/>
      <c r="I294" s="52"/>
    </row>
    <row r="295">
      <c r="A295" s="62"/>
      <c r="B295" s="62"/>
      <c r="C295" s="62"/>
      <c r="F295" s="42"/>
      <c r="G295" s="186"/>
      <c r="H295" s="52"/>
      <c r="I295" s="52"/>
    </row>
    <row r="296">
      <c r="A296" s="62"/>
      <c r="B296" s="62"/>
      <c r="C296" s="62"/>
      <c r="F296" s="42"/>
      <c r="G296" s="186"/>
      <c r="H296" s="52"/>
      <c r="I296" s="52"/>
    </row>
    <row r="297">
      <c r="A297" s="62"/>
      <c r="B297" s="62"/>
      <c r="C297" s="62"/>
      <c r="F297" s="42"/>
      <c r="G297" s="186"/>
      <c r="H297" s="52"/>
      <c r="I297" s="52"/>
    </row>
    <row r="298">
      <c r="A298" s="62"/>
      <c r="B298" s="62"/>
      <c r="C298" s="62"/>
      <c r="F298" s="42"/>
      <c r="G298" s="186"/>
      <c r="H298" s="52"/>
      <c r="I298" s="52"/>
    </row>
    <row r="299">
      <c r="A299" s="62"/>
      <c r="B299" s="62"/>
      <c r="C299" s="62"/>
      <c r="F299" s="42"/>
      <c r="G299" s="186"/>
      <c r="H299" s="52"/>
      <c r="I299" s="52"/>
    </row>
    <row r="300">
      <c r="A300" s="62"/>
      <c r="B300" s="62"/>
      <c r="C300" s="62"/>
      <c r="F300" s="42"/>
      <c r="G300" s="186"/>
      <c r="H300" s="52"/>
      <c r="I300" s="52"/>
    </row>
    <row r="301">
      <c r="A301" s="62"/>
      <c r="B301" s="62"/>
      <c r="C301" s="62"/>
      <c r="F301" s="42"/>
      <c r="G301" s="186"/>
      <c r="H301" s="52"/>
      <c r="I301" s="52"/>
    </row>
    <row r="302">
      <c r="A302" s="62"/>
      <c r="B302" s="62"/>
      <c r="C302" s="62"/>
      <c r="F302" s="42"/>
      <c r="G302" s="186"/>
      <c r="H302" s="52"/>
      <c r="I302" s="52"/>
    </row>
    <row r="303">
      <c r="A303" s="62"/>
      <c r="B303" s="62"/>
      <c r="C303" s="62"/>
      <c r="F303" s="42"/>
      <c r="G303" s="186"/>
      <c r="H303" s="52"/>
      <c r="I303" s="52"/>
    </row>
    <row r="304">
      <c r="A304" s="62"/>
      <c r="B304" s="62"/>
      <c r="C304" s="62"/>
      <c r="F304" s="42"/>
      <c r="G304" s="186"/>
      <c r="H304" s="52"/>
      <c r="I304" s="52"/>
    </row>
    <row r="305">
      <c r="A305" s="62"/>
      <c r="B305" s="62"/>
      <c r="C305" s="62"/>
      <c r="F305" s="42"/>
      <c r="G305" s="186"/>
      <c r="H305" s="52"/>
      <c r="I305" s="52"/>
    </row>
    <row r="306">
      <c r="A306" s="62"/>
      <c r="B306" s="62"/>
      <c r="C306" s="62"/>
      <c r="F306" s="42"/>
      <c r="G306" s="186"/>
      <c r="H306" s="52"/>
      <c r="I306" s="52"/>
    </row>
    <row r="307">
      <c r="A307" s="62"/>
      <c r="B307" s="62"/>
      <c r="C307" s="62"/>
      <c r="F307" s="42"/>
      <c r="G307" s="186"/>
      <c r="H307" s="52"/>
      <c r="I307" s="52"/>
    </row>
    <row r="308">
      <c r="A308" s="62"/>
      <c r="B308" s="62"/>
      <c r="C308" s="62"/>
      <c r="F308" s="42"/>
      <c r="G308" s="186"/>
      <c r="H308" s="52"/>
      <c r="I308" s="52"/>
    </row>
    <row r="309">
      <c r="A309" s="62"/>
      <c r="B309" s="62"/>
      <c r="C309" s="62"/>
      <c r="F309" s="42"/>
      <c r="G309" s="186"/>
      <c r="H309" s="52"/>
      <c r="I309" s="52"/>
    </row>
    <row r="310">
      <c r="A310" s="62"/>
      <c r="B310" s="62"/>
      <c r="C310" s="62"/>
      <c r="F310" s="42"/>
      <c r="G310" s="186"/>
      <c r="H310" s="52"/>
      <c r="I310" s="52"/>
    </row>
    <row r="311">
      <c r="A311" s="62"/>
      <c r="B311" s="62"/>
      <c r="C311" s="62"/>
      <c r="F311" s="42"/>
      <c r="G311" s="186"/>
      <c r="H311" s="52"/>
      <c r="I311" s="52"/>
    </row>
    <row r="312">
      <c r="A312" s="62"/>
      <c r="B312" s="62"/>
      <c r="C312" s="62"/>
      <c r="F312" s="42"/>
      <c r="G312" s="186"/>
      <c r="H312" s="52"/>
      <c r="I312" s="52"/>
    </row>
    <row r="313">
      <c r="A313" s="62"/>
      <c r="B313" s="62"/>
      <c r="C313" s="62"/>
      <c r="F313" s="42"/>
      <c r="G313" s="186"/>
      <c r="H313" s="52"/>
      <c r="I313" s="52"/>
    </row>
    <row r="314">
      <c r="A314" s="62"/>
      <c r="B314" s="62"/>
      <c r="C314" s="62"/>
      <c r="F314" s="42"/>
      <c r="G314" s="186"/>
      <c r="H314" s="52"/>
      <c r="I314" s="52"/>
    </row>
    <row r="315">
      <c r="A315" s="62"/>
      <c r="B315" s="62"/>
      <c r="C315" s="62"/>
      <c r="F315" s="42"/>
      <c r="G315" s="186"/>
      <c r="H315" s="52"/>
      <c r="I315" s="52"/>
    </row>
    <row r="316">
      <c r="A316" s="62"/>
      <c r="B316" s="62"/>
      <c r="C316" s="62"/>
      <c r="F316" s="42"/>
      <c r="G316" s="186"/>
      <c r="H316" s="52"/>
      <c r="I316" s="52"/>
    </row>
    <row r="317">
      <c r="A317" s="62"/>
      <c r="B317" s="62"/>
      <c r="C317" s="62"/>
      <c r="F317" s="42"/>
      <c r="G317" s="186"/>
      <c r="H317" s="52"/>
      <c r="I317" s="52"/>
    </row>
    <row r="318">
      <c r="A318" s="62"/>
      <c r="B318" s="62"/>
      <c r="C318" s="62"/>
      <c r="F318" s="42"/>
      <c r="G318" s="186"/>
      <c r="H318" s="52"/>
      <c r="I318" s="52"/>
    </row>
    <row r="319">
      <c r="A319" s="62"/>
      <c r="B319" s="62"/>
      <c r="C319" s="62"/>
      <c r="F319" s="42"/>
      <c r="G319" s="186"/>
      <c r="H319" s="52"/>
      <c r="I319" s="52"/>
    </row>
    <row r="320">
      <c r="A320" s="62"/>
      <c r="B320" s="62"/>
      <c r="C320" s="62"/>
      <c r="F320" s="42"/>
      <c r="G320" s="186"/>
      <c r="H320" s="52"/>
      <c r="I320" s="52"/>
    </row>
    <row r="321">
      <c r="A321" s="62"/>
      <c r="B321" s="62"/>
      <c r="C321" s="62"/>
      <c r="F321" s="42"/>
      <c r="G321" s="186"/>
      <c r="H321" s="52"/>
      <c r="I321" s="52"/>
    </row>
    <row r="322">
      <c r="A322" s="62"/>
      <c r="B322" s="62"/>
      <c r="C322" s="62"/>
      <c r="F322" s="42"/>
      <c r="G322" s="186"/>
      <c r="H322" s="52"/>
      <c r="I322" s="52"/>
    </row>
    <row r="323">
      <c r="A323" s="62"/>
      <c r="B323" s="62"/>
      <c r="C323" s="62"/>
      <c r="F323" s="42"/>
      <c r="G323" s="186"/>
      <c r="H323" s="52"/>
      <c r="I323" s="52"/>
    </row>
    <row r="324">
      <c r="A324" s="62"/>
      <c r="B324" s="62"/>
      <c r="C324" s="62"/>
      <c r="F324" s="42"/>
      <c r="G324" s="186"/>
      <c r="H324" s="52"/>
      <c r="I324" s="52"/>
    </row>
    <row r="325">
      <c r="A325" s="62"/>
      <c r="B325" s="62"/>
      <c r="C325" s="62"/>
      <c r="F325" s="42"/>
      <c r="G325" s="186"/>
      <c r="H325" s="52"/>
      <c r="I325" s="52"/>
    </row>
    <row r="326">
      <c r="A326" s="62"/>
      <c r="B326" s="62"/>
      <c r="C326" s="62"/>
      <c r="F326" s="42"/>
      <c r="G326" s="186"/>
      <c r="H326" s="52"/>
      <c r="I326" s="52"/>
    </row>
    <row r="327">
      <c r="A327" s="62"/>
      <c r="B327" s="62"/>
      <c r="C327" s="62"/>
      <c r="F327" s="42"/>
      <c r="G327" s="186"/>
      <c r="H327" s="52"/>
      <c r="I327" s="52"/>
    </row>
    <row r="328">
      <c r="A328" s="62"/>
      <c r="B328" s="62"/>
      <c r="C328" s="62"/>
      <c r="F328" s="42"/>
      <c r="G328" s="186"/>
      <c r="H328" s="52"/>
      <c r="I328" s="52"/>
    </row>
    <row r="329">
      <c r="A329" s="62"/>
      <c r="B329" s="62"/>
      <c r="C329" s="62"/>
      <c r="F329" s="42"/>
      <c r="G329" s="186"/>
      <c r="H329" s="52"/>
      <c r="I329" s="52"/>
    </row>
    <row r="330">
      <c r="A330" s="62"/>
      <c r="B330" s="62"/>
      <c r="C330" s="62"/>
      <c r="F330" s="42"/>
      <c r="G330" s="186"/>
      <c r="H330" s="52"/>
      <c r="I330" s="52"/>
    </row>
    <row r="331">
      <c r="A331" s="62"/>
      <c r="B331" s="62"/>
      <c r="C331" s="62"/>
      <c r="F331" s="42"/>
      <c r="G331" s="186"/>
      <c r="H331" s="52"/>
      <c r="I331" s="52"/>
    </row>
    <row r="332">
      <c r="A332" s="62"/>
      <c r="B332" s="62"/>
      <c r="C332" s="62"/>
      <c r="F332" s="42"/>
      <c r="G332" s="186"/>
      <c r="H332" s="52"/>
      <c r="I332" s="52"/>
    </row>
    <row r="333">
      <c r="A333" s="62"/>
      <c r="B333" s="62"/>
      <c r="C333" s="62"/>
      <c r="F333" s="42"/>
      <c r="G333" s="186"/>
      <c r="H333" s="52"/>
      <c r="I333" s="52"/>
    </row>
    <row r="334">
      <c r="A334" s="62"/>
      <c r="B334" s="62"/>
      <c r="C334" s="62"/>
      <c r="F334" s="42"/>
      <c r="G334" s="186"/>
      <c r="H334" s="52"/>
      <c r="I334" s="52"/>
    </row>
    <row r="335">
      <c r="A335" s="62"/>
      <c r="B335" s="62"/>
      <c r="C335" s="62"/>
      <c r="F335" s="42"/>
      <c r="G335" s="186"/>
      <c r="H335" s="52"/>
      <c r="I335" s="52"/>
    </row>
    <row r="336">
      <c r="A336" s="62"/>
      <c r="B336" s="62"/>
      <c r="C336" s="62"/>
      <c r="F336" s="42"/>
      <c r="G336" s="186"/>
      <c r="H336" s="52"/>
      <c r="I336" s="52"/>
    </row>
    <row r="337">
      <c r="A337" s="62"/>
      <c r="B337" s="62"/>
      <c r="C337" s="62"/>
      <c r="F337" s="42"/>
      <c r="G337" s="186"/>
      <c r="H337" s="52"/>
      <c r="I337" s="52"/>
    </row>
    <row r="338">
      <c r="A338" s="62"/>
      <c r="B338" s="62"/>
      <c r="C338" s="62"/>
      <c r="F338" s="42"/>
      <c r="G338" s="186"/>
      <c r="H338" s="52"/>
      <c r="I338" s="52"/>
    </row>
    <row r="339">
      <c r="A339" s="62"/>
      <c r="B339" s="62"/>
      <c r="C339" s="62"/>
      <c r="F339" s="42"/>
      <c r="G339" s="186"/>
      <c r="H339" s="52"/>
      <c r="I339" s="52"/>
    </row>
    <row r="340">
      <c r="A340" s="62"/>
      <c r="B340" s="62"/>
      <c r="C340" s="62"/>
      <c r="F340" s="42"/>
      <c r="G340" s="186"/>
      <c r="H340" s="52"/>
      <c r="I340" s="52"/>
    </row>
    <row r="341">
      <c r="A341" s="62"/>
      <c r="B341" s="62"/>
      <c r="C341" s="62"/>
      <c r="F341" s="42"/>
      <c r="G341" s="186"/>
      <c r="H341" s="52"/>
      <c r="I341" s="52"/>
    </row>
    <row r="342">
      <c r="A342" s="62"/>
      <c r="B342" s="62"/>
      <c r="C342" s="62"/>
      <c r="F342" s="42"/>
      <c r="G342" s="186"/>
      <c r="H342" s="52"/>
      <c r="I342" s="52"/>
    </row>
    <row r="343">
      <c r="A343" s="62"/>
      <c r="B343" s="62"/>
      <c r="C343" s="62"/>
      <c r="F343" s="42"/>
      <c r="G343" s="186"/>
      <c r="H343" s="52"/>
      <c r="I343" s="52"/>
    </row>
    <row r="344">
      <c r="A344" s="62"/>
      <c r="B344" s="62"/>
      <c r="C344" s="62"/>
      <c r="F344" s="42"/>
      <c r="G344" s="186"/>
      <c r="H344" s="52"/>
      <c r="I344" s="52"/>
    </row>
    <row r="345">
      <c r="A345" s="62"/>
      <c r="B345" s="62"/>
      <c r="C345" s="62"/>
      <c r="F345" s="42"/>
      <c r="G345" s="186"/>
      <c r="H345" s="52"/>
      <c r="I345" s="52"/>
    </row>
    <row r="346">
      <c r="A346" s="62"/>
      <c r="B346" s="62"/>
      <c r="C346" s="62"/>
      <c r="F346" s="42"/>
      <c r="G346" s="186"/>
      <c r="H346" s="52"/>
      <c r="I346" s="52"/>
    </row>
    <row r="347">
      <c r="A347" s="62"/>
      <c r="B347" s="62"/>
      <c r="C347" s="62"/>
      <c r="F347" s="42"/>
      <c r="G347" s="186"/>
      <c r="H347" s="52"/>
      <c r="I347" s="52"/>
    </row>
    <row r="348">
      <c r="A348" s="62"/>
      <c r="B348" s="62"/>
      <c r="C348" s="62"/>
      <c r="F348" s="42"/>
      <c r="G348" s="186"/>
      <c r="H348" s="52"/>
      <c r="I348" s="52"/>
    </row>
    <row r="349">
      <c r="A349" s="62"/>
      <c r="B349" s="62"/>
      <c r="C349" s="62"/>
      <c r="F349" s="42"/>
      <c r="G349" s="186"/>
      <c r="H349" s="52"/>
      <c r="I349" s="52"/>
    </row>
    <row r="350">
      <c r="A350" s="62"/>
      <c r="B350" s="62"/>
      <c r="C350" s="62"/>
      <c r="F350" s="42"/>
      <c r="G350" s="186"/>
      <c r="H350" s="52"/>
      <c r="I350" s="52"/>
    </row>
    <row r="351">
      <c r="A351" s="62"/>
      <c r="B351" s="62"/>
      <c r="C351" s="62"/>
      <c r="F351" s="42"/>
      <c r="G351" s="186"/>
      <c r="H351" s="52"/>
      <c r="I351" s="52"/>
    </row>
    <row r="352">
      <c r="A352" s="62"/>
      <c r="B352" s="62"/>
      <c r="C352" s="62"/>
      <c r="F352" s="42"/>
      <c r="G352" s="186"/>
      <c r="H352" s="52"/>
      <c r="I352" s="52"/>
    </row>
    <row r="353">
      <c r="A353" s="62"/>
      <c r="B353" s="62"/>
      <c r="C353" s="62"/>
      <c r="F353" s="42"/>
      <c r="G353" s="186"/>
      <c r="H353" s="52"/>
      <c r="I353" s="52"/>
    </row>
    <row r="354">
      <c r="A354" s="62"/>
      <c r="B354" s="62"/>
      <c r="C354" s="62"/>
      <c r="F354" s="42"/>
      <c r="G354" s="186"/>
      <c r="H354" s="52"/>
      <c r="I354" s="52"/>
    </row>
    <row r="355">
      <c r="A355" s="62"/>
      <c r="B355" s="62"/>
      <c r="C355" s="62"/>
      <c r="F355" s="42"/>
      <c r="G355" s="186"/>
      <c r="H355" s="52"/>
      <c r="I355" s="52"/>
    </row>
    <row r="356">
      <c r="A356" s="62"/>
      <c r="B356" s="62"/>
      <c r="C356" s="62"/>
      <c r="F356" s="42"/>
      <c r="G356" s="186"/>
      <c r="H356" s="52"/>
      <c r="I356" s="52"/>
    </row>
    <row r="357">
      <c r="A357" s="62"/>
      <c r="B357" s="62"/>
      <c r="C357" s="62"/>
      <c r="F357" s="42"/>
      <c r="G357" s="186"/>
      <c r="H357" s="52"/>
      <c r="I357" s="52"/>
    </row>
    <row r="358">
      <c r="A358" s="62"/>
      <c r="B358" s="62"/>
      <c r="C358" s="62"/>
      <c r="F358" s="42"/>
      <c r="G358" s="186"/>
      <c r="H358" s="52"/>
      <c r="I358" s="52"/>
    </row>
    <row r="359">
      <c r="A359" s="62"/>
      <c r="B359" s="62"/>
      <c r="C359" s="62"/>
      <c r="F359" s="42"/>
      <c r="G359" s="186"/>
      <c r="H359" s="52"/>
      <c r="I359" s="52"/>
    </row>
    <row r="360">
      <c r="A360" s="62"/>
      <c r="B360" s="62"/>
      <c r="C360" s="62"/>
      <c r="F360" s="42"/>
      <c r="G360" s="186"/>
      <c r="H360" s="52"/>
      <c r="I360" s="52"/>
    </row>
    <row r="361">
      <c r="A361" s="62"/>
      <c r="B361" s="62"/>
      <c r="C361" s="62"/>
      <c r="F361" s="42"/>
      <c r="G361" s="186"/>
      <c r="H361" s="52"/>
      <c r="I361" s="52"/>
    </row>
    <row r="362">
      <c r="A362" s="62"/>
      <c r="B362" s="62"/>
      <c r="C362" s="62"/>
      <c r="F362" s="42"/>
      <c r="G362" s="186"/>
      <c r="H362" s="52"/>
      <c r="I362" s="52"/>
    </row>
    <row r="363">
      <c r="A363" s="62"/>
      <c r="B363" s="62"/>
      <c r="C363" s="62"/>
      <c r="F363" s="42"/>
      <c r="G363" s="186"/>
      <c r="H363" s="52"/>
      <c r="I363" s="52"/>
    </row>
    <row r="364">
      <c r="A364" s="62"/>
      <c r="B364" s="62"/>
      <c r="C364" s="62"/>
      <c r="F364" s="42"/>
      <c r="G364" s="186"/>
      <c r="H364" s="52"/>
      <c r="I364" s="52"/>
    </row>
    <row r="365">
      <c r="A365" s="62"/>
      <c r="B365" s="62"/>
      <c r="C365" s="62"/>
      <c r="F365" s="42"/>
      <c r="G365" s="186"/>
      <c r="H365" s="52"/>
      <c r="I365" s="52"/>
    </row>
    <row r="366">
      <c r="A366" s="62"/>
      <c r="B366" s="62"/>
      <c r="C366" s="62"/>
      <c r="F366" s="42"/>
      <c r="G366" s="186"/>
      <c r="H366" s="52"/>
      <c r="I366" s="52"/>
    </row>
    <row r="367">
      <c r="A367" s="62"/>
      <c r="B367" s="62"/>
      <c r="C367" s="62"/>
      <c r="F367" s="42"/>
      <c r="G367" s="186"/>
      <c r="H367" s="52"/>
      <c r="I367" s="52"/>
    </row>
    <row r="368">
      <c r="A368" s="62"/>
      <c r="B368" s="62"/>
      <c r="C368" s="62"/>
      <c r="F368" s="42"/>
      <c r="G368" s="186"/>
      <c r="H368" s="52"/>
      <c r="I368" s="52"/>
    </row>
    <row r="369">
      <c r="A369" s="62"/>
      <c r="B369" s="62"/>
      <c r="C369" s="62"/>
      <c r="F369" s="42"/>
      <c r="G369" s="186"/>
      <c r="H369" s="52"/>
      <c r="I369" s="52"/>
    </row>
    <row r="370">
      <c r="A370" s="62"/>
      <c r="B370" s="62"/>
      <c r="C370" s="62"/>
      <c r="F370" s="42"/>
      <c r="G370" s="186"/>
      <c r="H370" s="52"/>
      <c r="I370" s="52"/>
    </row>
    <row r="371">
      <c r="A371" s="62"/>
      <c r="B371" s="62"/>
      <c r="C371" s="62"/>
      <c r="F371" s="42"/>
      <c r="G371" s="186"/>
      <c r="H371" s="52"/>
      <c r="I371" s="52"/>
    </row>
    <row r="372">
      <c r="A372" s="62"/>
      <c r="B372" s="62"/>
      <c r="C372" s="62"/>
      <c r="F372" s="42"/>
      <c r="G372" s="186"/>
      <c r="H372" s="52"/>
      <c r="I372" s="52"/>
    </row>
    <row r="373">
      <c r="A373" s="62"/>
      <c r="B373" s="62"/>
      <c r="C373" s="62"/>
      <c r="F373" s="42"/>
      <c r="G373" s="186"/>
      <c r="H373" s="52"/>
      <c r="I373" s="52"/>
    </row>
    <row r="374">
      <c r="A374" s="62"/>
      <c r="B374" s="62"/>
      <c r="C374" s="62"/>
      <c r="F374" s="42"/>
      <c r="G374" s="186"/>
      <c r="H374" s="52"/>
      <c r="I374" s="52"/>
    </row>
    <row r="375">
      <c r="A375" s="62"/>
      <c r="B375" s="62"/>
      <c r="C375" s="62"/>
      <c r="F375" s="42"/>
      <c r="G375" s="186"/>
      <c r="H375" s="52"/>
      <c r="I375" s="52"/>
    </row>
    <row r="376">
      <c r="A376" s="62"/>
      <c r="B376" s="62"/>
      <c r="C376" s="62"/>
      <c r="F376" s="42"/>
      <c r="G376" s="186"/>
      <c r="H376" s="52"/>
      <c r="I376" s="52"/>
    </row>
    <row r="377">
      <c r="A377" s="62"/>
      <c r="B377" s="62"/>
      <c r="C377" s="62"/>
      <c r="F377" s="42"/>
      <c r="G377" s="186"/>
      <c r="H377" s="52"/>
      <c r="I377" s="52"/>
    </row>
    <row r="378">
      <c r="A378" s="62"/>
      <c r="B378" s="62"/>
      <c r="C378" s="62"/>
      <c r="F378" s="42"/>
      <c r="G378" s="186"/>
      <c r="H378" s="52"/>
      <c r="I378" s="52"/>
    </row>
    <row r="379">
      <c r="A379" s="62"/>
      <c r="B379" s="62"/>
      <c r="C379" s="62"/>
      <c r="F379" s="42"/>
      <c r="G379" s="186"/>
      <c r="H379" s="52"/>
      <c r="I379" s="52"/>
    </row>
    <row r="380">
      <c r="A380" s="62"/>
      <c r="B380" s="62"/>
      <c r="C380" s="62"/>
      <c r="F380" s="42"/>
      <c r="G380" s="186"/>
      <c r="H380" s="52"/>
      <c r="I380" s="52"/>
    </row>
    <row r="381">
      <c r="A381" s="62"/>
      <c r="B381" s="62"/>
      <c r="C381" s="62"/>
      <c r="F381" s="42"/>
      <c r="G381" s="186"/>
      <c r="H381" s="52"/>
      <c r="I381" s="52"/>
    </row>
    <row r="382">
      <c r="A382" s="62"/>
      <c r="B382" s="62"/>
      <c r="C382" s="62"/>
      <c r="F382" s="42"/>
      <c r="G382" s="186"/>
      <c r="H382" s="52"/>
      <c r="I382" s="52"/>
    </row>
    <row r="383">
      <c r="A383" s="62"/>
      <c r="B383" s="62"/>
      <c r="C383" s="62"/>
      <c r="F383" s="42"/>
      <c r="G383" s="186"/>
      <c r="H383" s="52"/>
      <c r="I383" s="52"/>
    </row>
    <row r="384">
      <c r="A384" s="62"/>
      <c r="B384" s="62"/>
      <c r="C384" s="62"/>
      <c r="F384" s="42"/>
      <c r="G384" s="186"/>
      <c r="H384" s="52"/>
      <c r="I384" s="52"/>
    </row>
    <row r="385">
      <c r="A385" s="62"/>
      <c r="B385" s="62"/>
      <c r="C385" s="62"/>
      <c r="F385" s="42"/>
      <c r="G385" s="186"/>
      <c r="H385" s="52"/>
      <c r="I385" s="52"/>
    </row>
    <row r="386">
      <c r="A386" s="62"/>
      <c r="B386" s="62"/>
      <c r="C386" s="62"/>
      <c r="F386" s="42"/>
      <c r="G386" s="186"/>
      <c r="H386" s="52"/>
      <c r="I386" s="52"/>
    </row>
    <row r="387">
      <c r="A387" s="62"/>
      <c r="B387" s="62"/>
      <c r="C387" s="62"/>
      <c r="F387" s="42"/>
      <c r="G387" s="186"/>
      <c r="H387" s="52"/>
      <c r="I387" s="52"/>
    </row>
    <row r="388">
      <c r="A388" s="62"/>
      <c r="B388" s="62"/>
      <c r="C388" s="62"/>
      <c r="F388" s="42"/>
      <c r="G388" s="186"/>
      <c r="H388" s="52"/>
      <c r="I388" s="52"/>
    </row>
    <row r="389">
      <c r="A389" s="62"/>
      <c r="B389" s="62"/>
      <c r="C389" s="62"/>
      <c r="F389" s="42"/>
      <c r="G389" s="186"/>
      <c r="H389" s="52"/>
      <c r="I389" s="52"/>
    </row>
    <row r="390">
      <c r="A390" s="62"/>
      <c r="B390" s="62"/>
      <c r="C390" s="62"/>
      <c r="F390" s="42"/>
      <c r="G390" s="186"/>
      <c r="H390" s="52"/>
      <c r="I390" s="52"/>
    </row>
    <row r="391">
      <c r="A391" s="62"/>
      <c r="B391" s="62"/>
      <c r="C391" s="62"/>
      <c r="F391" s="42"/>
      <c r="G391" s="186"/>
      <c r="H391" s="52"/>
      <c r="I391" s="52"/>
    </row>
    <row r="392">
      <c r="A392" s="62"/>
      <c r="B392" s="62"/>
      <c r="C392" s="62"/>
      <c r="F392" s="42"/>
      <c r="G392" s="186"/>
      <c r="H392" s="52"/>
      <c r="I392" s="52"/>
    </row>
    <row r="393">
      <c r="A393" s="62"/>
      <c r="B393" s="62"/>
      <c r="C393" s="62"/>
      <c r="F393" s="42"/>
      <c r="G393" s="186"/>
      <c r="H393" s="52"/>
      <c r="I393" s="52"/>
    </row>
    <row r="394">
      <c r="A394" s="62"/>
      <c r="B394" s="62"/>
      <c r="C394" s="62"/>
      <c r="F394" s="42"/>
      <c r="G394" s="186"/>
      <c r="H394" s="52"/>
      <c r="I394" s="52"/>
    </row>
    <row r="395">
      <c r="A395" s="62"/>
      <c r="B395" s="62"/>
      <c r="C395" s="62"/>
      <c r="F395" s="42"/>
      <c r="G395" s="186"/>
      <c r="H395" s="52"/>
      <c r="I395" s="52"/>
    </row>
    <row r="396">
      <c r="A396" s="62"/>
      <c r="B396" s="62"/>
      <c r="C396" s="62"/>
      <c r="F396" s="42"/>
      <c r="G396" s="186"/>
      <c r="H396" s="52"/>
      <c r="I396" s="52"/>
    </row>
    <row r="397">
      <c r="A397" s="62"/>
      <c r="B397" s="62"/>
      <c r="C397" s="62"/>
      <c r="F397" s="42"/>
      <c r="G397" s="186"/>
      <c r="H397" s="52"/>
      <c r="I397" s="52"/>
    </row>
    <row r="398">
      <c r="A398" s="62"/>
      <c r="B398" s="62"/>
      <c r="C398" s="62"/>
      <c r="F398" s="42"/>
      <c r="G398" s="186"/>
      <c r="H398" s="52"/>
      <c r="I398" s="52"/>
    </row>
    <row r="399">
      <c r="A399" s="62"/>
      <c r="B399" s="62"/>
      <c r="C399" s="62"/>
      <c r="F399" s="42"/>
      <c r="G399" s="186"/>
      <c r="H399" s="52"/>
      <c r="I399" s="52"/>
    </row>
    <row r="400">
      <c r="A400" s="62"/>
      <c r="B400" s="62"/>
      <c r="C400" s="62"/>
      <c r="F400" s="42"/>
      <c r="G400" s="186"/>
      <c r="H400" s="52"/>
      <c r="I400" s="52"/>
    </row>
    <row r="401">
      <c r="A401" s="62"/>
      <c r="B401" s="62"/>
      <c r="C401" s="62"/>
      <c r="F401" s="42"/>
      <c r="G401" s="186"/>
      <c r="H401" s="52"/>
      <c r="I401" s="52"/>
    </row>
    <row r="402">
      <c r="A402" s="62"/>
      <c r="B402" s="62"/>
      <c r="C402" s="62"/>
      <c r="F402" s="42"/>
      <c r="G402" s="186"/>
      <c r="H402" s="52"/>
      <c r="I402" s="52"/>
    </row>
    <row r="403">
      <c r="A403" s="62"/>
      <c r="B403" s="62"/>
      <c r="C403" s="62"/>
      <c r="F403" s="42"/>
      <c r="G403" s="186"/>
      <c r="H403" s="52"/>
      <c r="I403" s="52"/>
    </row>
    <row r="404">
      <c r="A404" s="62"/>
      <c r="B404" s="62"/>
      <c r="C404" s="62"/>
      <c r="F404" s="42"/>
      <c r="G404" s="186"/>
      <c r="H404" s="52"/>
      <c r="I404" s="52"/>
    </row>
    <row r="405">
      <c r="A405" s="62"/>
      <c r="B405" s="62"/>
      <c r="C405" s="62"/>
      <c r="F405" s="42"/>
      <c r="G405" s="186"/>
      <c r="H405" s="52"/>
      <c r="I405" s="52"/>
    </row>
    <row r="406">
      <c r="A406" s="62"/>
      <c r="B406" s="62"/>
      <c r="C406" s="62"/>
      <c r="F406" s="42"/>
      <c r="G406" s="186"/>
      <c r="H406" s="52"/>
      <c r="I406" s="52"/>
    </row>
    <row r="407">
      <c r="A407" s="62"/>
      <c r="B407" s="62"/>
      <c r="C407" s="62"/>
      <c r="F407" s="42"/>
      <c r="G407" s="186"/>
      <c r="H407" s="52"/>
      <c r="I407" s="52"/>
    </row>
    <row r="408">
      <c r="A408" s="62"/>
      <c r="B408" s="62"/>
      <c r="C408" s="62"/>
      <c r="F408" s="42"/>
      <c r="G408" s="186"/>
      <c r="H408" s="52"/>
      <c r="I408" s="52"/>
    </row>
    <row r="409">
      <c r="A409" s="62"/>
      <c r="B409" s="62"/>
      <c r="C409" s="62"/>
      <c r="F409" s="42"/>
      <c r="G409" s="186"/>
      <c r="H409" s="52"/>
      <c r="I409" s="52"/>
    </row>
    <row r="410">
      <c r="A410" s="62"/>
      <c r="B410" s="62"/>
      <c r="C410" s="62"/>
      <c r="F410" s="42"/>
      <c r="G410" s="186"/>
      <c r="H410" s="52"/>
      <c r="I410" s="52"/>
    </row>
    <row r="411">
      <c r="A411" s="62"/>
      <c r="B411" s="62"/>
      <c r="C411" s="62"/>
      <c r="F411" s="42"/>
      <c r="G411" s="186"/>
      <c r="H411" s="52"/>
      <c r="I411" s="52"/>
    </row>
    <row r="412">
      <c r="A412" s="62"/>
      <c r="B412" s="62"/>
      <c r="C412" s="62"/>
      <c r="F412" s="42"/>
      <c r="G412" s="186"/>
      <c r="H412" s="52"/>
      <c r="I412" s="52"/>
    </row>
    <row r="413">
      <c r="A413" s="62"/>
      <c r="B413" s="62"/>
      <c r="C413" s="62"/>
      <c r="F413" s="42"/>
      <c r="G413" s="186"/>
      <c r="H413" s="52"/>
      <c r="I413" s="52"/>
    </row>
    <row r="414">
      <c r="A414" s="62"/>
      <c r="B414" s="62"/>
      <c r="C414" s="62"/>
      <c r="F414" s="42"/>
      <c r="G414" s="186"/>
      <c r="H414" s="52"/>
      <c r="I414" s="52"/>
    </row>
    <row r="415">
      <c r="A415" s="62"/>
      <c r="B415" s="62"/>
      <c r="C415" s="62"/>
      <c r="F415" s="42"/>
      <c r="G415" s="186"/>
      <c r="H415" s="52"/>
      <c r="I415" s="52"/>
    </row>
    <row r="416">
      <c r="A416" s="62"/>
      <c r="B416" s="62"/>
      <c r="C416" s="62"/>
      <c r="F416" s="42"/>
      <c r="G416" s="186"/>
      <c r="H416" s="52"/>
      <c r="I416" s="52"/>
    </row>
    <row r="417">
      <c r="A417" s="62"/>
      <c r="B417" s="62"/>
      <c r="C417" s="62"/>
      <c r="F417" s="42"/>
      <c r="G417" s="186"/>
      <c r="H417" s="52"/>
      <c r="I417" s="52"/>
    </row>
    <row r="418">
      <c r="A418" s="62"/>
      <c r="B418" s="62"/>
      <c r="C418" s="62"/>
      <c r="F418" s="42"/>
      <c r="G418" s="186"/>
      <c r="H418" s="52"/>
      <c r="I418" s="52"/>
    </row>
    <row r="419">
      <c r="A419" s="62"/>
      <c r="B419" s="62"/>
      <c r="C419" s="62"/>
      <c r="F419" s="42"/>
      <c r="G419" s="186"/>
      <c r="H419" s="52"/>
      <c r="I419" s="52"/>
    </row>
    <row r="420">
      <c r="A420" s="62"/>
      <c r="B420" s="62"/>
      <c r="C420" s="62"/>
      <c r="F420" s="42"/>
      <c r="G420" s="186"/>
      <c r="H420" s="52"/>
      <c r="I420" s="52"/>
    </row>
    <row r="421">
      <c r="A421" s="62"/>
      <c r="B421" s="62"/>
      <c r="C421" s="62"/>
      <c r="F421" s="42"/>
      <c r="G421" s="186"/>
      <c r="H421" s="52"/>
      <c r="I421" s="52"/>
    </row>
    <row r="422">
      <c r="A422" s="62"/>
      <c r="B422" s="62"/>
      <c r="C422" s="62"/>
      <c r="F422" s="42"/>
      <c r="G422" s="186"/>
      <c r="H422" s="52"/>
      <c r="I422" s="52"/>
    </row>
    <row r="423">
      <c r="A423" s="62"/>
      <c r="B423" s="62"/>
      <c r="C423" s="62"/>
      <c r="F423" s="42"/>
      <c r="G423" s="186"/>
      <c r="H423" s="52"/>
      <c r="I423" s="52"/>
    </row>
    <row r="424">
      <c r="A424" s="62"/>
      <c r="B424" s="62"/>
      <c r="C424" s="62"/>
      <c r="F424" s="42"/>
      <c r="G424" s="186"/>
      <c r="H424" s="52"/>
      <c r="I424" s="52"/>
    </row>
    <row r="425">
      <c r="A425" s="62"/>
      <c r="B425" s="62"/>
      <c r="C425" s="62"/>
      <c r="F425" s="42"/>
      <c r="G425" s="186"/>
      <c r="H425" s="52"/>
      <c r="I425" s="52"/>
    </row>
    <row r="426">
      <c r="A426" s="62"/>
      <c r="B426" s="62"/>
      <c r="C426" s="62"/>
      <c r="F426" s="42"/>
      <c r="G426" s="186"/>
      <c r="H426" s="52"/>
      <c r="I426" s="52"/>
    </row>
    <row r="427">
      <c r="A427" s="62"/>
      <c r="B427" s="62"/>
      <c r="C427" s="62"/>
      <c r="F427" s="42"/>
      <c r="G427" s="186"/>
      <c r="H427" s="52"/>
      <c r="I427" s="52"/>
    </row>
    <row r="428">
      <c r="A428" s="62"/>
      <c r="B428" s="62"/>
      <c r="C428" s="62"/>
      <c r="F428" s="42"/>
      <c r="G428" s="186"/>
      <c r="H428" s="52"/>
      <c r="I428" s="52"/>
    </row>
    <row r="429">
      <c r="A429" s="62"/>
      <c r="B429" s="62"/>
      <c r="C429" s="62"/>
      <c r="F429" s="42"/>
      <c r="G429" s="186"/>
      <c r="H429" s="52"/>
      <c r="I429" s="52"/>
    </row>
    <row r="430">
      <c r="A430" s="62"/>
      <c r="B430" s="62"/>
      <c r="C430" s="62"/>
      <c r="F430" s="42"/>
      <c r="G430" s="186"/>
      <c r="H430" s="52"/>
      <c r="I430" s="52"/>
    </row>
    <row r="431">
      <c r="A431" s="62"/>
      <c r="B431" s="62"/>
      <c r="C431" s="62"/>
      <c r="F431" s="42"/>
      <c r="G431" s="186"/>
      <c r="H431" s="52"/>
      <c r="I431" s="52"/>
    </row>
    <row r="432">
      <c r="A432" s="62"/>
      <c r="B432" s="62"/>
      <c r="C432" s="62"/>
      <c r="F432" s="42"/>
      <c r="G432" s="186"/>
      <c r="H432" s="52"/>
      <c r="I432" s="52"/>
    </row>
    <row r="433">
      <c r="A433" s="62"/>
      <c r="B433" s="62"/>
      <c r="C433" s="62"/>
      <c r="F433" s="42"/>
      <c r="G433" s="186"/>
      <c r="H433" s="52"/>
      <c r="I433" s="52"/>
    </row>
    <row r="434">
      <c r="A434" s="62"/>
      <c r="B434" s="62"/>
      <c r="C434" s="62"/>
      <c r="F434" s="42"/>
      <c r="G434" s="186"/>
      <c r="H434" s="52"/>
      <c r="I434" s="52"/>
    </row>
    <row r="435">
      <c r="A435" s="62"/>
      <c r="B435" s="62"/>
      <c r="C435" s="62"/>
      <c r="F435" s="42"/>
      <c r="G435" s="186"/>
      <c r="H435" s="52"/>
      <c r="I435" s="52"/>
    </row>
    <row r="436">
      <c r="A436" s="62"/>
      <c r="B436" s="62"/>
      <c r="C436" s="62"/>
      <c r="F436" s="42"/>
      <c r="G436" s="186"/>
      <c r="H436" s="52"/>
      <c r="I436" s="52"/>
    </row>
    <row r="437">
      <c r="A437" s="62"/>
      <c r="B437" s="62"/>
      <c r="C437" s="62"/>
      <c r="F437" s="42"/>
      <c r="G437" s="186"/>
      <c r="H437" s="52"/>
      <c r="I437" s="52"/>
    </row>
    <row r="438">
      <c r="A438" s="62"/>
      <c r="B438" s="62"/>
      <c r="C438" s="62"/>
      <c r="F438" s="42"/>
      <c r="G438" s="186"/>
      <c r="H438" s="52"/>
      <c r="I438" s="52"/>
    </row>
    <row r="439">
      <c r="A439" s="62"/>
      <c r="B439" s="62"/>
      <c r="C439" s="62"/>
      <c r="F439" s="42"/>
      <c r="G439" s="186"/>
      <c r="H439" s="52"/>
      <c r="I439" s="52"/>
    </row>
    <row r="440">
      <c r="A440" s="62"/>
      <c r="B440" s="62"/>
      <c r="C440" s="62"/>
      <c r="F440" s="42"/>
      <c r="G440" s="186"/>
      <c r="H440" s="52"/>
      <c r="I440" s="52"/>
    </row>
    <row r="441">
      <c r="A441" s="62"/>
      <c r="B441" s="62"/>
      <c r="C441" s="62"/>
      <c r="F441" s="42"/>
      <c r="G441" s="186"/>
      <c r="H441" s="52"/>
      <c r="I441" s="52"/>
    </row>
    <row r="442">
      <c r="A442" s="62"/>
      <c r="B442" s="62"/>
      <c r="C442" s="62"/>
      <c r="F442" s="42"/>
      <c r="G442" s="186"/>
      <c r="H442" s="52"/>
      <c r="I442" s="52"/>
    </row>
    <row r="443">
      <c r="A443" s="62"/>
      <c r="B443" s="62"/>
      <c r="C443" s="62"/>
      <c r="F443" s="42"/>
      <c r="G443" s="186"/>
      <c r="H443" s="52"/>
      <c r="I443" s="52"/>
    </row>
    <row r="444">
      <c r="A444" s="62"/>
      <c r="B444" s="62"/>
      <c r="C444" s="62"/>
      <c r="F444" s="42"/>
      <c r="G444" s="186"/>
      <c r="H444" s="52"/>
      <c r="I444" s="52"/>
    </row>
    <row r="445">
      <c r="A445" s="62"/>
      <c r="B445" s="62"/>
      <c r="C445" s="62"/>
      <c r="F445" s="42"/>
      <c r="G445" s="186"/>
      <c r="H445" s="52"/>
      <c r="I445" s="52"/>
    </row>
    <row r="446">
      <c r="A446" s="62"/>
      <c r="B446" s="62"/>
      <c r="C446" s="62"/>
      <c r="F446" s="42"/>
      <c r="G446" s="186"/>
      <c r="H446" s="52"/>
      <c r="I446" s="52"/>
    </row>
    <row r="447">
      <c r="A447" s="62"/>
      <c r="B447" s="62"/>
      <c r="C447" s="62"/>
      <c r="F447" s="42"/>
      <c r="G447" s="186"/>
      <c r="H447" s="52"/>
      <c r="I447" s="52"/>
    </row>
    <row r="448">
      <c r="A448" s="62"/>
      <c r="B448" s="62"/>
      <c r="C448" s="62"/>
      <c r="F448" s="42"/>
      <c r="G448" s="186"/>
      <c r="H448" s="52"/>
      <c r="I448" s="52"/>
    </row>
    <row r="449">
      <c r="A449" s="62"/>
      <c r="B449" s="62"/>
      <c r="C449" s="62"/>
      <c r="F449" s="42"/>
      <c r="G449" s="186"/>
      <c r="H449" s="52"/>
      <c r="I449" s="52"/>
    </row>
    <row r="450">
      <c r="A450" s="62"/>
      <c r="B450" s="62"/>
      <c r="C450" s="62"/>
      <c r="F450" s="42"/>
      <c r="G450" s="186"/>
      <c r="H450" s="52"/>
      <c r="I450" s="52"/>
    </row>
    <row r="451">
      <c r="A451" s="62"/>
      <c r="B451" s="62"/>
      <c r="C451" s="62"/>
      <c r="F451" s="42"/>
      <c r="G451" s="186"/>
      <c r="H451" s="52"/>
      <c r="I451" s="52"/>
    </row>
    <row r="452">
      <c r="A452" s="62"/>
      <c r="B452" s="62"/>
      <c r="C452" s="62"/>
      <c r="F452" s="42"/>
      <c r="G452" s="186"/>
      <c r="H452" s="52"/>
      <c r="I452" s="52"/>
    </row>
    <row r="453">
      <c r="A453" s="62"/>
      <c r="B453" s="62"/>
      <c r="C453" s="62"/>
      <c r="F453" s="42"/>
      <c r="G453" s="186"/>
      <c r="H453" s="52"/>
      <c r="I453" s="52"/>
    </row>
    <row r="454">
      <c r="A454" s="62"/>
      <c r="B454" s="62"/>
      <c r="C454" s="62"/>
      <c r="F454" s="42"/>
      <c r="G454" s="186"/>
      <c r="H454" s="52"/>
      <c r="I454" s="52"/>
    </row>
    <row r="455">
      <c r="A455" s="62"/>
      <c r="B455" s="62"/>
      <c r="C455" s="62"/>
      <c r="F455" s="42"/>
      <c r="G455" s="186"/>
      <c r="H455" s="52"/>
      <c r="I455" s="52"/>
    </row>
    <row r="456">
      <c r="A456" s="62"/>
      <c r="B456" s="62"/>
      <c r="C456" s="62"/>
      <c r="F456" s="42"/>
      <c r="G456" s="186"/>
      <c r="H456" s="52"/>
      <c r="I456" s="52"/>
    </row>
    <row r="457">
      <c r="A457" s="62"/>
      <c r="B457" s="62"/>
      <c r="C457" s="62"/>
      <c r="F457" s="42"/>
      <c r="G457" s="186"/>
      <c r="H457" s="52"/>
      <c r="I457" s="52"/>
    </row>
    <row r="458">
      <c r="A458" s="62"/>
      <c r="B458" s="62"/>
      <c r="C458" s="62"/>
      <c r="F458" s="42"/>
      <c r="G458" s="186"/>
      <c r="H458" s="52"/>
      <c r="I458" s="52"/>
    </row>
    <row r="459">
      <c r="A459" s="62"/>
      <c r="B459" s="62"/>
      <c r="C459" s="62"/>
      <c r="F459" s="42"/>
      <c r="G459" s="186"/>
      <c r="H459" s="52"/>
      <c r="I459" s="52"/>
    </row>
    <row r="460">
      <c r="A460" s="62"/>
      <c r="B460" s="62"/>
      <c r="C460" s="62"/>
      <c r="F460" s="42"/>
      <c r="G460" s="186"/>
      <c r="H460" s="52"/>
      <c r="I460" s="52"/>
    </row>
    <row r="461">
      <c r="A461" s="62"/>
      <c r="B461" s="62"/>
      <c r="C461" s="62"/>
      <c r="F461" s="42"/>
      <c r="G461" s="186"/>
      <c r="H461" s="52"/>
      <c r="I461" s="52"/>
    </row>
    <row r="462">
      <c r="A462" s="62"/>
      <c r="B462" s="62"/>
      <c r="C462" s="62"/>
      <c r="F462" s="42"/>
      <c r="G462" s="186"/>
      <c r="H462" s="52"/>
      <c r="I462" s="52"/>
    </row>
    <row r="463">
      <c r="A463" s="62"/>
      <c r="B463" s="62"/>
      <c r="C463" s="62"/>
      <c r="F463" s="42"/>
      <c r="G463" s="186"/>
      <c r="H463" s="52"/>
      <c r="I463" s="52"/>
    </row>
    <row r="464">
      <c r="A464" s="62"/>
      <c r="B464" s="62"/>
      <c r="C464" s="62"/>
      <c r="F464" s="42"/>
      <c r="G464" s="186"/>
      <c r="H464" s="52"/>
      <c r="I464" s="52"/>
    </row>
    <row r="465">
      <c r="A465" s="62"/>
      <c r="B465" s="62"/>
      <c r="C465" s="62"/>
      <c r="F465" s="42"/>
      <c r="G465" s="186"/>
      <c r="H465" s="52"/>
      <c r="I465" s="52"/>
    </row>
    <row r="466">
      <c r="A466" s="62"/>
      <c r="B466" s="62"/>
      <c r="C466" s="62"/>
      <c r="F466" s="42"/>
      <c r="G466" s="186"/>
      <c r="H466" s="52"/>
      <c r="I466" s="52"/>
    </row>
    <row r="467">
      <c r="A467" s="62"/>
      <c r="B467" s="62"/>
      <c r="C467" s="62"/>
      <c r="F467" s="42"/>
      <c r="G467" s="186"/>
      <c r="H467" s="52"/>
      <c r="I467" s="52"/>
    </row>
    <row r="468">
      <c r="A468" s="62"/>
      <c r="B468" s="62"/>
      <c r="C468" s="62"/>
      <c r="F468" s="42"/>
      <c r="G468" s="186"/>
      <c r="H468" s="52"/>
      <c r="I468" s="52"/>
    </row>
    <row r="469">
      <c r="A469" s="62"/>
      <c r="B469" s="62"/>
      <c r="C469" s="62"/>
      <c r="F469" s="42"/>
      <c r="G469" s="186"/>
      <c r="H469" s="52"/>
      <c r="I469" s="52"/>
    </row>
    <row r="470">
      <c r="A470" s="62"/>
      <c r="B470" s="62"/>
      <c r="C470" s="62"/>
      <c r="F470" s="42"/>
      <c r="G470" s="186"/>
      <c r="H470" s="52"/>
      <c r="I470" s="52"/>
    </row>
    <row r="471">
      <c r="A471" s="62"/>
      <c r="B471" s="62"/>
      <c r="C471" s="62"/>
      <c r="F471" s="42"/>
      <c r="G471" s="186"/>
      <c r="H471" s="52"/>
      <c r="I471" s="52"/>
    </row>
    <row r="472">
      <c r="A472" s="62"/>
      <c r="B472" s="62"/>
      <c r="C472" s="62"/>
      <c r="F472" s="42"/>
      <c r="G472" s="186"/>
      <c r="H472" s="52"/>
      <c r="I472" s="52"/>
    </row>
    <row r="473">
      <c r="A473" s="62"/>
      <c r="B473" s="62"/>
      <c r="C473" s="62"/>
      <c r="F473" s="42"/>
      <c r="G473" s="186"/>
      <c r="H473" s="52"/>
      <c r="I473" s="52"/>
    </row>
    <row r="474">
      <c r="A474" s="62"/>
      <c r="B474" s="62"/>
      <c r="C474" s="62"/>
      <c r="F474" s="42"/>
      <c r="G474" s="186"/>
      <c r="H474" s="52"/>
      <c r="I474" s="52"/>
    </row>
    <row r="475">
      <c r="A475" s="62"/>
      <c r="B475" s="62"/>
      <c r="C475" s="62"/>
      <c r="F475" s="42"/>
      <c r="G475" s="186"/>
      <c r="H475" s="52"/>
      <c r="I475" s="52"/>
    </row>
    <row r="476">
      <c r="A476" s="62"/>
      <c r="B476" s="62"/>
      <c r="C476" s="62"/>
      <c r="F476" s="42"/>
      <c r="G476" s="186"/>
      <c r="H476" s="52"/>
      <c r="I476" s="52"/>
    </row>
    <row r="477">
      <c r="A477" s="62"/>
      <c r="B477" s="62"/>
      <c r="C477" s="62"/>
      <c r="F477" s="42"/>
      <c r="G477" s="186"/>
      <c r="H477" s="52"/>
      <c r="I477" s="52"/>
    </row>
    <row r="478">
      <c r="A478" s="62"/>
      <c r="B478" s="62"/>
      <c r="C478" s="62"/>
      <c r="F478" s="42"/>
      <c r="G478" s="186"/>
      <c r="H478" s="52"/>
      <c r="I478" s="52"/>
    </row>
    <row r="479">
      <c r="A479" s="62"/>
      <c r="B479" s="62"/>
      <c r="C479" s="62"/>
      <c r="F479" s="42"/>
      <c r="G479" s="186"/>
      <c r="H479" s="52"/>
      <c r="I479" s="52"/>
    </row>
    <row r="480">
      <c r="A480" s="62"/>
      <c r="B480" s="62"/>
      <c r="C480" s="62"/>
      <c r="F480" s="42"/>
      <c r="G480" s="186"/>
      <c r="H480" s="52"/>
      <c r="I480" s="52"/>
    </row>
    <row r="481">
      <c r="A481" s="62"/>
      <c r="B481" s="62"/>
      <c r="C481" s="62"/>
      <c r="F481" s="42"/>
      <c r="G481" s="186"/>
      <c r="H481" s="52"/>
      <c r="I481" s="52"/>
    </row>
    <row r="482">
      <c r="A482" s="62"/>
      <c r="B482" s="62"/>
      <c r="C482" s="62"/>
      <c r="F482" s="42"/>
      <c r="G482" s="186"/>
      <c r="H482" s="52"/>
      <c r="I482" s="52"/>
    </row>
    <row r="483">
      <c r="A483" s="62"/>
      <c r="B483" s="62"/>
      <c r="C483" s="62"/>
      <c r="F483" s="42"/>
      <c r="G483" s="186"/>
      <c r="H483" s="52"/>
      <c r="I483" s="52"/>
    </row>
    <row r="484">
      <c r="A484" s="62"/>
      <c r="B484" s="62"/>
      <c r="C484" s="62"/>
      <c r="F484" s="42"/>
      <c r="G484" s="186"/>
      <c r="H484" s="52"/>
      <c r="I484" s="52"/>
    </row>
    <row r="485">
      <c r="A485" s="62"/>
      <c r="B485" s="62"/>
      <c r="C485" s="62"/>
      <c r="F485" s="42"/>
      <c r="G485" s="186"/>
      <c r="H485" s="52"/>
      <c r="I485" s="52"/>
    </row>
    <row r="486">
      <c r="A486" s="62"/>
      <c r="B486" s="62"/>
      <c r="C486" s="62"/>
      <c r="F486" s="42"/>
      <c r="G486" s="186"/>
      <c r="H486" s="52"/>
      <c r="I486" s="52"/>
    </row>
    <row r="487">
      <c r="A487" s="62"/>
      <c r="B487" s="62"/>
      <c r="C487" s="62"/>
      <c r="F487" s="42"/>
      <c r="G487" s="186"/>
      <c r="H487" s="52"/>
      <c r="I487" s="52"/>
    </row>
    <row r="488">
      <c r="A488" s="62"/>
      <c r="B488" s="62"/>
      <c r="C488" s="62"/>
      <c r="F488" s="42"/>
      <c r="G488" s="186"/>
      <c r="H488" s="52"/>
      <c r="I488" s="52"/>
    </row>
    <row r="489">
      <c r="A489" s="62"/>
      <c r="B489" s="62"/>
      <c r="C489" s="62"/>
      <c r="F489" s="42"/>
      <c r="G489" s="186"/>
      <c r="H489" s="52"/>
      <c r="I489" s="52"/>
    </row>
    <row r="490">
      <c r="A490" s="62"/>
      <c r="B490" s="62"/>
      <c r="C490" s="62"/>
      <c r="F490" s="42"/>
      <c r="G490" s="186"/>
      <c r="H490" s="52"/>
      <c r="I490" s="52"/>
    </row>
    <row r="491">
      <c r="A491" s="62"/>
      <c r="B491" s="62"/>
      <c r="C491" s="62"/>
      <c r="F491" s="42"/>
      <c r="G491" s="186"/>
      <c r="H491" s="52"/>
      <c r="I491" s="52"/>
    </row>
    <row r="492">
      <c r="A492" s="62"/>
      <c r="B492" s="62"/>
      <c r="C492" s="62"/>
      <c r="F492" s="42"/>
      <c r="G492" s="186"/>
      <c r="H492" s="52"/>
      <c r="I492" s="52"/>
    </row>
    <row r="493">
      <c r="A493" s="62"/>
      <c r="B493" s="62"/>
      <c r="C493" s="62"/>
      <c r="F493" s="42"/>
      <c r="G493" s="186"/>
      <c r="H493" s="52"/>
      <c r="I493" s="52"/>
    </row>
    <row r="494">
      <c r="A494" s="62"/>
      <c r="B494" s="62"/>
      <c r="C494" s="62"/>
      <c r="F494" s="42"/>
      <c r="G494" s="186"/>
      <c r="H494" s="52"/>
      <c r="I494" s="52"/>
    </row>
    <row r="495">
      <c r="A495" s="62"/>
      <c r="B495" s="62"/>
      <c r="C495" s="62"/>
      <c r="F495" s="42"/>
      <c r="G495" s="186"/>
      <c r="H495" s="52"/>
      <c r="I495" s="52"/>
    </row>
    <row r="496">
      <c r="A496" s="62"/>
      <c r="B496" s="62"/>
      <c r="C496" s="62"/>
      <c r="F496" s="42"/>
      <c r="G496" s="186"/>
      <c r="H496" s="52"/>
      <c r="I496" s="52"/>
    </row>
    <row r="497">
      <c r="A497" s="62"/>
      <c r="B497" s="62"/>
      <c r="C497" s="62"/>
      <c r="F497" s="42"/>
      <c r="G497" s="186"/>
      <c r="H497" s="52"/>
      <c r="I497" s="52"/>
    </row>
    <row r="498">
      <c r="A498" s="62"/>
      <c r="B498" s="62"/>
      <c r="C498" s="62"/>
      <c r="F498" s="42"/>
      <c r="G498" s="186"/>
      <c r="H498" s="52"/>
      <c r="I498" s="52"/>
    </row>
    <row r="499">
      <c r="A499" s="62"/>
      <c r="B499" s="62"/>
      <c r="C499" s="62"/>
      <c r="F499" s="42"/>
      <c r="G499" s="186"/>
      <c r="H499" s="52"/>
      <c r="I499" s="52"/>
    </row>
    <row r="500">
      <c r="A500" s="62"/>
      <c r="B500" s="62"/>
      <c r="C500" s="62"/>
      <c r="F500" s="42"/>
      <c r="G500" s="186"/>
      <c r="H500" s="52"/>
      <c r="I500" s="52"/>
    </row>
    <row r="501">
      <c r="A501" s="62"/>
      <c r="B501" s="62"/>
      <c r="C501" s="62"/>
      <c r="F501" s="42"/>
      <c r="G501" s="186"/>
      <c r="H501" s="52"/>
      <c r="I501" s="52"/>
    </row>
    <row r="502">
      <c r="A502" s="62"/>
      <c r="B502" s="62"/>
      <c r="C502" s="62"/>
      <c r="F502" s="42"/>
      <c r="G502" s="186"/>
      <c r="H502" s="52"/>
      <c r="I502" s="52"/>
    </row>
    <row r="503">
      <c r="A503" s="62"/>
      <c r="B503" s="62"/>
      <c r="C503" s="62"/>
      <c r="F503" s="42"/>
      <c r="G503" s="186"/>
      <c r="H503" s="52"/>
      <c r="I503" s="52"/>
    </row>
    <row r="504">
      <c r="A504" s="62"/>
      <c r="B504" s="62"/>
      <c r="C504" s="62"/>
      <c r="F504" s="42"/>
      <c r="G504" s="186"/>
      <c r="H504" s="52"/>
      <c r="I504" s="52"/>
    </row>
    <row r="505">
      <c r="A505" s="62"/>
      <c r="B505" s="62"/>
      <c r="C505" s="62"/>
      <c r="F505" s="42"/>
      <c r="G505" s="186"/>
      <c r="H505" s="52"/>
      <c r="I505" s="52"/>
    </row>
    <row r="506">
      <c r="A506" s="62"/>
      <c r="B506" s="62"/>
      <c r="C506" s="62"/>
      <c r="F506" s="42"/>
      <c r="G506" s="186"/>
      <c r="H506" s="52"/>
      <c r="I506" s="52"/>
    </row>
    <row r="507">
      <c r="A507" s="62"/>
      <c r="B507" s="62"/>
      <c r="C507" s="62"/>
      <c r="F507" s="42"/>
      <c r="G507" s="186"/>
      <c r="H507" s="52"/>
      <c r="I507" s="52"/>
    </row>
    <row r="508">
      <c r="A508" s="62"/>
      <c r="B508" s="62"/>
      <c r="C508" s="62"/>
      <c r="F508" s="42"/>
      <c r="G508" s="186"/>
      <c r="H508" s="52"/>
      <c r="I508" s="52"/>
    </row>
    <row r="509">
      <c r="A509" s="62"/>
      <c r="B509" s="62"/>
      <c r="C509" s="62"/>
      <c r="F509" s="42"/>
      <c r="G509" s="186"/>
      <c r="H509" s="52"/>
      <c r="I509" s="52"/>
    </row>
    <row r="510">
      <c r="A510" s="62"/>
      <c r="B510" s="62"/>
      <c r="C510" s="62"/>
      <c r="F510" s="42"/>
      <c r="G510" s="186"/>
      <c r="H510" s="52"/>
      <c r="I510" s="52"/>
    </row>
    <row r="511">
      <c r="A511" s="62"/>
      <c r="B511" s="62"/>
      <c r="C511" s="62"/>
      <c r="F511" s="42"/>
      <c r="G511" s="186"/>
      <c r="H511" s="52"/>
      <c r="I511" s="52"/>
    </row>
    <row r="512">
      <c r="A512" s="62"/>
      <c r="B512" s="62"/>
      <c r="C512" s="62"/>
      <c r="F512" s="42"/>
      <c r="G512" s="186"/>
      <c r="H512" s="52"/>
      <c r="I512" s="52"/>
    </row>
    <row r="513">
      <c r="A513" s="62"/>
      <c r="B513" s="62"/>
      <c r="C513" s="62"/>
      <c r="F513" s="42"/>
      <c r="G513" s="186"/>
      <c r="H513" s="52"/>
      <c r="I513" s="52"/>
    </row>
    <row r="514">
      <c r="A514" s="62"/>
      <c r="B514" s="62"/>
      <c r="C514" s="62"/>
      <c r="F514" s="42"/>
      <c r="G514" s="186"/>
      <c r="H514" s="52"/>
      <c r="I514" s="52"/>
    </row>
    <row r="515">
      <c r="A515" s="62"/>
      <c r="B515" s="62"/>
      <c r="C515" s="62"/>
      <c r="F515" s="42"/>
      <c r="G515" s="186"/>
      <c r="H515" s="52"/>
      <c r="I515" s="52"/>
    </row>
    <row r="516">
      <c r="A516" s="62"/>
      <c r="B516" s="62"/>
      <c r="C516" s="62"/>
      <c r="F516" s="42"/>
      <c r="G516" s="186"/>
      <c r="H516" s="52"/>
      <c r="I516" s="52"/>
    </row>
    <row r="517">
      <c r="A517" s="62"/>
      <c r="B517" s="62"/>
      <c r="C517" s="62"/>
      <c r="F517" s="42"/>
      <c r="G517" s="186"/>
      <c r="H517" s="52"/>
      <c r="I517" s="52"/>
    </row>
    <row r="518">
      <c r="A518" s="62"/>
      <c r="B518" s="62"/>
      <c r="C518" s="62"/>
      <c r="F518" s="42"/>
      <c r="G518" s="186"/>
      <c r="H518" s="52"/>
      <c r="I518" s="52"/>
    </row>
    <row r="519">
      <c r="A519" s="62"/>
      <c r="B519" s="62"/>
      <c r="C519" s="62"/>
      <c r="F519" s="42"/>
      <c r="G519" s="186"/>
      <c r="H519" s="52"/>
      <c r="I519" s="52"/>
    </row>
    <row r="520">
      <c r="A520" s="62"/>
      <c r="B520" s="62"/>
      <c r="C520" s="62"/>
      <c r="F520" s="42"/>
      <c r="G520" s="186"/>
      <c r="H520" s="52"/>
      <c r="I520" s="52"/>
    </row>
    <row r="521">
      <c r="A521" s="62"/>
      <c r="B521" s="62"/>
      <c r="C521" s="62"/>
      <c r="F521" s="42"/>
      <c r="G521" s="186"/>
      <c r="H521" s="52"/>
      <c r="I521" s="52"/>
    </row>
    <row r="522">
      <c r="A522" s="62"/>
      <c r="B522" s="62"/>
      <c r="C522" s="62"/>
      <c r="F522" s="42"/>
      <c r="G522" s="186"/>
      <c r="H522" s="52"/>
      <c r="I522" s="52"/>
    </row>
    <row r="523">
      <c r="A523" s="62"/>
      <c r="B523" s="62"/>
      <c r="C523" s="62"/>
      <c r="F523" s="42"/>
      <c r="G523" s="186"/>
      <c r="H523" s="52"/>
      <c r="I523" s="52"/>
    </row>
    <row r="524">
      <c r="A524" s="62"/>
      <c r="B524" s="62"/>
      <c r="C524" s="62"/>
      <c r="F524" s="42"/>
      <c r="G524" s="186"/>
      <c r="H524" s="52"/>
      <c r="I524" s="52"/>
    </row>
    <row r="525">
      <c r="A525" s="62"/>
      <c r="B525" s="62"/>
      <c r="C525" s="62"/>
      <c r="F525" s="42"/>
      <c r="G525" s="186"/>
      <c r="H525" s="52"/>
      <c r="I525" s="52"/>
    </row>
    <row r="526">
      <c r="A526" s="62"/>
      <c r="B526" s="62"/>
      <c r="C526" s="62"/>
      <c r="F526" s="42"/>
      <c r="G526" s="186"/>
      <c r="H526" s="52"/>
      <c r="I526" s="52"/>
    </row>
    <row r="527">
      <c r="A527" s="62"/>
      <c r="B527" s="62"/>
      <c r="C527" s="62"/>
      <c r="F527" s="42"/>
      <c r="G527" s="186"/>
      <c r="H527" s="52"/>
      <c r="I527" s="52"/>
    </row>
    <row r="528">
      <c r="A528" s="62"/>
      <c r="B528" s="62"/>
      <c r="C528" s="62"/>
      <c r="F528" s="42"/>
      <c r="G528" s="186"/>
      <c r="H528" s="52"/>
      <c r="I528" s="52"/>
    </row>
    <row r="529">
      <c r="A529" s="62"/>
      <c r="B529" s="62"/>
      <c r="C529" s="62"/>
      <c r="F529" s="42"/>
      <c r="G529" s="186"/>
      <c r="H529" s="52"/>
      <c r="I529" s="52"/>
    </row>
    <row r="530">
      <c r="A530" s="62"/>
      <c r="B530" s="62"/>
      <c r="C530" s="62"/>
      <c r="F530" s="42"/>
      <c r="G530" s="186"/>
      <c r="H530" s="52"/>
      <c r="I530" s="52"/>
    </row>
    <row r="531">
      <c r="A531" s="62"/>
      <c r="B531" s="62"/>
      <c r="C531" s="62"/>
      <c r="F531" s="42"/>
      <c r="G531" s="186"/>
      <c r="H531" s="52"/>
      <c r="I531" s="52"/>
    </row>
    <row r="532">
      <c r="A532" s="62"/>
      <c r="B532" s="62"/>
      <c r="C532" s="62"/>
      <c r="F532" s="42"/>
      <c r="G532" s="186"/>
      <c r="H532" s="52"/>
      <c r="I532" s="52"/>
    </row>
    <row r="533">
      <c r="A533" s="62"/>
      <c r="B533" s="62"/>
      <c r="C533" s="62"/>
      <c r="F533" s="42"/>
      <c r="G533" s="186"/>
      <c r="H533" s="52"/>
      <c r="I533" s="52"/>
    </row>
    <row r="534">
      <c r="A534" s="62"/>
      <c r="B534" s="62"/>
      <c r="C534" s="62"/>
      <c r="F534" s="42"/>
      <c r="G534" s="186"/>
      <c r="H534" s="52"/>
      <c r="I534" s="52"/>
    </row>
    <row r="535">
      <c r="A535" s="62"/>
      <c r="B535" s="62"/>
      <c r="C535" s="62"/>
      <c r="F535" s="42"/>
      <c r="G535" s="186"/>
      <c r="H535" s="52"/>
      <c r="I535" s="52"/>
    </row>
    <row r="536">
      <c r="A536" s="62"/>
      <c r="B536" s="62"/>
      <c r="C536" s="62"/>
      <c r="F536" s="42"/>
      <c r="G536" s="186"/>
      <c r="H536" s="52"/>
      <c r="I536" s="52"/>
    </row>
    <row r="537">
      <c r="A537" s="62"/>
      <c r="B537" s="62"/>
      <c r="C537" s="62"/>
      <c r="F537" s="42"/>
      <c r="G537" s="186"/>
      <c r="H537" s="52"/>
      <c r="I537" s="52"/>
    </row>
    <row r="538">
      <c r="A538" s="62"/>
      <c r="B538" s="62"/>
      <c r="C538" s="62"/>
      <c r="F538" s="42"/>
      <c r="G538" s="186"/>
      <c r="H538" s="52"/>
      <c r="I538" s="52"/>
    </row>
    <row r="539">
      <c r="A539" s="62"/>
      <c r="B539" s="62"/>
      <c r="C539" s="62"/>
      <c r="F539" s="42"/>
      <c r="G539" s="186"/>
      <c r="H539" s="52"/>
      <c r="I539" s="52"/>
    </row>
    <row r="540">
      <c r="A540" s="62"/>
      <c r="B540" s="62"/>
      <c r="C540" s="62"/>
      <c r="F540" s="42"/>
      <c r="G540" s="186"/>
      <c r="H540" s="52"/>
      <c r="I540" s="52"/>
    </row>
    <row r="541">
      <c r="A541" s="62"/>
      <c r="B541" s="62"/>
      <c r="C541" s="62"/>
      <c r="F541" s="42"/>
      <c r="G541" s="186"/>
      <c r="H541" s="52"/>
      <c r="I541" s="52"/>
    </row>
    <row r="542">
      <c r="A542" s="62"/>
      <c r="B542" s="62"/>
      <c r="C542" s="62"/>
      <c r="F542" s="42"/>
      <c r="G542" s="186"/>
      <c r="H542" s="52"/>
      <c r="I542" s="52"/>
    </row>
    <row r="543">
      <c r="A543" s="62"/>
      <c r="B543" s="62"/>
      <c r="C543" s="62"/>
      <c r="F543" s="42"/>
      <c r="G543" s="186"/>
      <c r="H543" s="52"/>
      <c r="I543" s="52"/>
    </row>
    <row r="544">
      <c r="A544" s="62"/>
      <c r="B544" s="62"/>
      <c r="C544" s="62"/>
      <c r="F544" s="42"/>
      <c r="G544" s="186"/>
      <c r="H544" s="52"/>
      <c r="I544" s="52"/>
    </row>
    <row r="545">
      <c r="A545" s="62"/>
      <c r="B545" s="62"/>
      <c r="C545" s="62"/>
      <c r="F545" s="42"/>
      <c r="G545" s="186"/>
      <c r="H545" s="52"/>
      <c r="I545" s="52"/>
    </row>
    <row r="546">
      <c r="A546" s="62"/>
      <c r="B546" s="62"/>
      <c r="C546" s="62"/>
      <c r="F546" s="42"/>
      <c r="G546" s="186"/>
      <c r="H546" s="52"/>
      <c r="I546" s="52"/>
    </row>
    <row r="547">
      <c r="A547" s="62"/>
      <c r="B547" s="62"/>
      <c r="C547" s="62"/>
      <c r="F547" s="42"/>
      <c r="G547" s="186"/>
      <c r="H547" s="52"/>
      <c r="I547" s="52"/>
    </row>
    <row r="548">
      <c r="A548" s="62"/>
      <c r="B548" s="62"/>
      <c r="C548" s="62"/>
      <c r="F548" s="42"/>
      <c r="G548" s="186"/>
      <c r="H548" s="52"/>
      <c r="I548" s="52"/>
    </row>
    <row r="549">
      <c r="A549" s="62"/>
      <c r="B549" s="62"/>
      <c r="C549" s="62"/>
      <c r="F549" s="42"/>
      <c r="G549" s="186"/>
      <c r="H549" s="52"/>
      <c r="I549" s="52"/>
    </row>
    <row r="550">
      <c r="A550" s="62"/>
      <c r="B550" s="62"/>
      <c r="C550" s="62"/>
      <c r="F550" s="42"/>
      <c r="G550" s="186"/>
      <c r="H550" s="52"/>
      <c r="I550" s="52"/>
    </row>
    <row r="551">
      <c r="A551" s="62"/>
      <c r="B551" s="62"/>
      <c r="C551" s="62"/>
      <c r="F551" s="42"/>
      <c r="G551" s="186"/>
      <c r="H551" s="52"/>
      <c r="I551" s="52"/>
    </row>
    <row r="552">
      <c r="A552" s="62"/>
      <c r="B552" s="62"/>
      <c r="C552" s="62"/>
      <c r="F552" s="42"/>
      <c r="G552" s="186"/>
      <c r="H552" s="52"/>
      <c r="I552" s="52"/>
    </row>
    <row r="553">
      <c r="A553" s="62"/>
      <c r="B553" s="62"/>
      <c r="C553" s="62"/>
      <c r="F553" s="42"/>
      <c r="G553" s="186"/>
      <c r="H553" s="52"/>
      <c r="I553" s="52"/>
    </row>
    <row r="554">
      <c r="A554" s="62"/>
      <c r="B554" s="62"/>
      <c r="C554" s="62"/>
      <c r="F554" s="42"/>
      <c r="G554" s="186"/>
      <c r="H554" s="52"/>
      <c r="I554" s="52"/>
    </row>
    <row r="555">
      <c r="A555" s="62"/>
      <c r="B555" s="62"/>
      <c r="C555" s="62"/>
      <c r="F555" s="42"/>
      <c r="G555" s="186"/>
      <c r="H555" s="52"/>
      <c r="I555" s="52"/>
    </row>
    <row r="556">
      <c r="A556" s="62"/>
      <c r="B556" s="62"/>
      <c r="C556" s="62"/>
      <c r="F556" s="42"/>
      <c r="G556" s="186"/>
      <c r="H556" s="52"/>
      <c r="I556" s="52"/>
    </row>
    <row r="557">
      <c r="A557" s="62"/>
      <c r="B557" s="62"/>
      <c r="C557" s="62"/>
      <c r="F557" s="42"/>
      <c r="G557" s="186"/>
      <c r="H557" s="52"/>
      <c r="I557" s="52"/>
    </row>
    <row r="558">
      <c r="A558" s="62"/>
      <c r="B558" s="62"/>
      <c r="C558" s="62"/>
      <c r="F558" s="42"/>
      <c r="G558" s="186"/>
      <c r="H558" s="52"/>
      <c r="I558" s="52"/>
    </row>
    <row r="559">
      <c r="A559" s="62"/>
      <c r="B559" s="62"/>
      <c r="C559" s="62"/>
      <c r="F559" s="42"/>
      <c r="G559" s="186"/>
      <c r="H559" s="52"/>
      <c r="I559" s="52"/>
    </row>
    <row r="560">
      <c r="A560" s="62"/>
      <c r="B560" s="62"/>
      <c r="C560" s="62"/>
      <c r="F560" s="42"/>
      <c r="G560" s="186"/>
      <c r="H560" s="52"/>
      <c r="I560" s="52"/>
    </row>
    <row r="561">
      <c r="A561" s="62"/>
      <c r="B561" s="62"/>
      <c r="C561" s="62"/>
      <c r="F561" s="42"/>
      <c r="G561" s="186"/>
      <c r="H561" s="52"/>
      <c r="I561" s="52"/>
    </row>
    <row r="562">
      <c r="A562" s="62"/>
      <c r="B562" s="62"/>
      <c r="C562" s="62"/>
      <c r="F562" s="42"/>
      <c r="G562" s="186"/>
      <c r="H562" s="52"/>
      <c r="I562" s="52"/>
    </row>
    <row r="563">
      <c r="A563" s="62"/>
      <c r="B563" s="62"/>
      <c r="C563" s="62"/>
      <c r="F563" s="42"/>
      <c r="G563" s="186"/>
      <c r="H563" s="52"/>
      <c r="I563" s="52"/>
    </row>
    <row r="564">
      <c r="A564" s="62"/>
      <c r="B564" s="62"/>
      <c r="C564" s="62"/>
      <c r="F564" s="42"/>
      <c r="G564" s="186"/>
      <c r="H564" s="52"/>
      <c r="I564" s="52"/>
    </row>
    <row r="565">
      <c r="A565" s="62"/>
      <c r="B565" s="62"/>
      <c r="C565" s="62"/>
      <c r="F565" s="42"/>
      <c r="G565" s="186"/>
      <c r="H565" s="52"/>
      <c r="I565" s="52"/>
    </row>
    <row r="566">
      <c r="A566" s="62"/>
      <c r="B566" s="62"/>
      <c r="C566" s="62"/>
      <c r="F566" s="42"/>
      <c r="G566" s="186"/>
      <c r="H566" s="52"/>
      <c r="I566" s="52"/>
    </row>
    <row r="567">
      <c r="A567" s="62"/>
      <c r="B567" s="62"/>
      <c r="C567" s="62"/>
      <c r="F567" s="42"/>
      <c r="G567" s="186"/>
      <c r="H567" s="52"/>
      <c r="I567" s="52"/>
    </row>
    <row r="568">
      <c r="A568" s="62"/>
      <c r="B568" s="62"/>
      <c r="C568" s="62"/>
      <c r="F568" s="42"/>
      <c r="G568" s="186"/>
      <c r="H568" s="52"/>
      <c r="I568" s="52"/>
    </row>
    <row r="569">
      <c r="A569" s="62"/>
      <c r="B569" s="62"/>
      <c r="C569" s="62"/>
      <c r="F569" s="42"/>
      <c r="G569" s="186"/>
      <c r="H569" s="52"/>
      <c r="I569" s="52"/>
    </row>
    <row r="570">
      <c r="A570" s="62"/>
      <c r="B570" s="62"/>
      <c r="C570" s="62"/>
      <c r="F570" s="42"/>
      <c r="G570" s="186"/>
      <c r="H570" s="52"/>
      <c r="I570" s="52"/>
    </row>
    <row r="571">
      <c r="A571" s="62"/>
      <c r="B571" s="62"/>
      <c r="C571" s="62"/>
      <c r="F571" s="42"/>
      <c r="G571" s="186"/>
      <c r="H571" s="52"/>
      <c r="I571" s="52"/>
    </row>
    <row r="572">
      <c r="A572" s="62"/>
      <c r="B572" s="62"/>
      <c r="C572" s="62"/>
      <c r="F572" s="42"/>
      <c r="G572" s="186"/>
      <c r="H572" s="52"/>
      <c r="I572" s="52"/>
    </row>
    <row r="573">
      <c r="A573" s="62"/>
      <c r="B573" s="62"/>
      <c r="C573" s="62"/>
      <c r="F573" s="42"/>
      <c r="G573" s="186"/>
      <c r="H573" s="52"/>
      <c r="I573" s="52"/>
    </row>
    <row r="574">
      <c r="A574" s="62"/>
      <c r="B574" s="62"/>
      <c r="C574" s="62"/>
      <c r="F574" s="42"/>
      <c r="G574" s="186"/>
      <c r="H574" s="52"/>
      <c r="I574" s="52"/>
    </row>
    <row r="575">
      <c r="A575" s="62"/>
      <c r="B575" s="62"/>
      <c r="C575" s="62"/>
      <c r="F575" s="42"/>
      <c r="G575" s="186"/>
      <c r="H575" s="52"/>
      <c r="I575" s="52"/>
    </row>
    <row r="576">
      <c r="A576" s="62"/>
      <c r="B576" s="62"/>
      <c r="C576" s="62"/>
      <c r="F576" s="42"/>
      <c r="G576" s="186"/>
      <c r="H576" s="52"/>
      <c r="I576" s="52"/>
    </row>
    <row r="577">
      <c r="A577" s="62"/>
      <c r="B577" s="62"/>
      <c r="C577" s="62"/>
      <c r="F577" s="42"/>
      <c r="G577" s="186"/>
      <c r="H577" s="52"/>
      <c r="I577" s="52"/>
    </row>
    <row r="578">
      <c r="A578" s="62"/>
      <c r="B578" s="62"/>
      <c r="C578" s="62"/>
      <c r="F578" s="42"/>
      <c r="G578" s="186"/>
      <c r="H578" s="52"/>
      <c r="I578" s="52"/>
    </row>
    <row r="579">
      <c r="A579" s="62"/>
      <c r="B579" s="62"/>
      <c r="C579" s="62"/>
      <c r="F579" s="42"/>
      <c r="G579" s="186"/>
      <c r="H579" s="52"/>
      <c r="I579" s="52"/>
    </row>
    <row r="580">
      <c r="A580" s="62"/>
      <c r="B580" s="62"/>
      <c r="C580" s="62"/>
      <c r="F580" s="42"/>
      <c r="G580" s="186"/>
      <c r="H580" s="52"/>
      <c r="I580" s="52"/>
    </row>
    <row r="581">
      <c r="A581" s="62"/>
      <c r="B581" s="62"/>
      <c r="C581" s="62"/>
      <c r="F581" s="42"/>
      <c r="G581" s="186"/>
      <c r="H581" s="52"/>
      <c r="I581" s="52"/>
    </row>
    <row r="582">
      <c r="A582" s="62"/>
      <c r="B582" s="62"/>
      <c r="C582" s="62"/>
      <c r="F582" s="42"/>
      <c r="G582" s="186"/>
      <c r="H582" s="52"/>
      <c r="I582" s="52"/>
    </row>
    <row r="583">
      <c r="A583" s="62"/>
      <c r="B583" s="62"/>
      <c r="C583" s="62"/>
      <c r="F583" s="42"/>
      <c r="G583" s="186"/>
      <c r="H583" s="52"/>
      <c r="I583" s="52"/>
    </row>
    <row r="584">
      <c r="A584" s="62"/>
      <c r="B584" s="62"/>
      <c r="C584" s="62"/>
      <c r="F584" s="42"/>
      <c r="G584" s="186"/>
      <c r="H584" s="52"/>
      <c r="I584" s="52"/>
    </row>
    <row r="585">
      <c r="A585" s="62"/>
      <c r="B585" s="62"/>
      <c r="C585" s="62"/>
      <c r="F585" s="42"/>
      <c r="G585" s="186"/>
      <c r="H585" s="52"/>
      <c r="I585" s="52"/>
    </row>
    <row r="586">
      <c r="A586" s="62"/>
      <c r="B586" s="62"/>
      <c r="C586" s="62"/>
      <c r="F586" s="42"/>
      <c r="G586" s="186"/>
      <c r="H586" s="52"/>
      <c r="I586" s="52"/>
    </row>
    <row r="587">
      <c r="A587" s="62"/>
      <c r="B587" s="62"/>
      <c r="C587" s="62"/>
      <c r="F587" s="42"/>
      <c r="G587" s="186"/>
      <c r="H587" s="52"/>
      <c r="I587" s="52"/>
    </row>
    <row r="588">
      <c r="A588" s="62"/>
      <c r="B588" s="62"/>
      <c r="C588" s="62"/>
      <c r="F588" s="42"/>
      <c r="G588" s="186"/>
      <c r="H588" s="52"/>
      <c r="I588" s="52"/>
    </row>
    <row r="589">
      <c r="A589" s="62"/>
      <c r="B589" s="62"/>
      <c r="C589" s="62"/>
      <c r="F589" s="42"/>
      <c r="G589" s="186"/>
      <c r="H589" s="52"/>
      <c r="I589" s="52"/>
    </row>
    <row r="590">
      <c r="A590" s="62"/>
      <c r="B590" s="62"/>
      <c r="C590" s="62"/>
      <c r="F590" s="42"/>
      <c r="G590" s="186"/>
      <c r="H590" s="52"/>
      <c r="I590" s="52"/>
    </row>
    <row r="591">
      <c r="A591" s="62"/>
      <c r="B591" s="62"/>
      <c r="C591" s="62"/>
      <c r="F591" s="42"/>
      <c r="G591" s="186"/>
      <c r="H591" s="52"/>
      <c r="I591" s="52"/>
    </row>
    <row r="592">
      <c r="A592" s="62"/>
      <c r="B592" s="62"/>
      <c r="C592" s="62"/>
      <c r="F592" s="42"/>
      <c r="G592" s="186"/>
      <c r="H592" s="52"/>
      <c r="I592" s="52"/>
    </row>
    <row r="593">
      <c r="A593" s="62"/>
      <c r="B593" s="62"/>
      <c r="C593" s="62"/>
      <c r="F593" s="42"/>
      <c r="G593" s="186"/>
      <c r="H593" s="52"/>
      <c r="I593" s="52"/>
    </row>
    <row r="594">
      <c r="A594" s="62"/>
      <c r="B594" s="62"/>
      <c r="C594" s="62"/>
      <c r="F594" s="42"/>
      <c r="G594" s="186"/>
      <c r="H594" s="52"/>
      <c r="I594" s="52"/>
    </row>
    <row r="595">
      <c r="A595" s="62"/>
      <c r="B595" s="62"/>
      <c r="C595" s="62"/>
      <c r="F595" s="42"/>
      <c r="G595" s="186"/>
      <c r="H595" s="52"/>
      <c r="I595" s="52"/>
    </row>
    <row r="596">
      <c r="A596" s="62"/>
      <c r="B596" s="62"/>
      <c r="C596" s="62"/>
      <c r="F596" s="42"/>
      <c r="G596" s="186"/>
      <c r="H596" s="52"/>
      <c r="I596" s="52"/>
    </row>
    <row r="597">
      <c r="A597" s="62"/>
      <c r="B597" s="62"/>
      <c r="C597" s="62"/>
      <c r="F597" s="42"/>
      <c r="G597" s="186"/>
      <c r="H597" s="52"/>
      <c r="I597" s="52"/>
    </row>
    <row r="598">
      <c r="A598" s="62"/>
      <c r="B598" s="62"/>
      <c r="C598" s="62"/>
      <c r="F598" s="42"/>
      <c r="G598" s="186"/>
      <c r="H598" s="52"/>
      <c r="I598" s="52"/>
    </row>
    <row r="599">
      <c r="A599" s="62"/>
      <c r="B599" s="62"/>
      <c r="C599" s="62"/>
      <c r="F599" s="42"/>
      <c r="G599" s="186"/>
      <c r="H599" s="52"/>
      <c r="I599" s="52"/>
    </row>
    <row r="600">
      <c r="A600" s="62"/>
      <c r="B600" s="62"/>
      <c r="C600" s="62"/>
      <c r="F600" s="42"/>
      <c r="G600" s="186"/>
      <c r="H600" s="52"/>
      <c r="I600" s="52"/>
    </row>
    <row r="601">
      <c r="A601" s="62"/>
      <c r="B601" s="62"/>
      <c r="C601" s="62"/>
      <c r="F601" s="42"/>
      <c r="G601" s="186"/>
      <c r="H601" s="52"/>
      <c r="I601" s="52"/>
    </row>
    <row r="602">
      <c r="A602" s="62"/>
      <c r="B602" s="62"/>
      <c r="C602" s="62"/>
      <c r="F602" s="42"/>
      <c r="G602" s="186"/>
      <c r="H602" s="52"/>
      <c r="I602" s="52"/>
    </row>
    <row r="603">
      <c r="A603" s="62"/>
      <c r="B603" s="62"/>
      <c r="C603" s="62"/>
      <c r="F603" s="42"/>
      <c r="G603" s="186"/>
      <c r="H603" s="52"/>
      <c r="I603" s="52"/>
    </row>
    <row r="604">
      <c r="A604" s="62"/>
      <c r="B604" s="62"/>
      <c r="C604" s="62"/>
      <c r="F604" s="42"/>
      <c r="G604" s="186"/>
      <c r="H604" s="52"/>
      <c r="I604" s="52"/>
    </row>
    <row r="605">
      <c r="A605" s="62"/>
      <c r="B605" s="62"/>
      <c r="C605" s="62"/>
      <c r="F605" s="42"/>
      <c r="G605" s="186"/>
      <c r="H605" s="52"/>
      <c r="I605" s="52"/>
    </row>
    <row r="606">
      <c r="A606" s="62"/>
      <c r="B606" s="62"/>
      <c r="C606" s="62"/>
      <c r="F606" s="42"/>
      <c r="G606" s="186"/>
      <c r="H606" s="52"/>
      <c r="I606" s="52"/>
    </row>
    <row r="607">
      <c r="A607" s="62"/>
      <c r="B607" s="62"/>
      <c r="C607" s="62"/>
      <c r="F607" s="42"/>
      <c r="G607" s="186"/>
      <c r="H607" s="52"/>
      <c r="I607" s="52"/>
    </row>
    <row r="608">
      <c r="A608" s="62"/>
      <c r="B608" s="62"/>
      <c r="C608" s="62"/>
      <c r="F608" s="42"/>
      <c r="G608" s="186"/>
      <c r="H608" s="52"/>
      <c r="I608" s="52"/>
    </row>
    <row r="609">
      <c r="A609" s="62"/>
      <c r="B609" s="62"/>
      <c r="C609" s="62"/>
      <c r="F609" s="42"/>
      <c r="G609" s="186"/>
      <c r="H609" s="52"/>
      <c r="I609" s="52"/>
    </row>
    <row r="610">
      <c r="A610" s="62"/>
      <c r="B610" s="62"/>
      <c r="C610" s="62"/>
      <c r="F610" s="42"/>
      <c r="G610" s="186"/>
      <c r="H610" s="52"/>
      <c r="I610" s="52"/>
    </row>
    <row r="611">
      <c r="A611" s="62"/>
      <c r="B611" s="62"/>
      <c r="C611" s="62"/>
      <c r="F611" s="42"/>
      <c r="G611" s="186"/>
      <c r="H611" s="52"/>
      <c r="I611" s="52"/>
    </row>
    <row r="612">
      <c r="A612" s="62"/>
      <c r="B612" s="62"/>
      <c r="C612" s="62"/>
      <c r="F612" s="42"/>
      <c r="G612" s="186"/>
      <c r="H612" s="52"/>
      <c r="I612" s="52"/>
    </row>
    <row r="613">
      <c r="A613" s="62"/>
      <c r="B613" s="62"/>
      <c r="C613" s="62"/>
      <c r="F613" s="42"/>
      <c r="G613" s="186"/>
      <c r="H613" s="52"/>
      <c r="I613" s="52"/>
    </row>
    <row r="614">
      <c r="A614" s="62"/>
      <c r="B614" s="62"/>
      <c r="C614" s="62"/>
      <c r="F614" s="42"/>
      <c r="G614" s="186"/>
      <c r="H614" s="52"/>
      <c r="I614" s="52"/>
    </row>
    <row r="615">
      <c r="A615" s="62"/>
      <c r="B615" s="62"/>
      <c r="C615" s="62"/>
      <c r="F615" s="42"/>
      <c r="G615" s="186"/>
      <c r="H615" s="52"/>
      <c r="I615" s="52"/>
    </row>
    <row r="616">
      <c r="A616" s="62"/>
      <c r="B616" s="62"/>
      <c r="C616" s="62"/>
      <c r="F616" s="42"/>
      <c r="G616" s="186"/>
      <c r="H616" s="52"/>
      <c r="I616" s="52"/>
    </row>
    <row r="617">
      <c r="A617" s="62"/>
      <c r="B617" s="62"/>
      <c r="C617" s="62"/>
      <c r="F617" s="42"/>
      <c r="G617" s="186"/>
      <c r="H617" s="52"/>
      <c r="I617" s="52"/>
    </row>
    <row r="618">
      <c r="A618" s="62"/>
      <c r="B618" s="62"/>
      <c r="C618" s="62"/>
      <c r="F618" s="42"/>
      <c r="G618" s="186"/>
      <c r="H618" s="52"/>
      <c r="I618" s="52"/>
    </row>
    <row r="619">
      <c r="A619" s="62"/>
      <c r="B619" s="62"/>
      <c r="C619" s="62"/>
      <c r="F619" s="42"/>
      <c r="G619" s="186"/>
      <c r="H619" s="52"/>
      <c r="I619" s="52"/>
    </row>
    <row r="620">
      <c r="A620" s="62"/>
      <c r="B620" s="62"/>
      <c r="C620" s="62"/>
      <c r="F620" s="42"/>
      <c r="G620" s="186"/>
      <c r="H620" s="52"/>
      <c r="I620" s="52"/>
    </row>
    <row r="621">
      <c r="A621" s="62"/>
      <c r="B621" s="62"/>
      <c r="C621" s="62"/>
      <c r="F621" s="42"/>
      <c r="G621" s="186"/>
      <c r="H621" s="52"/>
      <c r="I621" s="52"/>
    </row>
    <row r="622">
      <c r="A622" s="62"/>
      <c r="B622" s="62"/>
      <c r="C622" s="62"/>
      <c r="F622" s="42"/>
      <c r="G622" s="186"/>
      <c r="H622" s="52"/>
      <c r="I622" s="52"/>
    </row>
    <row r="623">
      <c r="A623" s="62"/>
      <c r="B623" s="62"/>
      <c r="C623" s="62"/>
      <c r="F623" s="42"/>
      <c r="G623" s="186"/>
      <c r="H623" s="52"/>
      <c r="I623" s="52"/>
    </row>
    <row r="624">
      <c r="A624" s="62"/>
      <c r="B624" s="62"/>
      <c r="C624" s="62"/>
      <c r="F624" s="42"/>
      <c r="G624" s="186"/>
      <c r="H624" s="52"/>
      <c r="I624" s="52"/>
    </row>
    <row r="625">
      <c r="A625" s="62"/>
      <c r="B625" s="62"/>
      <c r="C625" s="62"/>
      <c r="F625" s="42"/>
      <c r="G625" s="186"/>
      <c r="H625" s="52"/>
      <c r="I625" s="52"/>
    </row>
    <row r="626">
      <c r="A626" s="62"/>
      <c r="B626" s="62"/>
      <c r="C626" s="62"/>
      <c r="F626" s="42"/>
      <c r="G626" s="186"/>
      <c r="H626" s="52"/>
      <c r="I626" s="52"/>
    </row>
    <row r="627">
      <c r="A627" s="62"/>
      <c r="B627" s="62"/>
      <c r="C627" s="62"/>
      <c r="F627" s="42"/>
      <c r="G627" s="186"/>
      <c r="H627" s="52"/>
      <c r="I627" s="52"/>
    </row>
    <row r="628">
      <c r="A628" s="62"/>
      <c r="B628" s="62"/>
      <c r="C628" s="62"/>
      <c r="F628" s="42"/>
      <c r="G628" s="186"/>
      <c r="H628" s="52"/>
      <c r="I628" s="52"/>
    </row>
    <row r="629">
      <c r="A629" s="62"/>
      <c r="B629" s="62"/>
      <c r="C629" s="62"/>
      <c r="F629" s="42"/>
      <c r="G629" s="186"/>
      <c r="H629" s="52"/>
      <c r="I629" s="52"/>
    </row>
    <row r="630">
      <c r="A630" s="62"/>
      <c r="B630" s="62"/>
      <c r="C630" s="62"/>
      <c r="F630" s="42"/>
      <c r="G630" s="186"/>
      <c r="H630" s="52"/>
      <c r="I630" s="52"/>
    </row>
    <row r="631">
      <c r="A631" s="62"/>
      <c r="B631" s="62"/>
      <c r="C631" s="62"/>
      <c r="F631" s="42"/>
      <c r="G631" s="186"/>
      <c r="H631" s="52"/>
      <c r="I631" s="52"/>
    </row>
    <row r="632">
      <c r="A632" s="62"/>
      <c r="B632" s="62"/>
      <c r="C632" s="62"/>
      <c r="F632" s="42"/>
      <c r="G632" s="186"/>
      <c r="H632" s="52"/>
      <c r="I632" s="52"/>
    </row>
    <row r="633">
      <c r="A633" s="62"/>
      <c r="B633" s="62"/>
      <c r="C633" s="62"/>
      <c r="F633" s="42"/>
      <c r="G633" s="186"/>
      <c r="H633" s="52"/>
      <c r="I633" s="52"/>
    </row>
    <row r="634">
      <c r="A634" s="62"/>
      <c r="B634" s="62"/>
      <c r="C634" s="62"/>
      <c r="F634" s="42"/>
      <c r="G634" s="186"/>
      <c r="H634" s="52"/>
      <c r="I634" s="52"/>
    </row>
    <row r="635">
      <c r="A635" s="62"/>
      <c r="B635" s="62"/>
      <c r="C635" s="62"/>
      <c r="F635" s="42"/>
      <c r="G635" s="186"/>
      <c r="H635" s="52"/>
      <c r="I635" s="52"/>
    </row>
    <row r="636">
      <c r="A636" s="62"/>
      <c r="B636" s="62"/>
      <c r="C636" s="62"/>
      <c r="F636" s="42"/>
      <c r="G636" s="186"/>
      <c r="H636" s="52"/>
      <c r="I636" s="52"/>
    </row>
    <row r="637">
      <c r="A637" s="62"/>
      <c r="B637" s="62"/>
      <c r="C637" s="62"/>
      <c r="F637" s="42"/>
      <c r="G637" s="186"/>
      <c r="H637" s="52"/>
      <c r="I637" s="52"/>
    </row>
    <row r="638">
      <c r="A638" s="62"/>
      <c r="B638" s="62"/>
      <c r="C638" s="62"/>
      <c r="F638" s="42"/>
      <c r="G638" s="186"/>
      <c r="H638" s="52"/>
      <c r="I638" s="52"/>
    </row>
    <row r="639">
      <c r="A639" s="62"/>
      <c r="B639" s="62"/>
      <c r="C639" s="62"/>
      <c r="F639" s="42"/>
      <c r="G639" s="186"/>
      <c r="H639" s="52"/>
      <c r="I639" s="52"/>
    </row>
    <row r="640">
      <c r="A640" s="62"/>
      <c r="B640" s="62"/>
      <c r="C640" s="62"/>
      <c r="F640" s="42"/>
      <c r="G640" s="186"/>
      <c r="H640" s="52"/>
      <c r="I640" s="52"/>
    </row>
    <row r="641">
      <c r="A641" s="62"/>
      <c r="B641" s="62"/>
      <c r="C641" s="62"/>
      <c r="F641" s="42"/>
      <c r="G641" s="186"/>
      <c r="H641" s="52"/>
      <c r="I641" s="52"/>
    </row>
    <row r="642">
      <c r="A642" s="62"/>
      <c r="B642" s="62"/>
      <c r="C642" s="62"/>
      <c r="F642" s="42"/>
      <c r="G642" s="186"/>
      <c r="H642" s="52"/>
      <c r="I642" s="52"/>
    </row>
    <row r="643">
      <c r="A643" s="62"/>
      <c r="B643" s="62"/>
      <c r="C643" s="62"/>
      <c r="F643" s="42"/>
      <c r="G643" s="186"/>
      <c r="H643" s="52"/>
      <c r="I643" s="52"/>
    </row>
    <row r="644">
      <c r="A644" s="62"/>
      <c r="B644" s="62"/>
      <c r="C644" s="62"/>
      <c r="F644" s="42"/>
      <c r="G644" s="186"/>
      <c r="H644" s="52"/>
      <c r="I644" s="52"/>
    </row>
    <row r="645">
      <c r="A645" s="62"/>
      <c r="B645" s="62"/>
      <c r="C645" s="62"/>
      <c r="F645" s="42"/>
      <c r="G645" s="186"/>
      <c r="H645" s="52"/>
      <c r="I645" s="52"/>
    </row>
    <row r="646">
      <c r="A646" s="62"/>
      <c r="B646" s="62"/>
      <c r="C646" s="62"/>
      <c r="F646" s="42"/>
      <c r="G646" s="186"/>
      <c r="H646" s="52"/>
      <c r="I646" s="52"/>
    </row>
    <row r="647">
      <c r="A647" s="62"/>
      <c r="B647" s="62"/>
      <c r="C647" s="62"/>
      <c r="F647" s="42"/>
      <c r="G647" s="186"/>
      <c r="H647" s="52"/>
      <c r="I647" s="52"/>
    </row>
    <row r="648">
      <c r="A648" s="62"/>
      <c r="B648" s="62"/>
      <c r="C648" s="62"/>
      <c r="F648" s="42"/>
      <c r="G648" s="186"/>
      <c r="H648" s="52"/>
      <c r="I648" s="52"/>
    </row>
    <row r="649">
      <c r="A649" s="62"/>
      <c r="B649" s="62"/>
      <c r="C649" s="62"/>
      <c r="F649" s="42"/>
      <c r="G649" s="186"/>
      <c r="H649" s="52"/>
      <c r="I649" s="52"/>
    </row>
    <row r="650">
      <c r="A650" s="62"/>
      <c r="B650" s="62"/>
      <c r="C650" s="62"/>
      <c r="F650" s="42"/>
      <c r="G650" s="186"/>
      <c r="H650" s="52"/>
      <c r="I650" s="52"/>
    </row>
    <row r="651">
      <c r="A651" s="62"/>
      <c r="B651" s="62"/>
      <c r="C651" s="62"/>
      <c r="F651" s="42"/>
      <c r="G651" s="186"/>
      <c r="H651" s="52"/>
      <c r="I651" s="52"/>
    </row>
    <row r="652">
      <c r="A652" s="62"/>
      <c r="B652" s="62"/>
      <c r="C652" s="62"/>
      <c r="F652" s="42"/>
      <c r="G652" s="186"/>
      <c r="H652" s="52"/>
      <c r="I652" s="52"/>
    </row>
    <row r="653">
      <c r="A653" s="62"/>
      <c r="B653" s="62"/>
      <c r="C653" s="62"/>
      <c r="F653" s="42"/>
      <c r="G653" s="186"/>
      <c r="H653" s="52"/>
      <c r="I653" s="52"/>
    </row>
    <row r="654">
      <c r="A654" s="62"/>
      <c r="B654" s="62"/>
      <c r="C654" s="62"/>
      <c r="F654" s="42"/>
      <c r="G654" s="186"/>
      <c r="H654" s="52"/>
      <c r="I654" s="52"/>
    </row>
    <row r="655">
      <c r="A655" s="62"/>
      <c r="B655" s="62"/>
      <c r="C655" s="62"/>
      <c r="F655" s="42"/>
      <c r="G655" s="186"/>
      <c r="H655" s="52"/>
      <c r="I655" s="52"/>
    </row>
    <row r="656">
      <c r="A656" s="62"/>
      <c r="B656" s="62"/>
      <c r="C656" s="62"/>
      <c r="F656" s="42"/>
      <c r="G656" s="186"/>
      <c r="H656" s="52"/>
      <c r="I656" s="52"/>
    </row>
    <row r="657">
      <c r="A657" s="62"/>
      <c r="B657" s="62"/>
      <c r="C657" s="62"/>
      <c r="F657" s="42"/>
      <c r="G657" s="186"/>
      <c r="H657" s="52"/>
      <c r="I657" s="52"/>
    </row>
    <row r="658">
      <c r="A658" s="62"/>
      <c r="B658" s="62"/>
      <c r="C658" s="62"/>
      <c r="F658" s="42"/>
      <c r="G658" s="186"/>
      <c r="H658" s="52"/>
      <c r="I658" s="52"/>
    </row>
    <row r="659">
      <c r="A659" s="62"/>
      <c r="B659" s="62"/>
      <c r="C659" s="62"/>
      <c r="F659" s="42"/>
      <c r="G659" s="186"/>
      <c r="H659" s="52"/>
      <c r="I659" s="52"/>
    </row>
    <row r="660">
      <c r="A660" s="62"/>
      <c r="B660" s="62"/>
      <c r="C660" s="62"/>
      <c r="F660" s="42"/>
      <c r="G660" s="186"/>
      <c r="H660" s="52"/>
      <c r="I660" s="52"/>
    </row>
    <row r="661">
      <c r="A661" s="62"/>
      <c r="B661" s="62"/>
      <c r="C661" s="62"/>
      <c r="F661" s="42"/>
      <c r="G661" s="186"/>
      <c r="H661" s="52"/>
      <c r="I661" s="52"/>
    </row>
    <row r="662">
      <c r="A662" s="62"/>
      <c r="B662" s="62"/>
      <c r="C662" s="62"/>
      <c r="F662" s="42"/>
      <c r="G662" s="186"/>
      <c r="H662" s="52"/>
      <c r="I662" s="52"/>
    </row>
    <row r="663">
      <c r="A663" s="62"/>
      <c r="B663" s="62"/>
      <c r="C663" s="62"/>
      <c r="F663" s="42"/>
      <c r="G663" s="186"/>
      <c r="H663" s="52"/>
      <c r="I663" s="52"/>
    </row>
    <row r="664">
      <c r="A664" s="62"/>
      <c r="B664" s="62"/>
      <c r="C664" s="62"/>
      <c r="F664" s="42"/>
      <c r="G664" s="186"/>
      <c r="H664" s="52"/>
      <c r="I664" s="52"/>
    </row>
    <row r="665">
      <c r="A665" s="62"/>
      <c r="B665" s="62"/>
      <c r="C665" s="62"/>
      <c r="F665" s="42"/>
      <c r="G665" s="186"/>
      <c r="H665" s="52"/>
      <c r="I665" s="52"/>
    </row>
    <row r="666">
      <c r="A666" s="62"/>
      <c r="B666" s="62"/>
      <c r="C666" s="62"/>
      <c r="F666" s="42"/>
      <c r="G666" s="186"/>
      <c r="H666" s="52"/>
      <c r="I666" s="52"/>
    </row>
    <row r="667">
      <c r="A667" s="62"/>
      <c r="B667" s="62"/>
      <c r="C667" s="62"/>
      <c r="F667" s="42"/>
      <c r="G667" s="186"/>
      <c r="H667" s="52"/>
      <c r="I667" s="52"/>
    </row>
    <row r="668">
      <c r="A668" s="62"/>
      <c r="B668" s="62"/>
      <c r="C668" s="62"/>
      <c r="F668" s="42"/>
      <c r="G668" s="186"/>
      <c r="H668" s="52"/>
      <c r="I668" s="52"/>
    </row>
    <row r="669">
      <c r="A669" s="62"/>
      <c r="B669" s="62"/>
      <c r="C669" s="62"/>
      <c r="F669" s="42"/>
      <c r="G669" s="186"/>
      <c r="H669" s="52"/>
      <c r="I669" s="52"/>
    </row>
    <row r="670">
      <c r="A670" s="62"/>
      <c r="B670" s="62"/>
      <c r="C670" s="62"/>
      <c r="F670" s="42"/>
      <c r="G670" s="186"/>
      <c r="H670" s="52"/>
      <c r="I670" s="52"/>
    </row>
    <row r="671">
      <c r="A671" s="62"/>
      <c r="B671" s="62"/>
      <c r="C671" s="62"/>
      <c r="F671" s="42"/>
      <c r="G671" s="186"/>
      <c r="H671" s="52"/>
      <c r="I671" s="52"/>
    </row>
    <row r="672">
      <c r="A672" s="62"/>
      <c r="B672" s="62"/>
      <c r="C672" s="62"/>
      <c r="F672" s="42"/>
      <c r="G672" s="186"/>
      <c r="H672" s="52"/>
      <c r="I672" s="52"/>
    </row>
    <row r="673">
      <c r="A673" s="62"/>
      <c r="B673" s="62"/>
      <c r="C673" s="62"/>
      <c r="F673" s="42"/>
      <c r="G673" s="186"/>
      <c r="H673" s="52"/>
      <c r="I673" s="52"/>
    </row>
    <row r="674">
      <c r="A674" s="62"/>
      <c r="B674" s="62"/>
      <c r="C674" s="62"/>
      <c r="F674" s="42"/>
      <c r="G674" s="186"/>
      <c r="H674" s="52"/>
      <c r="I674" s="52"/>
    </row>
    <row r="675">
      <c r="A675" s="62"/>
      <c r="B675" s="62"/>
      <c r="C675" s="62"/>
      <c r="F675" s="42"/>
      <c r="G675" s="186"/>
      <c r="H675" s="52"/>
      <c r="I675" s="52"/>
    </row>
    <row r="676">
      <c r="A676" s="62"/>
      <c r="B676" s="62"/>
      <c r="C676" s="62"/>
      <c r="F676" s="42"/>
      <c r="G676" s="186"/>
      <c r="H676" s="52"/>
      <c r="I676" s="52"/>
    </row>
    <row r="677">
      <c r="A677" s="62"/>
      <c r="B677" s="62"/>
      <c r="C677" s="62"/>
      <c r="F677" s="42"/>
      <c r="G677" s="186"/>
      <c r="H677" s="52"/>
      <c r="I677" s="52"/>
    </row>
    <row r="678">
      <c r="A678" s="62"/>
      <c r="B678" s="62"/>
      <c r="C678" s="62"/>
      <c r="F678" s="42"/>
      <c r="G678" s="186"/>
      <c r="H678" s="52"/>
      <c r="I678" s="52"/>
    </row>
    <row r="679">
      <c r="A679" s="62"/>
      <c r="B679" s="62"/>
      <c r="C679" s="62"/>
      <c r="F679" s="42"/>
      <c r="G679" s="186"/>
      <c r="H679" s="52"/>
      <c r="I679" s="52"/>
    </row>
    <row r="680">
      <c r="A680" s="62"/>
      <c r="B680" s="62"/>
      <c r="C680" s="62"/>
      <c r="F680" s="42"/>
      <c r="G680" s="186"/>
      <c r="H680" s="52"/>
      <c r="I680" s="52"/>
    </row>
    <row r="681">
      <c r="A681" s="62"/>
      <c r="B681" s="62"/>
      <c r="C681" s="62"/>
      <c r="F681" s="42"/>
      <c r="G681" s="186"/>
      <c r="H681" s="52"/>
      <c r="I681" s="52"/>
    </row>
    <row r="682">
      <c r="A682" s="62"/>
      <c r="B682" s="62"/>
      <c r="C682" s="62"/>
      <c r="F682" s="42"/>
      <c r="G682" s="186"/>
      <c r="H682" s="52"/>
      <c r="I682" s="52"/>
    </row>
    <row r="683">
      <c r="A683" s="62"/>
      <c r="B683" s="62"/>
      <c r="C683" s="62"/>
      <c r="F683" s="42"/>
      <c r="G683" s="186"/>
      <c r="H683" s="52"/>
      <c r="I683" s="52"/>
    </row>
    <row r="684">
      <c r="A684" s="62"/>
      <c r="B684" s="62"/>
      <c r="C684" s="62"/>
      <c r="F684" s="42"/>
      <c r="G684" s="186"/>
      <c r="H684" s="52"/>
      <c r="I684" s="52"/>
    </row>
    <row r="685">
      <c r="A685" s="62"/>
      <c r="B685" s="62"/>
      <c r="C685" s="62"/>
      <c r="F685" s="42"/>
      <c r="G685" s="186"/>
      <c r="H685" s="52"/>
      <c r="I685" s="52"/>
    </row>
    <row r="686">
      <c r="A686" s="62"/>
      <c r="B686" s="62"/>
      <c r="C686" s="62"/>
      <c r="F686" s="42"/>
      <c r="G686" s="186"/>
      <c r="H686" s="52"/>
      <c r="I686" s="52"/>
    </row>
    <row r="687">
      <c r="A687" s="62"/>
      <c r="B687" s="62"/>
      <c r="C687" s="62"/>
      <c r="F687" s="42"/>
      <c r="G687" s="186"/>
      <c r="H687" s="52"/>
      <c r="I687" s="52"/>
    </row>
    <row r="688">
      <c r="A688" s="62"/>
      <c r="B688" s="62"/>
      <c r="C688" s="62"/>
      <c r="F688" s="42"/>
      <c r="G688" s="186"/>
      <c r="H688" s="52"/>
      <c r="I688" s="52"/>
    </row>
    <row r="689">
      <c r="A689" s="62"/>
      <c r="B689" s="62"/>
      <c r="C689" s="62"/>
      <c r="F689" s="42"/>
      <c r="G689" s="186"/>
      <c r="H689" s="52"/>
      <c r="I689" s="52"/>
    </row>
    <row r="690">
      <c r="A690" s="62"/>
      <c r="B690" s="62"/>
      <c r="C690" s="62"/>
      <c r="F690" s="42"/>
      <c r="G690" s="186"/>
      <c r="H690" s="52"/>
      <c r="I690" s="52"/>
    </row>
    <row r="691">
      <c r="A691" s="62"/>
      <c r="B691" s="62"/>
      <c r="C691" s="62"/>
      <c r="F691" s="42"/>
      <c r="G691" s="186"/>
      <c r="H691" s="52"/>
      <c r="I691" s="52"/>
    </row>
    <row r="692">
      <c r="A692" s="62"/>
      <c r="B692" s="62"/>
      <c r="C692" s="62"/>
      <c r="F692" s="42"/>
      <c r="G692" s="186"/>
      <c r="H692" s="52"/>
      <c r="I692" s="52"/>
    </row>
    <row r="693">
      <c r="A693" s="62"/>
      <c r="B693" s="62"/>
      <c r="C693" s="62"/>
      <c r="F693" s="42"/>
      <c r="G693" s="186"/>
      <c r="H693" s="52"/>
      <c r="I693" s="52"/>
    </row>
    <row r="694">
      <c r="A694" s="62"/>
      <c r="B694" s="62"/>
      <c r="C694" s="62"/>
      <c r="F694" s="42"/>
      <c r="G694" s="186"/>
      <c r="H694" s="52"/>
      <c r="I694" s="52"/>
    </row>
    <row r="695">
      <c r="A695" s="62"/>
      <c r="B695" s="62"/>
      <c r="C695" s="62"/>
      <c r="F695" s="42"/>
      <c r="G695" s="186"/>
      <c r="H695" s="52"/>
      <c r="I695" s="52"/>
    </row>
    <row r="696">
      <c r="A696" s="62"/>
      <c r="B696" s="62"/>
      <c r="C696" s="62"/>
      <c r="F696" s="42"/>
      <c r="G696" s="186"/>
      <c r="H696" s="52"/>
      <c r="I696" s="52"/>
    </row>
    <row r="697">
      <c r="A697" s="62"/>
      <c r="B697" s="62"/>
      <c r="C697" s="62"/>
      <c r="F697" s="42"/>
      <c r="G697" s="186"/>
      <c r="H697" s="52"/>
      <c r="I697" s="52"/>
    </row>
    <row r="698">
      <c r="A698" s="62"/>
      <c r="B698" s="62"/>
      <c r="C698" s="62"/>
      <c r="F698" s="42"/>
      <c r="G698" s="186"/>
      <c r="H698" s="52"/>
      <c r="I698" s="52"/>
    </row>
    <row r="699">
      <c r="A699" s="62"/>
      <c r="B699" s="62"/>
      <c r="C699" s="62"/>
      <c r="F699" s="42"/>
      <c r="G699" s="186"/>
      <c r="H699" s="52"/>
      <c r="I699" s="52"/>
    </row>
    <row r="700">
      <c r="A700" s="62"/>
      <c r="B700" s="62"/>
      <c r="C700" s="62"/>
      <c r="F700" s="42"/>
      <c r="G700" s="186"/>
      <c r="H700" s="52"/>
      <c r="I700" s="52"/>
    </row>
    <row r="701">
      <c r="A701" s="62"/>
      <c r="B701" s="62"/>
      <c r="C701" s="62"/>
      <c r="F701" s="42"/>
      <c r="G701" s="186"/>
      <c r="H701" s="52"/>
      <c r="I701" s="52"/>
    </row>
    <row r="702">
      <c r="A702" s="62"/>
      <c r="B702" s="62"/>
      <c r="C702" s="62"/>
      <c r="F702" s="42"/>
      <c r="G702" s="186"/>
      <c r="H702" s="52"/>
      <c r="I702" s="52"/>
    </row>
    <row r="703">
      <c r="A703" s="62"/>
      <c r="B703" s="62"/>
      <c r="C703" s="62"/>
      <c r="F703" s="42"/>
      <c r="G703" s="186"/>
      <c r="H703" s="52"/>
      <c r="I703" s="52"/>
    </row>
    <row r="704">
      <c r="A704" s="62"/>
      <c r="B704" s="62"/>
      <c r="C704" s="62"/>
      <c r="F704" s="42"/>
      <c r="G704" s="186"/>
      <c r="H704" s="52"/>
      <c r="I704" s="52"/>
    </row>
    <row r="705">
      <c r="A705" s="62"/>
      <c r="B705" s="62"/>
      <c r="C705" s="62"/>
      <c r="F705" s="42"/>
      <c r="G705" s="186"/>
      <c r="H705" s="52"/>
      <c r="I705" s="52"/>
    </row>
    <row r="706">
      <c r="A706" s="62"/>
      <c r="B706" s="62"/>
      <c r="C706" s="62"/>
      <c r="F706" s="42"/>
      <c r="G706" s="186"/>
      <c r="H706" s="52"/>
      <c r="I706" s="52"/>
    </row>
    <row r="707">
      <c r="A707" s="62"/>
      <c r="B707" s="62"/>
      <c r="C707" s="62"/>
      <c r="F707" s="42"/>
      <c r="G707" s="186"/>
      <c r="H707" s="52"/>
      <c r="I707" s="52"/>
    </row>
    <row r="708">
      <c r="A708" s="62"/>
      <c r="B708" s="62"/>
      <c r="C708" s="62"/>
      <c r="F708" s="42"/>
      <c r="G708" s="186"/>
      <c r="H708" s="52"/>
      <c r="I708" s="52"/>
    </row>
    <row r="709">
      <c r="A709" s="62"/>
      <c r="B709" s="62"/>
      <c r="C709" s="62"/>
      <c r="F709" s="42"/>
      <c r="G709" s="186"/>
      <c r="H709" s="52"/>
      <c r="I709" s="52"/>
    </row>
    <row r="710">
      <c r="A710" s="62"/>
      <c r="B710" s="62"/>
      <c r="C710" s="62"/>
      <c r="F710" s="42"/>
      <c r="G710" s="186"/>
      <c r="H710" s="52"/>
      <c r="I710" s="52"/>
    </row>
    <row r="711">
      <c r="A711" s="62"/>
      <c r="B711" s="62"/>
      <c r="C711" s="62"/>
      <c r="F711" s="42"/>
      <c r="G711" s="186"/>
      <c r="H711" s="52"/>
      <c r="I711" s="52"/>
    </row>
    <row r="712">
      <c r="A712" s="62"/>
      <c r="B712" s="62"/>
      <c r="C712" s="62"/>
      <c r="F712" s="42"/>
      <c r="G712" s="186"/>
      <c r="H712" s="52"/>
      <c r="I712" s="52"/>
    </row>
    <row r="713">
      <c r="A713" s="62"/>
      <c r="B713" s="62"/>
      <c r="C713" s="62"/>
      <c r="F713" s="42"/>
      <c r="G713" s="186"/>
      <c r="H713" s="52"/>
      <c r="I713" s="52"/>
    </row>
    <row r="714">
      <c r="A714" s="62"/>
      <c r="B714" s="62"/>
      <c r="C714" s="62"/>
      <c r="F714" s="42"/>
      <c r="G714" s="186"/>
      <c r="H714" s="52"/>
      <c r="I714" s="52"/>
    </row>
    <row r="715">
      <c r="A715" s="62"/>
      <c r="B715" s="62"/>
      <c r="C715" s="62"/>
      <c r="F715" s="42"/>
      <c r="G715" s="186"/>
      <c r="H715" s="52"/>
      <c r="I715" s="52"/>
    </row>
    <row r="716">
      <c r="A716" s="62"/>
      <c r="B716" s="62"/>
      <c r="C716" s="62"/>
      <c r="F716" s="42"/>
      <c r="G716" s="186"/>
      <c r="H716" s="52"/>
      <c r="I716" s="52"/>
    </row>
    <row r="717">
      <c r="A717" s="62"/>
      <c r="B717" s="62"/>
      <c r="C717" s="62"/>
      <c r="F717" s="42"/>
      <c r="G717" s="186"/>
      <c r="H717" s="52"/>
      <c r="I717" s="52"/>
    </row>
    <row r="718">
      <c r="A718" s="62"/>
      <c r="B718" s="62"/>
      <c r="C718" s="62"/>
      <c r="F718" s="42"/>
      <c r="G718" s="186"/>
      <c r="H718" s="52"/>
      <c r="I718" s="52"/>
    </row>
    <row r="719">
      <c r="A719" s="62"/>
      <c r="B719" s="62"/>
      <c r="C719" s="62"/>
      <c r="F719" s="42"/>
      <c r="G719" s="186"/>
      <c r="H719" s="52"/>
      <c r="I719" s="52"/>
    </row>
    <row r="720">
      <c r="A720" s="62"/>
      <c r="B720" s="62"/>
      <c r="C720" s="62"/>
      <c r="F720" s="42"/>
      <c r="G720" s="186"/>
      <c r="H720" s="52"/>
      <c r="I720" s="52"/>
    </row>
    <row r="721">
      <c r="A721" s="62"/>
      <c r="B721" s="62"/>
      <c r="C721" s="62"/>
      <c r="F721" s="42"/>
      <c r="G721" s="186"/>
      <c r="H721" s="52"/>
      <c r="I721" s="52"/>
    </row>
    <row r="722">
      <c r="A722" s="62"/>
      <c r="B722" s="62"/>
      <c r="C722" s="62"/>
      <c r="F722" s="42"/>
      <c r="G722" s="186"/>
      <c r="H722" s="52"/>
      <c r="I722" s="52"/>
    </row>
    <row r="723">
      <c r="A723" s="62"/>
      <c r="B723" s="62"/>
      <c r="C723" s="62"/>
      <c r="F723" s="42"/>
      <c r="G723" s="186"/>
      <c r="H723" s="52"/>
      <c r="I723" s="52"/>
    </row>
    <row r="724">
      <c r="A724" s="62"/>
      <c r="B724" s="62"/>
      <c r="C724" s="62"/>
      <c r="F724" s="42"/>
      <c r="G724" s="186"/>
      <c r="H724" s="52"/>
      <c r="I724" s="52"/>
    </row>
    <row r="725">
      <c r="A725" s="62"/>
      <c r="B725" s="62"/>
      <c r="C725" s="62"/>
      <c r="F725" s="42"/>
      <c r="G725" s="186"/>
      <c r="H725" s="52"/>
      <c r="I725" s="52"/>
    </row>
    <row r="726">
      <c r="A726" s="62"/>
      <c r="B726" s="62"/>
      <c r="C726" s="62"/>
      <c r="F726" s="42"/>
      <c r="G726" s="186"/>
      <c r="H726" s="52"/>
      <c r="I726" s="52"/>
    </row>
    <row r="727">
      <c r="A727" s="62"/>
      <c r="B727" s="62"/>
      <c r="C727" s="62"/>
      <c r="F727" s="42"/>
      <c r="G727" s="186"/>
      <c r="H727" s="52"/>
      <c r="I727" s="52"/>
    </row>
    <row r="728">
      <c r="A728" s="62"/>
      <c r="B728" s="62"/>
      <c r="C728" s="62"/>
      <c r="F728" s="42"/>
      <c r="G728" s="186"/>
      <c r="H728" s="52"/>
      <c r="I728" s="52"/>
    </row>
    <row r="729">
      <c r="A729" s="62"/>
      <c r="B729" s="62"/>
      <c r="C729" s="62"/>
      <c r="F729" s="42"/>
      <c r="G729" s="186"/>
      <c r="H729" s="52"/>
      <c r="I729" s="52"/>
    </row>
    <row r="730">
      <c r="A730" s="62"/>
      <c r="B730" s="62"/>
      <c r="C730" s="62"/>
      <c r="F730" s="42"/>
      <c r="G730" s="186"/>
      <c r="H730" s="52"/>
      <c r="I730" s="52"/>
    </row>
    <row r="731">
      <c r="A731" s="62"/>
      <c r="B731" s="62"/>
      <c r="C731" s="62"/>
      <c r="F731" s="42"/>
      <c r="G731" s="186"/>
      <c r="H731" s="52"/>
      <c r="I731" s="52"/>
    </row>
    <row r="732">
      <c r="A732" s="62"/>
      <c r="B732" s="62"/>
      <c r="C732" s="62"/>
      <c r="F732" s="42"/>
      <c r="G732" s="186"/>
      <c r="H732" s="52"/>
      <c r="I732" s="52"/>
    </row>
    <row r="733">
      <c r="A733" s="62"/>
      <c r="B733" s="62"/>
      <c r="C733" s="62"/>
      <c r="F733" s="42"/>
      <c r="G733" s="186"/>
      <c r="H733" s="52"/>
      <c r="I733" s="52"/>
    </row>
    <row r="734">
      <c r="A734" s="62"/>
      <c r="B734" s="62"/>
      <c r="C734" s="62"/>
      <c r="F734" s="42"/>
      <c r="G734" s="186"/>
      <c r="H734" s="52"/>
      <c r="I734" s="52"/>
    </row>
    <row r="735">
      <c r="A735" s="62"/>
      <c r="B735" s="62"/>
      <c r="C735" s="62"/>
      <c r="F735" s="42"/>
      <c r="G735" s="186"/>
      <c r="H735" s="52"/>
      <c r="I735" s="52"/>
    </row>
    <row r="736">
      <c r="A736" s="62"/>
      <c r="B736" s="62"/>
      <c r="C736" s="62"/>
      <c r="F736" s="42"/>
      <c r="G736" s="186"/>
      <c r="H736" s="52"/>
      <c r="I736" s="52"/>
    </row>
    <row r="737">
      <c r="A737" s="62"/>
      <c r="B737" s="62"/>
      <c r="C737" s="62"/>
      <c r="F737" s="42"/>
      <c r="G737" s="186"/>
      <c r="H737" s="52"/>
      <c r="I737" s="52"/>
    </row>
    <row r="738">
      <c r="A738" s="62"/>
      <c r="B738" s="62"/>
      <c r="C738" s="62"/>
      <c r="F738" s="42"/>
      <c r="G738" s="186"/>
      <c r="H738" s="52"/>
      <c r="I738" s="52"/>
    </row>
    <row r="739">
      <c r="A739" s="62"/>
      <c r="B739" s="62"/>
      <c r="C739" s="62"/>
      <c r="F739" s="42"/>
      <c r="G739" s="186"/>
      <c r="H739" s="52"/>
      <c r="I739" s="52"/>
    </row>
    <row r="740">
      <c r="A740" s="62"/>
      <c r="B740" s="62"/>
      <c r="C740" s="62"/>
      <c r="F740" s="42"/>
      <c r="G740" s="186"/>
      <c r="H740" s="52"/>
      <c r="I740" s="52"/>
    </row>
    <row r="741">
      <c r="A741" s="62"/>
      <c r="B741" s="62"/>
      <c r="C741" s="62"/>
      <c r="F741" s="42"/>
      <c r="G741" s="186"/>
      <c r="H741" s="52"/>
      <c r="I741" s="52"/>
    </row>
    <row r="742">
      <c r="A742" s="62"/>
      <c r="B742" s="62"/>
      <c r="C742" s="62"/>
      <c r="F742" s="42"/>
      <c r="G742" s="186"/>
      <c r="H742" s="52"/>
      <c r="I742" s="52"/>
    </row>
    <row r="743">
      <c r="A743" s="62"/>
      <c r="B743" s="62"/>
      <c r="C743" s="62"/>
      <c r="F743" s="42"/>
      <c r="G743" s="186"/>
      <c r="H743" s="52"/>
      <c r="I743" s="52"/>
    </row>
    <row r="744">
      <c r="A744" s="62"/>
      <c r="B744" s="62"/>
      <c r="C744" s="62"/>
      <c r="F744" s="42"/>
      <c r="G744" s="186"/>
      <c r="H744" s="52"/>
      <c r="I744" s="52"/>
    </row>
    <row r="745">
      <c r="A745" s="62"/>
      <c r="B745" s="62"/>
      <c r="C745" s="62"/>
      <c r="F745" s="42"/>
      <c r="G745" s="186"/>
      <c r="H745" s="52"/>
      <c r="I745" s="52"/>
    </row>
    <row r="746">
      <c r="A746" s="62"/>
      <c r="B746" s="62"/>
      <c r="C746" s="62"/>
      <c r="F746" s="42"/>
      <c r="G746" s="186"/>
      <c r="H746" s="52"/>
      <c r="I746" s="52"/>
    </row>
    <row r="747">
      <c r="A747" s="62"/>
      <c r="B747" s="62"/>
      <c r="C747" s="62"/>
      <c r="F747" s="42"/>
      <c r="G747" s="186"/>
      <c r="H747" s="52"/>
      <c r="I747" s="52"/>
    </row>
    <row r="748">
      <c r="A748" s="62"/>
      <c r="B748" s="62"/>
      <c r="C748" s="62"/>
      <c r="F748" s="42"/>
      <c r="G748" s="186"/>
      <c r="H748" s="52"/>
      <c r="I748" s="52"/>
    </row>
    <row r="749">
      <c r="A749" s="62"/>
      <c r="B749" s="62"/>
      <c r="C749" s="62"/>
      <c r="F749" s="42"/>
      <c r="G749" s="186"/>
      <c r="H749" s="52"/>
      <c r="I749" s="52"/>
    </row>
    <row r="750">
      <c r="A750" s="62"/>
      <c r="B750" s="62"/>
      <c r="C750" s="62"/>
      <c r="F750" s="42"/>
      <c r="G750" s="186"/>
      <c r="H750" s="52"/>
      <c r="I750" s="52"/>
    </row>
    <row r="751">
      <c r="A751" s="62"/>
      <c r="B751" s="62"/>
      <c r="C751" s="62"/>
      <c r="F751" s="42"/>
      <c r="G751" s="186"/>
      <c r="H751" s="52"/>
      <c r="I751" s="52"/>
    </row>
    <row r="752">
      <c r="A752" s="62"/>
      <c r="B752" s="62"/>
      <c r="C752" s="62"/>
      <c r="F752" s="42"/>
      <c r="G752" s="186"/>
      <c r="H752" s="52"/>
      <c r="I752" s="52"/>
    </row>
    <row r="753">
      <c r="A753" s="62"/>
      <c r="B753" s="62"/>
      <c r="C753" s="62"/>
      <c r="F753" s="42"/>
      <c r="G753" s="186"/>
      <c r="H753" s="52"/>
      <c r="I753" s="52"/>
    </row>
    <row r="754">
      <c r="A754" s="62"/>
      <c r="B754" s="62"/>
      <c r="C754" s="62"/>
      <c r="F754" s="42"/>
      <c r="G754" s="186"/>
      <c r="H754" s="52"/>
      <c r="I754" s="52"/>
    </row>
    <row r="755">
      <c r="A755" s="62"/>
      <c r="B755" s="62"/>
      <c r="C755" s="62"/>
      <c r="F755" s="42"/>
      <c r="G755" s="186"/>
      <c r="H755" s="52"/>
      <c r="I755" s="52"/>
    </row>
    <row r="756">
      <c r="A756" s="62"/>
      <c r="B756" s="62"/>
      <c r="C756" s="62"/>
      <c r="F756" s="42"/>
      <c r="G756" s="186"/>
      <c r="H756" s="52"/>
      <c r="I756" s="52"/>
    </row>
    <row r="757">
      <c r="A757" s="62"/>
      <c r="B757" s="62"/>
      <c r="C757" s="62"/>
      <c r="F757" s="42"/>
      <c r="G757" s="186"/>
      <c r="H757" s="52"/>
      <c r="I757" s="52"/>
    </row>
    <row r="758">
      <c r="A758" s="62"/>
      <c r="B758" s="62"/>
      <c r="C758" s="62"/>
      <c r="F758" s="42"/>
      <c r="G758" s="186"/>
      <c r="H758" s="52"/>
      <c r="I758" s="52"/>
    </row>
    <row r="759">
      <c r="A759" s="62"/>
      <c r="B759" s="62"/>
      <c r="C759" s="62"/>
      <c r="F759" s="42"/>
      <c r="G759" s="186"/>
      <c r="H759" s="52"/>
      <c r="I759" s="52"/>
    </row>
    <row r="760">
      <c r="A760" s="62"/>
      <c r="B760" s="62"/>
      <c r="C760" s="62"/>
      <c r="F760" s="42"/>
      <c r="G760" s="186"/>
      <c r="H760" s="52"/>
      <c r="I760" s="52"/>
    </row>
    <row r="761">
      <c r="A761" s="62"/>
      <c r="B761" s="62"/>
      <c r="C761" s="62"/>
      <c r="F761" s="42"/>
      <c r="G761" s="186"/>
      <c r="H761" s="52"/>
      <c r="I761" s="52"/>
    </row>
    <row r="762">
      <c r="A762" s="62"/>
      <c r="B762" s="62"/>
      <c r="C762" s="62"/>
      <c r="F762" s="42"/>
      <c r="G762" s="186"/>
      <c r="H762" s="52"/>
      <c r="I762" s="52"/>
    </row>
    <row r="763">
      <c r="A763" s="62"/>
      <c r="B763" s="62"/>
      <c r="C763" s="62"/>
      <c r="F763" s="42"/>
      <c r="G763" s="186"/>
      <c r="H763" s="52"/>
      <c r="I763" s="52"/>
    </row>
    <row r="764">
      <c r="A764" s="62"/>
      <c r="B764" s="62"/>
      <c r="C764" s="62"/>
      <c r="F764" s="42"/>
      <c r="G764" s="186"/>
      <c r="H764" s="52"/>
      <c r="I764" s="52"/>
    </row>
    <row r="765">
      <c r="A765" s="62"/>
      <c r="B765" s="62"/>
      <c r="C765" s="62"/>
      <c r="F765" s="42"/>
      <c r="G765" s="186"/>
      <c r="H765" s="52"/>
      <c r="I765" s="52"/>
    </row>
    <row r="766">
      <c r="A766" s="62"/>
      <c r="B766" s="62"/>
      <c r="C766" s="62"/>
      <c r="F766" s="42"/>
      <c r="G766" s="186"/>
      <c r="H766" s="52"/>
      <c r="I766" s="52"/>
    </row>
    <row r="767">
      <c r="A767" s="62"/>
      <c r="B767" s="62"/>
      <c r="C767" s="62"/>
      <c r="F767" s="42"/>
      <c r="G767" s="186"/>
      <c r="H767" s="52"/>
      <c r="I767" s="52"/>
    </row>
    <row r="768">
      <c r="A768" s="62"/>
      <c r="B768" s="62"/>
      <c r="C768" s="62"/>
      <c r="F768" s="42"/>
      <c r="G768" s="186"/>
      <c r="H768" s="52"/>
      <c r="I768" s="52"/>
    </row>
    <row r="769">
      <c r="A769" s="62"/>
      <c r="B769" s="62"/>
      <c r="C769" s="62"/>
      <c r="F769" s="42"/>
      <c r="G769" s="186"/>
      <c r="H769" s="52"/>
      <c r="I769" s="52"/>
    </row>
    <row r="770">
      <c r="A770" s="62"/>
      <c r="B770" s="62"/>
      <c r="C770" s="62"/>
      <c r="F770" s="42"/>
      <c r="G770" s="186"/>
      <c r="H770" s="52"/>
      <c r="I770" s="52"/>
    </row>
    <row r="771">
      <c r="A771" s="62"/>
      <c r="B771" s="62"/>
      <c r="C771" s="62"/>
      <c r="F771" s="42"/>
      <c r="G771" s="186"/>
      <c r="H771" s="52"/>
      <c r="I771" s="52"/>
    </row>
    <row r="772">
      <c r="A772" s="62"/>
      <c r="B772" s="62"/>
      <c r="C772" s="62"/>
      <c r="F772" s="42"/>
      <c r="G772" s="186"/>
      <c r="H772" s="52"/>
      <c r="I772" s="52"/>
    </row>
    <row r="773">
      <c r="A773" s="62"/>
      <c r="B773" s="62"/>
      <c r="C773" s="62"/>
      <c r="F773" s="42"/>
      <c r="G773" s="186"/>
      <c r="H773" s="52"/>
      <c r="I773" s="52"/>
    </row>
    <row r="774">
      <c r="A774" s="62"/>
      <c r="B774" s="62"/>
      <c r="C774" s="62"/>
      <c r="F774" s="42"/>
      <c r="G774" s="186"/>
      <c r="H774" s="52"/>
      <c r="I774" s="52"/>
    </row>
    <row r="775">
      <c r="A775" s="62"/>
      <c r="B775" s="62"/>
      <c r="C775" s="62"/>
      <c r="F775" s="42"/>
      <c r="G775" s="186"/>
      <c r="H775" s="52"/>
      <c r="I775" s="52"/>
    </row>
    <row r="776">
      <c r="A776" s="62"/>
      <c r="B776" s="62"/>
      <c r="C776" s="62"/>
      <c r="F776" s="42"/>
      <c r="G776" s="186"/>
      <c r="H776" s="52"/>
      <c r="I776" s="52"/>
    </row>
    <row r="777">
      <c r="A777" s="62"/>
      <c r="B777" s="62"/>
      <c r="C777" s="62"/>
      <c r="F777" s="42"/>
      <c r="G777" s="186"/>
      <c r="H777" s="52"/>
      <c r="I777" s="52"/>
    </row>
    <row r="778">
      <c r="A778" s="62"/>
      <c r="B778" s="62"/>
      <c r="C778" s="62"/>
      <c r="F778" s="42"/>
      <c r="G778" s="186"/>
      <c r="H778" s="52"/>
      <c r="I778" s="52"/>
    </row>
    <row r="779">
      <c r="A779" s="62"/>
      <c r="B779" s="62"/>
      <c r="C779" s="62"/>
      <c r="F779" s="42"/>
      <c r="G779" s="186"/>
      <c r="H779" s="52"/>
      <c r="I779" s="52"/>
    </row>
    <row r="780">
      <c r="A780" s="62"/>
      <c r="B780" s="62"/>
      <c r="C780" s="62"/>
      <c r="F780" s="42"/>
      <c r="G780" s="186"/>
      <c r="H780" s="52"/>
      <c r="I780" s="52"/>
    </row>
    <row r="781">
      <c r="A781" s="62"/>
      <c r="B781" s="62"/>
      <c r="C781" s="62"/>
      <c r="F781" s="42"/>
      <c r="G781" s="186"/>
      <c r="H781" s="52"/>
      <c r="I781" s="52"/>
    </row>
    <row r="782">
      <c r="A782" s="62"/>
      <c r="B782" s="62"/>
      <c r="C782" s="62"/>
      <c r="F782" s="42"/>
      <c r="G782" s="186"/>
      <c r="H782" s="52"/>
      <c r="I782" s="52"/>
    </row>
    <row r="783">
      <c r="A783" s="62"/>
      <c r="B783" s="62"/>
      <c r="C783" s="62"/>
      <c r="F783" s="42"/>
      <c r="G783" s="186"/>
      <c r="H783" s="52"/>
      <c r="I783" s="52"/>
    </row>
    <row r="784">
      <c r="A784" s="62"/>
      <c r="B784" s="62"/>
      <c r="C784" s="62"/>
      <c r="F784" s="42"/>
      <c r="G784" s="186"/>
      <c r="H784" s="52"/>
      <c r="I784" s="52"/>
    </row>
    <row r="785">
      <c r="A785" s="62"/>
      <c r="B785" s="62"/>
      <c r="C785" s="62"/>
      <c r="F785" s="42"/>
      <c r="G785" s="186"/>
      <c r="H785" s="52"/>
      <c r="I785" s="52"/>
    </row>
    <row r="786">
      <c r="A786" s="62"/>
      <c r="B786" s="62"/>
      <c r="C786" s="62"/>
      <c r="F786" s="42"/>
      <c r="G786" s="186"/>
      <c r="H786" s="52"/>
      <c r="I786" s="52"/>
    </row>
    <row r="787">
      <c r="A787" s="62"/>
      <c r="B787" s="62"/>
      <c r="C787" s="62"/>
      <c r="F787" s="42"/>
      <c r="G787" s="186"/>
      <c r="H787" s="52"/>
      <c r="I787" s="52"/>
    </row>
    <row r="788">
      <c r="A788" s="62"/>
      <c r="B788" s="62"/>
      <c r="C788" s="62"/>
      <c r="F788" s="42"/>
      <c r="G788" s="186"/>
      <c r="H788" s="52"/>
      <c r="I788" s="52"/>
    </row>
    <row r="789">
      <c r="A789" s="62"/>
      <c r="B789" s="62"/>
      <c r="C789" s="62"/>
      <c r="F789" s="42"/>
      <c r="G789" s="186"/>
      <c r="H789" s="52"/>
      <c r="I789" s="52"/>
    </row>
    <row r="790">
      <c r="A790" s="62"/>
      <c r="B790" s="62"/>
      <c r="C790" s="62"/>
      <c r="F790" s="42"/>
      <c r="G790" s="186"/>
      <c r="H790" s="52"/>
      <c r="I790" s="52"/>
    </row>
    <row r="791">
      <c r="A791" s="62"/>
      <c r="B791" s="62"/>
      <c r="C791" s="62"/>
      <c r="F791" s="42"/>
      <c r="G791" s="186"/>
      <c r="H791" s="52"/>
      <c r="I791" s="52"/>
    </row>
    <row r="792">
      <c r="A792" s="62"/>
      <c r="B792" s="62"/>
      <c r="C792" s="62"/>
      <c r="F792" s="42"/>
      <c r="G792" s="186"/>
      <c r="H792" s="52"/>
      <c r="I792" s="52"/>
    </row>
    <row r="793">
      <c r="A793" s="62"/>
      <c r="B793" s="62"/>
      <c r="C793" s="62"/>
      <c r="F793" s="42"/>
      <c r="G793" s="186"/>
      <c r="H793" s="52"/>
      <c r="I793" s="52"/>
    </row>
    <row r="794">
      <c r="A794" s="62"/>
      <c r="B794" s="62"/>
      <c r="C794" s="62"/>
      <c r="F794" s="42"/>
      <c r="G794" s="186"/>
      <c r="H794" s="52"/>
      <c r="I794" s="52"/>
    </row>
    <row r="795">
      <c r="A795" s="62"/>
      <c r="B795" s="62"/>
      <c r="C795" s="62"/>
      <c r="F795" s="42"/>
      <c r="G795" s="186"/>
      <c r="H795" s="52"/>
      <c r="I795" s="52"/>
    </row>
    <row r="796">
      <c r="A796" s="62"/>
      <c r="B796" s="62"/>
      <c r="C796" s="62"/>
      <c r="F796" s="42"/>
      <c r="G796" s="186"/>
      <c r="H796" s="52"/>
      <c r="I796" s="52"/>
    </row>
    <row r="797">
      <c r="A797" s="62"/>
      <c r="B797" s="62"/>
      <c r="C797" s="62"/>
      <c r="F797" s="42"/>
      <c r="G797" s="186"/>
      <c r="H797" s="52"/>
      <c r="I797" s="52"/>
    </row>
    <row r="798">
      <c r="A798" s="62"/>
      <c r="B798" s="62"/>
      <c r="C798" s="62"/>
      <c r="F798" s="42"/>
      <c r="G798" s="186"/>
      <c r="H798" s="52"/>
      <c r="I798" s="52"/>
    </row>
    <row r="799">
      <c r="A799" s="62"/>
      <c r="B799" s="62"/>
      <c r="C799" s="62"/>
      <c r="F799" s="42"/>
      <c r="G799" s="186"/>
      <c r="H799" s="52"/>
      <c r="I799" s="52"/>
    </row>
    <row r="800">
      <c r="A800" s="62"/>
      <c r="B800" s="62"/>
      <c r="C800" s="62"/>
      <c r="F800" s="42"/>
      <c r="G800" s="186"/>
      <c r="H800" s="52"/>
      <c r="I800" s="52"/>
    </row>
    <row r="801">
      <c r="A801" s="62"/>
      <c r="B801" s="62"/>
      <c r="C801" s="62"/>
      <c r="F801" s="42"/>
      <c r="G801" s="186"/>
      <c r="H801" s="52"/>
      <c r="I801" s="52"/>
    </row>
    <row r="802">
      <c r="A802" s="62"/>
      <c r="B802" s="62"/>
      <c r="C802" s="62"/>
      <c r="F802" s="42"/>
      <c r="G802" s="186"/>
      <c r="H802" s="52"/>
      <c r="I802" s="52"/>
    </row>
    <row r="803">
      <c r="A803" s="62"/>
      <c r="B803" s="62"/>
      <c r="C803" s="62"/>
      <c r="F803" s="42"/>
      <c r="G803" s="186"/>
      <c r="H803" s="52"/>
      <c r="I803" s="52"/>
    </row>
    <row r="804">
      <c r="A804" s="62"/>
      <c r="B804" s="62"/>
      <c r="C804" s="62"/>
      <c r="F804" s="42"/>
      <c r="G804" s="186"/>
      <c r="H804" s="52"/>
      <c r="I804" s="52"/>
    </row>
    <row r="805">
      <c r="A805" s="62"/>
      <c r="B805" s="62"/>
      <c r="C805" s="62"/>
      <c r="F805" s="42"/>
      <c r="G805" s="186"/>
      <c r="H805" s="52"/>
      <c r="I805" s="52"/>
    </row>
    <row r="806">
      <c r="A806" s="62"/>
      <c r="B806" s="62"/>
      <c r="C806" s="62"/>
      <c r="F806" s="42"/>
      <c r="G806" s="186"/>
      <c r="H806" s="52"/>
      <c r="I806" s="52"/>
    </row>
    <row r="807">
      <c r="A807" s="62"/>
      <c r="B807" s="62"/>
      <c r="C807" s="62"/>
      <c r="F807" s="42"/>
      <c r="G807" s="186"/>
      <c r="H807" s="52"/>
      <c r="I807" s="52"/>
    </row>
    <row r="808">
      <c r="A808" s="62"/>
      <c r="B808" s="62"/>
      <c r="C808" s="62"/>
      <c r="F808" s="42"/>
      <c r="G808" s="186"/>
      <c r="H808" s="52"/>
      <c r="I808" s="52"/>
    </row>
    <row r="809">
      <c r="A809" s="62"/>
      <c r="B809" s="62"/>
      <c r="C809" s="62"/>
      <c r="F809" s="42"/>
      <c r="G809" s="186"/>
      <c r="H809" s="52"/>
      <c r="I809" s="52"/>
    </row>
    <row r="810">
      <c r="A810" s="62"/>
      <c r="B810" s="62"/>
      <c r="C810" s="62"/>
      <c r="F810" s="42"/>
      <c r="G810" s="186"/>
      <c r="H810" s="52"/>
      <c r="I810" s="52"/>
    </row>
    <row r="811">
      <c r="A811" s="62"/>
      <c r="B811" s="62"/>
      <c r="C811" s="62"/>
      <c r="F811" s="42"/>
      <c r="G811" s="186"/>
      <c r="H811" s="52"/>
      <c r="I811" s="52"/>
    </row>
    <row r="812">
      <c r="A812" s="62"/>
      <c r="B812" s="62"/>
      <c r="C812" s="62"/>
      <c r="F812" s="42"/>
      <c r="G812" s="186"/>
      <c r="H812" s="52"/>
      <c r="I812" s="52"/>
    </row>
    <row r="813">
      <c r="A813" s="62"/>
      <c r="B813" s="62"/>
      <c r="C813" s="62"/>
      <c r="F813" s="42"/>
      <c r="G813" s="186"/>
      <c r="H813" s="52"/>
      <c r="I813" s="52"/>
    </row>
    <row r="814">
      <c r="A814" s="62"/>
      <c r="B814" s="62"/>
      <c r="C814" s="62"/>
      <c r="F814" s="42"/>
      <c r="G814" s="186"/>
      <c r="H814" s="52"/>
      <c r="I814" s="52"/>
    </row>
    <row r="815">
      <c r="A815" s="62"/>
      <c r="B815" s="62"/>
      <c r="C815" s="62"/>
      <c r="F815" s="42"/>
      <c r="G815" s="186"/>
      <c r="H815" s="52"/>
      <c r="I815" s="52"/>
    </row>
    <row r="816">
      <c r="A816" s="62"/>
      <c r="B816" s="62"/>
      <c r="C816" s="62"/>
      <c r="F816" s="42"/>
      <c r="G816" s="186"/>
      <c r="H816" s="52"/>
      <c r="I816" s="52"/>
    </row>
    <row r="817">
      <c r="A817" s="62"/>
      <c r="B817" s="62"/>
      <c r="C817" s="62"/>
      <c r="F817" s="42"/>
      <c r="G817" s="186"/>
      <c r="H817" s="52"/>
      <c r="I817" s="52"/>
    </row>
    <row r="818">
      <c r="A818" s="62"/>
      <c r="B818" s="62"/>
      <c r="C818" s="62"/>
      <c r="F818" s="42"/>
      <c r="G818" s="186"/>
      <c r="H818" s="52"/>
      <c r="I818" s="52"/>
    </row>
    <row r="819">
      <c r="A819" s="62"/>
      <c r="B819" s="62"/>
      <c r="C819" s="62"/>
      <c r="F819" s="42"/>
      <c r="G819" s="186"/>
      <c r="H819" s="52"/>
      <c r="I819" s="52"/>
    </row>
    <row r="820">
      <c r="A820" s="62"/>
      <c r="B820" s="62"/>
      <c r="C820" s="62"/>
      <c r="F820" s="42"/>
      <c r="G820" s="186"/>
      <c r="H820" s="52"/>
      <c r="I820" s="52"/>
    </row>
    <row r="821">
      <c r="A821" s="62"/>
      <c r="B821" s="62"/>
      <c r="C821" s="62"/>
      <c r="F821" s="42"/>
      <c r="G821" s="186"/>
      <c r="H821" s="52"/>
      <c r="I821" s="52"/>
    </row>
    <row r="822">
      <c r="A822" s="62"/>
      <c r="B822" s="62"/>
      <c r="C822" s="62"/>
      <c r="F822" s="42"/>
      <c r="G822" s="186"/>
      <c r="H822" s="52"/>
      <c r="I822" s="52"/>
    </row>
    <row r="823">
      <c r="A823" s="62"/>
      <c r="B823" s="62"/>
      <c r="C823" s="62"/>
      <c r="F823" s="42"/>
      <c r="G823" s="186"/>
      <c r="H823" s="52"/>
      <c r="I823" s="52"/>
    </row>
    <row r="824">
      <c r="A824" s="62"/>
      <c r="B824" s="62"/>
      <c r="C824" s="62"/>
      <c r="F824" s="42"/>
      <c r="G824" s="186"/>
      <c r="H824" s="52"/>
      <c r="I824" s="52"/>
    </row>
    <row r="825">
      <c r="A825" s="62"/>
      <c r="B825" s="62"/>
      <c r="C825" s="62"/>
      <c r="F825" s="42"/>
      <c r="G825" s="186"/>
      <c r="H825" s="52"/>
      <c r="I825" s="52"/>
    </row>
    <row r="826">
      <c r="A826" s="62"/>
      <c r="B826" s="62"/>
      <c r="C826" s="62"/>
      <c r="F826" s="42"/>
      <c r="G826" s="186"/>
      <c r="H826" s="52"/>
      <c r="I826" s="52"/>
    </row>
    <row r="827">
      <c r="A827" s="62"/>
      <c r="B827" s="62"/>
      <c r="C827" s="62"/>
      <c r="F827" s="42"/>
      <c r="G827" s="186"/>
      <c r="H827" s="52"/>
      <c r="I827" s="52"/>
    </row>
    <row r="828">
      <c r="A828" s="62"/>
      <c r="B828" s="62"/>
      <c r="C828" s="62"/>
      <c r="F828" s="42"/>
      <c r="G828" s="186"/>
      <c r="H828" s="52"/>
      <c r="I828" s="52"/>
    </row>
    <row r="829">
      <c r="A829" s="62"/>
      <c r="B829" s="62"/>
      <c r="C829" s="62"/>
      <c r="F829" s="42"/>
      <c r="G829" s="186"/>
      <c r="H829" s="52"/>
      <c r="I829" s="52"/>
    </row>
    <row r="830">
      <c r="A830" s="62"/>
      <c r="B830" s="62"/>
      <c r="C830" s="62"/>
      <c r="F830" s="42"/>
      <c r="G830" s="186"/>
      <c r="H830" s="52"/>
      <c r="I830" s="52"/>
    </row>
    <row r="831">
      <c r="A831" s="62"/>
      <c r="B831" s="62"/>
      <c r="C831" s="62"/>
      <c r="F831" s="42"/>
      <c r="G831" s="186"/>
      <c r="H831" s="52"/>
      <c r="I831" s="52"/>
    </row>
    <row r="832">
      <c r="A832" s="62"/>
      <c r="B832" s="62"/>
      <c r="C832" s="62"/>
      <c r="F832" s="42"/>
      <c r="G832" s="186"/>
      <c r="H832" s="52"/>
      <c r="I832" s="52"/>
    </row>
    <row r="833">
      <c r="A833" s="62"/>
      <c r="B833" s="62"/>
      <c r="C833" s="62"/>
      <c r="F833" s="42"/>
      <c r="G833" s="186"/>
      <c r="H833" s="52"/>
      <c r="I833" s="52"/>
    </row>
    <row r="834">
      <c r="A834" s="62"/>
      <c r="B834" s="62"/>
      <c r="C834" s="62"/>
      <c r="F834" s="42"/>
      <c r="G834" s="186"/>
      <c r="H834" s="52"/>
      <c r="I834" s="52"/>
    </row>
    <row r="835">
      <c r="A835" s="62"/>
      <c r="B835" s="62"/>
      <c r="C835" s="62"/>
      <c r="F835" s="42"/>
      <c r="G835" s="186"/>
      <c r="H835" s="52"/>
      <c r="I835" s="52"/>
    </row>
    <row r="836">
      <c r="A836" s="62"/>
      <c r="B836" s="62"/>
      <c r="C836" s="62"/>
      <c r="F836" s="42"/>
      <c r="G836" s="186"/>
      <c r="H836" s="52"/>
      <c r="I836" s="52"/>
    </row>
    <row r="837">
      <c r="A837" s="62"/>
      <c r="B837" s="62"/>
      <c r="C837" s="62"/>
      <c r="F837" s="42"/>
      <c r="G837" s="186"/>
      <c r="H837" s="52"/>
      <c r="I837" s="52"/>
    </row>
    <row r="838">
      <c r="A838" s="62"/>
      <c r="B838" s="62"/>
      <c r="C838" s="62"/>
      <c r="F838" s="42"/>
      <c r="G838" s="186"/>
      <c r="H838" s="52"/>
      <c r="I838" s="52"/>
    </row>
    <row r="839">
      <c r="A839" s="62"/>
      <c r="B839" s="62"/>
      <c r="C839" s="62"/>
      <c r="F839" s="42"/>
      <c r="G839" s="186"/>
      <c r="H839" s="52"/>
      <c r="I839" s="52"/>
    </row>
    <row r="840">
      <c r="A840" s="62"/>
      <c r="B840" s="62"/>
      <c r="C840" s="62"/>
      <c r="F840" s="42"/>
      <c r="G840" s="186"/>
      <c r="H840" s="52"/>
      <c r="I840" s="52"/>
    </row>
    <row r="841">
      <c r="A841" s="62"/>
      <c r="B841" s="62"/>
      <c r="C841" s="62"/>
      <c r="F841" s="42"/>
      <c r="G841" s="186"/>
      <c r="H841" s="52"/>
      <c r="I841" s="52"/>
    </row>
    <row r="842">
      <c r="A842" s="62"/>
      <c r="B842" s="62"/>
      <c r="C842" s="62"/>
      <c r="F842" s="42"/>
      <c r="G842" s="186"/>
      <c r="H842" s="52"/>
      <c r="I842" s="52"/>
    </row>
    <row r="843">
      <c r="A843" s="62"/>
      <c r="B843" s="62"/>
      <c r="C843" s="62"/>
      <c r="F843" s="42"/>
      <c r="G843" s="186"/>
      <c r="H843" s="52"/>
      <c r="I843" s="52"/>
    </row>
    <row r="844">
      <c r="A844" s="62"/>
      <c r="B844" s="62"/>
      <c r="C844" s="62"/>
      <c r="F844" s="42"/>
      <c r="G844" s="186"/>
      <c r="H844" s="52"/>
      <c r="I844" s="52"/>
    </row>
    <row r="845">
      <c r="A845" s="62"/>
      <c r="B845" s="62"/>
      <c r="C845" s="62"/>
      <c r="F845" s="42"/>
      <c r="G845" s="186"/>
      <c r="H845" s="52"/>
      <c r="I845" s="52"/>
    </row>
    <row r="846">
      <c r="A846" s="62"/>
      <c r="B846" s="62"/>
      <c r="C846" s="62"/>
      <c r="F846" s="42"/>
      <c r="G846" s="186"/>
      <c r="H846" s="52"/>
      <c r="I846" s="52"/>
    </row>
    <row r="847">
      <c r="A847" s="62"/>
      <c r="B847" s="62"/>
      <c r="C847" s="62"/>
      <c r="F847" s="42"/>
      <c r="G847" s="186"/>
      <c r="H847" s="52"/>
      <c r="I847" s="52"/>
    </row>
    <row r="848">
      <c r="A848" s="62"/>
      <c r="B848" s="62"/>
      <c r="C848" s="62"/>
      <c r="F848" s="42"/>
      <c r="G848" s="186"/>
      <c r="H848" s="52"/>
      <c r="I848" s="52"/>
    </row>
    <row r="849">
      <c r="A849" s="62"/>
      <c r="B849" s="62"/>
      <c r="C849" s="62"/>
      <c r="F849" s="42"/>
      <c r="G849" s="186"/>
      <c r="H849" s="52"/>
      <c r="I849" s="52"/>
    </row>
    <row r="850">
      <c r="A850" s="62"/>
      <c r="B850" s="62"/>
      <c r="C850" s="62"/>
      <c r="F850" s="42"/>
      <c r="G850" s="186"/>
      <c r="H850" s="52"/>
      <c r="I850" s="52"/>
    </row>
    <row r="851">
      <c r="A851" s="62"/>
      <c r="B851" s="62"/>
      <c r="C851" s="62"/>
      <c r="F851" s="42"/>
      <c r="G851" s="186"/>
      <c r="H851" s="52"/>
      <c r="I851" s="52"/>
    </row>
    <row r="852">
      <c r="A852" s="62"/>
      <c r="B852" s="62"/>
      <c r="C852" s="62"/>
      <c r="F852" s="42"/>
      <c r="G852" s="186"/>
      <c r="H852" s="52"/>
      <c r="I852" s="52"/>
    </row>
    <row r="853">
      <c r="A853" s="62"/>
      <c r="B853" s="62"/>
      <c r="C853" s="62"/>
      <c r="F853" s="42"/>
      <c r="G853" s="186"/>
      <c r="H853" s="52"/>
      <c r="I853" s="52"/>
    </row>
    <row r="854">
      <c r="A854" s="62"/>
      <c r="B854" s="62"/>
      <c r="C854" s="62"/>
      <c r="F854" s="42"/>
      <c r="G854" s="186"/>
      <c r="H854" s="52"/>
      <c r="I854" s="52"/>
    </row>
    <row r="855">
      <c r="A855" s="62"/>
      <c r="B855" s="62"/>
      <c r="C855" s="62"/>
      <c r="F855" s="42"/>
      <c r="G855" s="186"/>
      <c r="H855" s="52"/>
      <c r="I855" s="52"/>
    </row>
    <row r="856">
      <c r="A856" s="62"/>
      <c r="B856" s="62"/>
      <c r="C856" s="62"/>
      <c r="F856" s="42"/>
      <c r="G856" s="186"/>
      <c r="H856" s="52"/>
      <c r="I856" s="52"/>
    </row>
    <row r="857">
      <c r="A857" s="62"/>
      <c r="B857" s="62"/>
      <c r="C857" s="62"/>
      <c r="F857" s="42"/>
      <c r="G857" s="186"/>
      <c r="H857" s="52"/>
      <c r="I857" s="52"/>
    </row>
    <row r="858">
      <c r="A858" s="62"/>
      <c r="B858" s="62"/>
      <c r="C858" s="62"/>
      <c r="F858" s="42"/>
      <c r="G858" s="186"/>
      <c r="H858" s="52"/>
      <c r="I858" s="52"/>
    </row>
    <row r="859">
      <c r="A859" s="62"/>
      <c r="B859" s="62"/>
      <c r="C859" s="62"/>
      <c r="F859" s="42"/>
      <c r="G859" s="186"/>
      <c r="H859" s="52"/>
      <c r="I859" s="52"/>
    </row>
    <row r="860">
      <c r="A860" s="62"/>
      <c r="B860" s="62"/>
      <c r="C860" s="62"/>
      <c r="F860" s="42"/>
      <c r="G860" s="186"/>
      <c r="H860" s="52"/>
      <c r="I860" s="52"/>
    </row>
    <row r="861">
      <c r="A861" s="62"/>
      <c r="B861" s="62"/>
      <c r="C861" s="62"/>
      <c r="F861" s="42"/>
      <c r="G861" s="186"/>
      <c r="H861" s="52"/>
      <c r="I861" s="52"/>
    </row>
    <row r="862">
      <c r="A862" s="62"/>
      <c r="B862" s="62"/>
      <c r="C862" s="62"/>
      <c r="F862" s="42"/>
      <c r="G862" s="186"/>
      <c r="H862" s="52"/>
      <c r="I862" s="52"/>
    </row>
    <row r="863">
      <c r="A863" s="62"/>
      <c r="B863" s="62"/>
      <c r="C863" s="62"/>
      <c r="F863" s="42"/>
      <c r="G863" s="186"/>
      <c r="H863" s="52"/>
      <c r="I863" s="52"/>
    </row>
    <row r="864">
      <c r="A864" s="62"/>
      <c r="B864" s="62"/>
      <c r="C864" s="62"/>
      <c r="F864" s="42"/>
      <c r="G864" s="186"/>
      <c r="H864" s="52"/>
      <c r="I864" s="52"/>
    </row>
    <row r="865">
      <c r="A865" s="62"/>
      <c r="B865" s="62"/>
      <c r="C865" s="62"/>
      <c r="F865" s="42"/>
      <c r="G865" s="186"/>
      <c r="H865" s="52"/>
      <c r="I865" s="52"/>
    </row>
    <row r="866">
      <c r="A866" s="62"/>
      <c r="B866" s="62"/>
      <c r="C866" s="62"/>
      <c r="F866" s="42"/>
      <c r="G866" s="186"/>
      <c r="H866" s="52"/>
      <c r="I866" s="52"/>
    </row>
    <row r="867">
      <c r="A867" s="62"/>
      <c r="B867" s="62"/>
      <c r="C867" s="62"/>
      <c r="F867" s="42"/>
      <c r="G867" s="186"/>
      <c r="H867" s="52"/>
      <c r="I867" s="52"/>
    </row>
    <row r="868">
      <c r="A868" s="62"/>
      <c r="B868" s="62"/>
      <c r="C868" s="62"/>
      <c r="F868" s="42"/>
      <c r="G868" s="186"/>
      <c r="H868" s="52"/>
      <c r="I868" s="52"/>
    </row>
    <row r="869">
      <c r="A869" s="62"/>
      <c r="B869" s="62"/>
      <c r="C869" s="62"/>
      <c r="F869" s="42"/>
      <c r="G869" s="186"/>
      <c r="H869" s="52"/>
      <c r="I869" s="52"/>
    </row>
    <row r="870">
      <c r="A870" s="62"/>
      <c r="B870" s="62"/>
      <c r="C870" s="62"/>
      <c r="F870" s="42"/>
      <c r="G870" s="186"/>
      <c r="H870" s="52"/>
      <c r="I870" s="52"/>
    </row>
    <row r="871">
      <c r="A871" s="62"/>
      <c r="B871" s="62"/>
      <c r="C871" s="62"/>
      <c r="F871" s="42"/>
      <c r="G871" s="186"/>
      <c r="H871" s="52"/>
      <c r="I871" s="52"/>
    </row>
    <row r="872">
      <c r="A872" s="62"/>
      <c r="B872" s="62"/>
      <c r="C872" s="62"/>
      <c r="F872" s="42"/>
      <c r="G872" s="186"/>
      <c r="H872" s="52"/>
      <c r="I872" s="52"/>
    </row>
    <row r="873">
      <c r="A873" s="62"/>
      <c r="B873" s="62"/>
      <c r="C873" s="62"/>
      <c r="F873" s="42"/>
      <c r="G873" s="186"/>
      <c r="H873" s="52"/>
      <c r="I873" s="52"/>
    </row>
    <row r="874">
      <c r="A874" s="62"/>
      <c r="B874" s="62"/>
      <c r="C874" s="62"/>
      <c r="F874" s="42"/>
      <c r="G874" s="186"/>
      <c r="H874" s="52"/>
      <c r="I874" s="52"/>
    </row>
    <row r="875">
      <c r="A875" s="62"/>
      <c r="B875" s="62"/>
      <c r="C875" s="62"/>
      <c r="F875" s="42"/>
      <c r="G875" s="186"/>
      <c r="H875" s="52"/>
      <c r="I875" s="52"/>
    </row>
    <row r="876">
      <c r="A876" s="62"/>
      <c r="B876" s="62"/>
      <c r="C876" s="62"/>
      <c r="F876" s="42"/>
      <c r="G876" s="186"/>
      <c r="H876" s="52"/>
      <c r="I876" s="52"/>
    </row>
    <row r="877">
      <c r="A877" s="62"/>
      <c r="B877" s="62"/>
      <c r="C877" s="62"/>
      <c r="F877" s="42"/>
      <c r="G877" s="186"/>
      <c r="H877" s="52"/>
      <c r="I877" s="52"/>
    </row>
    <row r="878">
      <c r="A878" s="62"/>
      <c r="B878" s="62"/>
      <c r="C878" s="62"/>
      <c r="F878" s="42"/>
      <c r="G878" s="186"/>
      <c r="H878" s="52"/>
      <c r="I878" s="52"/>
    </row>
    <row r="879">
      <c r="A879" s="62"/>
      <c r="B879" s="62"/>
      <c r="C879" s="62"/>
      <c r="F879" s="42"/>
      <c r="G879" s="186"/>
      <c r="H879" s="52"/>
      <c r="I879" s="52"/>
    </row>
    <row r="880">
      <c r="A880" s="62"/>
      <c r="B880" s="62"/>
      <c r="C880" s="62"/>
      <c r="F880" s="42"/>
      <c r="G880" s="186"/>
      <c r="H880" s="52"/>
      <c r="I880" s="52"/>
    </row>
    <row r="881">
      <c r="A881" s="62"/>
      <c r="B881" s="62"/>
      <c r="C881" s="62"/>
      <c r="F881" s="42"/>
      <c r="G881" s="186"/>
      <c r="H881" s="52"/>
      <c r="I881" s="52"/>
    </row>
    <row r="882">
      <c r="A882" s="62"/>
      <c r="B882" s="62"/>
      <c r="C882" s="62"/>
      <c r="F882" s="42"/>
      <c r="G882" s="186"/>
      <c r="H882" s="52"/>
      <c r="I882" s="52"/>
    </row>
    <row r="883">
      <c r="A883" s="62"/>
      <c r="B883" s="62"/>
      <c r="C883" s="62"/>
      <c r="F883" s="42"/>
      <c r="G883" s="186"/>
      <c r="H883" s="52"/>
      <c r="I883" s="52"/>
    </row>
    <row r="884">
      <c r="A884" s="62"/>
      <c r="B884" s="62"/>
      <c r="C884" s="62"/>
      <c r="F884" s="42"/>
      <c r="G884" s="186"/>
      <c r="H884" s="52"/>
      <c r="I884" s="52"/>
    </row>
    <row r="885">
      <c r="A885" s="62"/>
      <c r="B885" s="62"/>
      <c r="C885" s="62"/>
      <c r="F885" s="42"/>
      <c r="G885" s="186"/>
      <c r="H885" s="52"/>
      <c r="I885" s="52"/>
    </row>
    <row r="886">
      <c r="A886" s="62"/>
      <c r="B886" s="62"/>
      <c r="C886" s="62"/>
      <c r="F886" s="42"/>
      <c r="G886" s="186"/>
      <c r="H886" s="52"/>
      <c r="I886" s="52"/>
    </row>
    <row r="887">
      <c r="A887" s="62"/>
      <c r="B887" s="62"/>
      <c r="C887" s="62"/>
      <c r="F887" s="42"/>
      <c r="G887" s="186"/>
      <c r="H887" s="52"/>
      <c r="I887" s="52"/>
    </row>
    <row r="888">
      <c r="A888" s="62"/>
      <c r="B888" s="62"/>
      <c r="C888" s="62"/>
      <c r="F888" s="42"/>
      <c r="G888" s="186"/>
      <c r="H888" s="52"/>
      <c r="I888" s="52"/>
    </row>
    <row r="889">
      <c r="A889" s="62"/>
      <c r="B889" s="62"/>
      <c r="C889" s="62"/>
      <c r="F889" s="42"/>
      <c r="G889" s="186"/>
      <c r="H889" s="52"/>
      <c r="I889" s="52"/>
    </row>
    <row r="890">
      <c r="A890" s="62"/>
      <c r="B890" s="62"/>
      <c r="C890" s="62"/>
      <c r="F890" s="42"/>
      <c r="G890" s="186"/>
      <c r="H890" s="52"/>
      <c r="I890" s="52"/>
    </row>
    <row r="891">
      <c r="A891" s="62"/>
      <c r="B891" s="62"/>
      <c r="C891" s="62"/>
      <c r="F891" s="42"/>
      <c r="G891" s="186"/>
      <c r="H891" s="52"/>
      <c r="I891" s="52"/>
    </row>
    <row r="892">
      <c r="A892" s="62"/>
      <c r="B892" s="62"/>
      <c r="C892" s="62"/>
      <c r="F892" s="42"/>
      <c r="G892" s="186"/>
      <c r="H892" s="52"/>
      <c r="I892" s="52"/>
    </row>
    <row r="893">
      <c r="A893" s="62"/>
      <c r="B893" s="62"/>
      <c r="C893" s="62"/>
      <c r="F893" s="42"/>
      <c r="G893" s="186"/>
      <c r="H893" s="52"/>
      <c r="I893" s="52"/>
    </row>
    <row r="894">
      <c r="A894" s="62"/>
      <c r="B894" s="62"/>
      <c r="C894" s="62"/>
      <c r="F894" s="42"/>
      <c r="G894" s="186"/>
      <c r="H894" s="52"/>
      <c r="I894" s="52"/>
    </row>
    <row r="895">
      <c r="A895" s="62"/>
      <c r="B895" s="62"/>
      <c r="C895" s="62"/>
      <c r="F895" s="42"/>
      <c r="G895" s="186"/>
      <c r="H895" s="52"/>
      <c r="I895" s="52"/>
    </row>
    <row r="896">
      <c r="A896" s="62"/>
      <c r="B896" s="62"/>
      <c r="C896" s="62"/>
      <c r="F896" s="42"/>
      <c r="G896" s="186"/>
      <c r="H896" s="52"/>
      <c r="I896" s="52"/>
    </row>
    <row r="897">
      <c r="A897" s="62"/>
      <c r="B897" s="62"/>
      <c r="C897" s="62"/>
      <c r="F897" s="42"/>
      <c r="G897" s="186"/>
      <c r="H897" s="52"/>
      <c r="I897" s="52"/>
    </row>
    <row r="898">
      <c r="A898" s="62"/>
      <c r="B898" s="62"/>
      <c r="C898" s="62"/>
      <c r="F898" s="42"/>
      <c r="G898" s="186"/>
      <c r="H898" s="52"/>
      <c r="I898" s="52"/>
    </row>
    <row r="899">
      <c r="A899" s="62"/>
      <c r="B899" s="62"/>
      <c r="C899" s="62"/>
      <c r="F899" s="42"/>
      <c r="G899" s="186"/>
      <c r="H899" s="52"/>
      <c r="I899" s="52"/>
    </row>
    <row r="900">
      <c r="A900" s="62"/>
      <c r="B900" s="62"/>
      <c r="C900" s="62"/>
      <c r="F900" s="42"/>
      <c r="G900" s="186"/>
      <c r="H900" s="52"/>
      <c r="I900" s="52"/>
    </row>
    <row r="901">
      <c r="A901" s="62"/>
      <c r="B901" s="62"/>
      <c r="C901" s="62"/>
      <c r="F901" s="42"/>
      <c r="G901" s="186"/>
      <c r="H901" s="52"/>
      <c r="I901" s="52"/>
    </row>
    <row r="902">
      <c r="A902" s="62"/>
      <c r="B902" s="62"/>
      <c r="C902" s="62"/>
      <c r="F902" s="42"/>
      <c r="G902" s="186"/>
      <c r="H902" s="52"/>
      <c r="I902" s="52"/>
    </row>
    <row r="903">
      <c r="A903" s="62"/>
      <c r="B903" s="62"/>
      <c r="C903" s="62"/>
      <c r="F903" s="42"/>
      <c r="G903" s="186"/>
      <c r="H903" s="52"/>
      <c r="I903" s="52"/>
    </row>
    <row r="904">
      <c r="A904" s="62"/>
      <c r="B904" s="62"/>
      <c r="C904" s="62"/>
      <c r="F904" s="42"/>
      <c r="G904" s="186"/>
      <c r="H904" s="52"/>
      <c r="I904" s="52"/>
    </row>
    <row r="905">
      <c r="A905" s="62"/>
      <c r="B905" s="62"/>
      <c r="C905" s="62"/>
      <c r="F905" s="42"/>
      <c r="G905" s="186"/>
      <c r="H905" s="52"/>
      <c r="I905" s="52"/>
    </row>
    <row r="906">
      <c r="A906" s="62"/>
      <c r="B906" s="62"/>
      <c r="C906" s="62"/>
      <c r="F906" s="42"/>
      <c r="G906" s="186"/>
      <c r="H906" s="52"/>
      <c r="I906" s="52"/>
    </row>
    <row r="907">
      <c r="A907" s="62"/>
      <c r="B907" s="62"/>
      <c r="C907" s="62"/>
      <c r="F907" s="42"/>
      <c r="G907" s="186"/>
      <c r="H907" s="52"/>
      <c r="I907" s="52"/>
    </row>
    <row r="908">
      <c r="A908" s="62"/>
      <c r="B908" s="62"/>
      <c r="C908" s="62"/>
      <c r="F908" s="42"/>
      <c r="G908" s="186"/>
      <c r="H908" s="52"/>
      <c r="I908" s="52"/>
    </row>
    <row r="909">
      <c r="A909" s="62"/>
      <c r="B909" s="62"/>
      <c r="C909" s="62"/>
      <c r="F909" s="42"/>
      <c r="G909" s="186"/>
      <c r="H909" s="52"/>
      <c r="I909" s="52"/>
    </row>
    <row r="910">
      <c r="A910" s="62"/>
      <c r="B910" s="62"/>
      <c r="C910" s="62"/>
      <c r="F910" s="42"/>
      <c r="G910" s="186"/>
      <c r="H910" s="52"/>
      <c r="I910" s="52"/>
    </row>
    <row r="911">
      <c r="A911" s="62"/>
      <c r="B911" s="62"/>
      <c r="C911" s="62"/>
      <c r="F911" s="42"/>
      <c r="G911" s="186"/>
      <c r="H911" s="52"/>
      <c r="I911" s="52"/>
    </row>
    <row r="912">
      <c r="A912" s="62"/>
      <c r="B912" s="62"/>
      <c r="C912" s="62"/>
      <c r="F912" s="42"/>
      <c r="G912" s="186"/>
      <c r="H912" s="52"/>
      <c r="I912" s="52"/>
    </row>
    <row r="913">
      <c r="A913" s="62"/>
      <c r="B913" s="62"/>
      <c r="C913" s="62"/>
      <c r="F913" s="42"/>
      <c r="G913" s="186"/>
      <c r="H913" s="52"/>
      <c r="I913" s="52"/>
    </row>
    <row r="914">
      <c r="A914" s="62"/>
      <c r="B914" s="62"/>
      <c r="C914" s="62"/>
      <c r="F914" s="42"/>
      <c r="G914" s="186"/>
      <c r="H914" s="52"/>
      <c r="I914" s="52"/>
    </row>
    <row r="915">
      <c r="A915" s="62"/>
      <c r="B915" s="62"/>
      <c r="C915" s="62"/>
      <c r="F915" s="42"/>
      <c r="G915" s="186"/>
      <c r="H915" s="52"/>
      <c r="I915" s="52"/>
    </row>
    <row r="916">
      <c r="A916" s="62"/>
      <c r="B916" s="62"/>
      <c r="C916" s="62"/>
      <c r="F916" s="42"/>
      <c r="G916" s="186"/>
      <c r="H916" s="52"/>
      <c r="I916" s="52"/>
    </row>
    <row r="917">
      <c r="A917" s="62"/>
      <c r="B917" s="62"/>
      <c r="C917" s="62"/>
      <c r="F917" s="42"/>
      <c r="G917" s="186"/>
      <c r="H917" s="52"/>
      <c r="I917" s="52"/>
    </row>
    <row r="918">
      <c r="A918" s="62"/>
      <c r="B918" s="62"/>
      <c r="C918" s="62"/>
      <c r="F918" s="42"/>
      <c r="G918" s="186"/>
      <c r="H918" s="52"/>
      <c r="I918" s="52"/>
    </row>
    <row r="919">
      <c r="A919" s="62"/>
      <c r="B919" s="62"/>
      <c r="C919" s="62"/>
      <c r="F919" s="42"/>
      <c r="G919" s="186"/>
      <c r="H919" s="52"/>
      <c r="I919" s="52"/>
    </row>
    <row r="920">
      <c r="A920" s="62"/>
      <c r="B920" s="62"/>
      <c r="C920" s="62"/>
      <c r="F920" s="42"/>
      <c r="G920" s="186"/>
      <c r="H920" s="52"/>
      <c r="I920" s="52"/>
    </row>
    <row r="921">
      <c r="A921" s="62"/>
      <c r="B921" s="62"/>
      <c r="C921" s="62"/>
      <c r="F921" s="42"/>
      <c r="G921" s="186"/>
      <c r="H921" s="52"/>
      <c r="I921" s="52"/>
    </row>
    <row r="922">
      <c r="A922" s="62"/>
      <c r="B922" s="62"/>
      <c r="C922" s="62"/>
      <c r="F922" s="42"/>
      <c r="G922" s="186"/>
      <c r="H922" s="52"/>
      <c r="I922" s="52"/>
    </row>
    <row r="923">
      <c r="A923" s="62"/>
      <c r="B923" s="62"/>
      <c r="C923" s="62"/>
      <c r="F923" s="42"/>
      <c r="G923" s="186"/>
      <c r="H923" s="52"/>
      <c r="I923" s="52"/>
    </row>
    <row r="924">
      <c r="A924" s="62"/>
      <c r="B924" s="62"/>
      <c r="C924" s="62"/>
      <c r="F924" s="42"/>
      <c r="G924" s="186"/>
      <c r="H924" s="52"/>
      <c r="I924" s="52"/>
    </row>
    <row r="925">
      <c r="A925" s="62"/>
      <c r="B925" s="62"/>
      <c r="C925" s="62"/>
      <c r="F925" s="42"/>
      <c r="G925" s="186"/>
      <c r="H925" s="52"/>
      <c r="I925" s="52"/>
    </row>
    <row r="926">
      <c r="A926" s="62"/>
      <c r="B926" s="62"/>
      <c r="C926" s="62"/>
      <c r="F926" s="42"/>
      <c r="G926" s="186"/>
      <c r="H926" s="52"/>
      <c r="I926" s="52"/>
    </row>
    <row r="927">
      <c r="A927" s="62"/>
      <c r="B927" s="62"/>
      <c r="C927" s="62"/>
      <c r="F927" s="42"/>
      <c r="G927" s="186"/>
      <c r="H927" s="52"/>
      <c r="I927" s="52"/>
    </row>
    <row r="928">
      <c r="A928" s="62"/>
      <c r="B928" s="62"/>
      <c r="C928" s="62"/>
      <c r="F928" s="42"/>
      <c r="G928" s="186"/>
      <c r="H928" s="52"/>
      <c r="I928" s="52"/>
    </row>
    <row r="929">
      <c r="A929" s="62"/>
      <c r="B929" s="62"/>
      <c r="C929" s="62"/>
      <c r="F929" s="42"/>
      <c r="G929" s="186"/>
      <c r="H929" s="52"/>
      <c r="I929" s="52"/>
    </row>
    <row r="930">
      <c r="A930" s="62"/>
      <c r="B930" s="62"/>
      <c r="C930" s="62"/>
      <c r="F930" s="42"/>
      <c r="G930" s="186"/>
      <c r="H930" s="52"/>
      <c r="I930" s="52"/>
    </row>
    <row r="931">
      <c r="A931" s="62"/>
      <c r="B931" s="62"/>
      <c r="C931" s="62"/>
      <c r="F931" s="42"/>
      <c r="G931" s="186"/>
      <c r="H931" s="52"/>
      <c r="I931" s="52"/>
    </row>
    <row r="932">
      <c r="A932" s="62"/>
      <c r="B932" s="62"/>
      <c r="C932" s="62"/>
      <c r="F932" s="42"/>
      <c r="G932" s="186"/>
      <c r="H932" s="52"/>
      <c r="I932" s="52"/>
    </row>
    <row r="933">
      <c r="A933" s="62"/>
      <c r="B933" s="62"/>
      <c r="C933" s="62"/>
      <c r="F933" s="42"/>
      <c r="G933" s="186"/>
      <c r="H933" s="52"/>
      <c r="I933" s="52"/>
    </row>
    <row r="934">
      <c r="A934" s="62"/>
      <c r="B934" s="62"/>
      <c r="C934" s="62"/>
      <c r="F934" s="42"/>
      <c r="G934" s="186"/>
      <c r="H934" s="52"/>
      <c r="I934" s="52"/>
    </row>
    <row r="935">
      <c r="A935" s="62"/>
      <c r="B935" s="62"/>
      <c r="C935" s="62"/>
      <c r="F935" s="42"/>
      <c r="G935" s="186"/>
      <c r="H935" s="52"/>
      <c r="I935" s="52"/>
    </row>
    <row r="936">
      <c r="A936" s="62"/>
      <c r="B936" s="62"/>
      <c r="C936" s="62"/>
      <c r="F936" s="42"/>
      <c r="G936" s="186"/>
      <c r="H936" s="52"/>
      <c r="I936" s="52"/>
    </row>
    <row r="937">
      <c r="A937" s="62"/>
      <c r="B937" s="62"/>
      <c r="C937" s="62"/>
      <c r="F937" s="42"/>
      <c r="G937" s="186"/>
      <c r="H937" s="52"/>
      <c r="I937" s="52"/>
    </row>
    <row r="938">
      <c r="A938" s="62"/>
      <c r="B938" s="62"/>
      <c r="C938" s="62"/>
      <c r="F938" s="42"/>
      <c r="G938" s="186"/>
      <c r="H938" s="52"/>
      <c r="I938" s="52"/>
    </row>
    <row r="939">
      <c r="A939" s="62"/>
      <c r="B939" s="62"/>
      <c r="C939" s="62"/>
      <c r="F939" s="42"/>
      <c r="G939" s="186"/>
      <c r="H939" s="52"/>
      <c r="I939" s="52"/>
    </row>
    <row r="940">
      <c r="A940" s="62"/>
      <c r="B940" s="62"/>
      <c r="C940" s="62"/>
      <c r="F940" s="42"/>
      <c r="G940" s="186"/>
      <c r="H940" s="52"/>
      <c r="I940" s="52"/>
    </row>
    <row r="941">
      <c r="A941" s="62"/>
      <c r="B941" s="62"/>
      <c r="C941" s="62"/>
      <c r="F941" s="42"/>
      <c r="G941" s="186"/>
      <c r="H941" s="52"/>
      <c r="I941" s="52"/>
    </row>
    <row r="942">
      <c r="A942" s="62"/>
      <c r="B942" s="62"/>
      <c r="C942" s="62"/>
      <c r="F942" s="42"/>
      <c r="G942" s="186"/>
      <c r="H942" s="52"/>
      <c r="I942" s="52"/>
    </row>
    <row r="943">
      <c r="A943" s="62"/>
      <c r="B943" s="62"/>
      <c r="C943" s="62"/>
      <c r="F943" s="42"/>
      <c r="G943" s="186"/>
      <c r="H943" s="52"/>
      <c r="I943" s="52"/>
    </row>
    <row r="944">
      <c r="A944" s="62"/>
      <c r="B944" s="62"/>
      <c r="C944" s="62"/>
      <c r="F944" s="42"/>
      <c r="G944" s="186"/>
      <c r="H944" s="52"/>
      <c r="I944" s="52"/>
    </row>
    <row r="945">
      <c r="A945" s="62"/>
      <c r="B945" s="62"/>
      <c r="C945" s="62"/>
      <c r="F945" s="42"/>
      <c r="G945" s="186"/>
      <c r="H945" s="52"/>
      <c r="I945" s="52"/>
    </row>
    <row r="946">
      <c r="A946" s="62"/>
      <c r="B946" s="62"/>
      <c r="C946" s="62"/>
      <c r="F946" s="42"/>
      <c r="G946" s="186"/>
      <c r="H946" s="52"/>
      <c r="I946" s="52"/>
    </row>
    <row r="947">
      <c r="A947" s="62"/>
      <c r="B947" s="62"/>
      <c r="C947" s="62"/>
      <c r="F947" s="42"/>
      <c r="G947" s="186"/>
      <c r="H947" s="52"/>
      <c r="I947" s="52"/>
    </row>
    <row r="948">
      <c r="A948" s="62"/>
      <c r="B948" s="62"/>
      <c r="C948" s="62"/>
      <c r="F948" s="42"/>
      <c r="G948" s="186"/>
      <c r="H948" s="52"/>
      <c r="I948" s="52"/>
    </row>
    <row r="949">
      <c r="A949" s="62"/>
      <c r="B949" s="62"/>
      <c r="C949" s="62"/>
      <c r="F949" s="42"/>
      <c r="G949" s="186"/>
      <c r="H949" s="52"/>
      <c r="I949" s="52"/>
    </row>
    <row r="950">
      <c r="A950" s="62"/>
      <c r="B950" s="62"/>
      <c r="C950" s="62"/>
      <c r="F950" s="42"/>
      <c r="G950" s="186"/>
      <c r="H950" s="52"/>
      <c r="I950" s="52"/>
    </row>
    <row r="951">
      <c r="A951" s="62"/>
      <c r="B951" s="62"/>
      <c r="C951" s="62"/>
      <c r="F951" s="42"/>
      <c r="G951" s="186"/>
      <c r="H951" s="52"/>
      <c r="I951" s="52"/>
    </row>
    <row r="952">
      <c r="A952" s="62"/>
      <c r="B952" s="62"/>
      <c r="C952" s="62"/>
      <c r="F952" s="42"/>
      <c r="G952" s="186"/>
      <c r="H952" s="52"/>
      <c r="I952" s="52"/>
    </row>
    <row r="953">
      <c r="A953" s="62"/>
      <c r="B953" s="62"/>
      <c r="C953" s="62"/>
      <c r="F953" s="42"/>
      <c r="G953" s="186"/>
      <c r="H953" s="52"/>
      <c r="I953" s="52"/>
    </row>
    <row r="954">
      <c r="A954" s="62"/>
      <c r="B954" s="62"/>
      <c r="C954" s="62"/>
      <c r="F954" s="42"/>
      <c r="G954" s="186"/>
      <c r="H954" s="52"/>
      <c r="I954" s="52"/>
    </row>
    <row r="955">
      <c r="A955" s="62"/>
      <c r="B955" s="62"/>
      <c r="C955" s="62"/>
      <c r="F955" s="42"/>
      <c r="G955" s="186"/>
      <c r="H955" s="52"/>
      <c r="I955" s="52"/>
    </row>
    <row r="956">
      <c r="A956" s="62"/>
      <c r="B956" s="62"/>
      <c r="C956" s="62"/>
      <c r="F956" s="42"/>
      <c r="G956" s="186"/>
      <c r="H956" s="52"/>
      <c r="I956" s="52"/>
    </row>
    <row r="957">
      <c r="A957" s="62"/>
      <c r="B957" s="62"/>
      <c r="C957" s="62"/>
      <c r="F957" s="42"/>
      <c r="G957" s="186"/>
      <c r="H957" s="52"/>
      <c r="I957" s="52"/>
    </row>
    <row r="958">
      <c r="A958" s="62"/>
      <c r="B958" s="62"/>
      <c r="C958" s="62"/>
      <c r="F958" s="42"/>
      <c r="G958" s="186"/>
      <c r="H958" s="52"/>
      <c r="I958" s="52"/>
    </row>
    <row r="959">
      <c r="A959" s="62"/>
      <c r="B959" s="62"/>
      <c r="C959" s="62"/>
      <c r="F959" s="42"/>
      <c r="G959" s="186"/>
      <c r="H959" s="52"/>
      <c r="I959" s="52"/>
    </row>
    <row r="960">
      <c r="A960" s="62"/>
      <c r="B960" s="62"/>
      <c r="C960" s="62"/>
      <c r="F960" s="42"/>
      <c r="G960" s="186"/>
      <c r="H960" s="52"/>
      <c r="I960" s="52"/>
    </row>
    <row r="961">
      <c r="A961" s="62"/>
      <c r="B961" s="62"/>
      <c r="C961" s="62"/>
      <c r="F961" s="42"/>
      <c r="G961" s="186"/>
      <c r="H961" s="52"/>
      <c r="I961" s="52"/>
    </row>
    <row r="962">
      <c r="A962" s="62"/>
      <c r="B962" s="62"/>
      <c r="C962" s="62"/>
      <c r="F962" s="42"/>
      <c r="G962" s="186"/>
      <c r="H962" s="52"/>
      <c r="I962" s="52"/>
    </row>
    <row r="963">
      <c r="A963" s="62"/>
      <c r="B963" s="62"/>
      <c r="C963" s="62"/>
      <c r="F963" s="42"/>
      <c r="G963" s="186"/>
      <c r="H963" s="52"/>
      <c r="I963" s="52"/>
    </row>
    <row r="964">
      <c r="A964" s="62"/>
      <c r="B964" s="62"/>
      <c r="C964" s="62"/>
      <c r="F964" s="42"/>
      <c r="G964" s="186"/>
      <c r="H964" s="52"/>
      <c r="I964" s="52"/>
    </row>
    <row r="965">
      <c r="A965" s="62"/>
      <c r="B965" s="62"/>
      <c r="C965" s="62"/>
      <c r="F965" s="42"/>
      <c r="G965" s="186"/>
      <c r="H965" s="52"/>
      <c r="I965" s="52"/>
    </row>
    <row r="966">
      <c r="A966" s="62"/>
      <c r="B966" s="62"/>
      <c r="C966" s="62"/>
      <c r="F966" s="42"/>
      <c r="G966" s="186"/>
      <c r="H966" s="52"/>
      <c r="I966" s="52"/>
    </row>
    <row r="967">
      <c r="A967" s="62"/>
      <c r="B967" s="62"/>
      <c r="C967" s="62"/>
      <c r="F967" s="42"/>
      <c r="G967" s="186"/>
      <c r="H967" s="52"/>
      <c r="I967" s="52"/>
    </row>
    <row r="968">
      <c r="A968" s="62"/>
      <c r="B968" s="62"/>
      <c r="C968" s="62"/>
      <c r="F968" s="42"/>
      <c r="G968" s="186"/>
      <c r="H968" s="52"/>
      <c r="I968" s="52"/>
    </row>
    <row r="969">
      <c r="A969" s="62"/>
      <c r="B969" s="62"/>
      <c r="C969" s="62"/>
      <c r="F969" s="42"/>
      <c r="G969" s="186"/>
      <c r="H969" s="52"/>
      <c r="I969" s="52"/>
    </row>
    <row r="970">
      <c r="A970" s="62"/>
      <c r="B970" s="62"/>
      <c r="C970" s="62"/>
      <c r="F970" s="42"/>
      <c r="G970" s="186"/>
      <c r="H970" s="52"/>
      <c r="I970" s="52"/>
    </row>
    <row r="971">
      <c r="A971" s="62"/>
      <c r="B971" s="62"/>
      <c r="C971" s="62"/>
      <c r="F971" s="42"/>
      <c r="G971" s="186"/>
      <c r="H971" s="52"/>
      <c r="I971" s="52"/>
    </row>
    <row r="972">
      <c r="A972" s="62"/>
      <c r="B972" s="62"/>
      <c r="C972" s="62"/>
      <c r="F972" s="42"/>
      <c r="G972" s="186"/>
      <c r="H972" s="52"/>
      <c r="I972" s="52"/>
    </row>
    <row r="973">
      <c r="A973" s="62"/>
      <c r="B973" s="62"/>
      <c r="C973" s="62"/>
      <c r="F973" s="42"/>
      <c r="G973" s="186"/>
      <c r="H973" s="52"/>
      <c r="I973" s="52"/>
    </row>
    <row r="974">
      <c r="A974" s="62"/>
      <c r="B974" s="62"/>
      <c r="C974" s="62"/>
      <c r="F974" s="42"/>
      <c r="G974" s="186"/>
      <c r="H974" s="52"/>
      <c r="I974" s="52"/>
    </row>
    <row r="975">
      <c r="A975" s="62"/>
      <c r="B975" s="62"/>
      <c r="C975" s="62"/>
      <c r="F975" s="42"/>
      <c r="G975" s="186"/>
      <c r="H975" s="52"/>
      <c r="I975" s="52"/>
    </row>
    <row r="976">
      <c r="A976" s="62"/>
      <c r="B976" s="62"/>
      <c r="C976" s="62"/>
      <c r="F976" s="42"/>
      <c r="G976" s="186"/>
      <c r="H976" s="52"/>
      <c r="I976" s="52"/>
    </row>
    <row r="977">
      <c r="A977" s="62"/>
      <c r="B977" s="62"/>
      <c r="C977" s="62"/>
      <c r="F977" s="42"/>
      <c r="G977" s="186"/>
      <c r="H977" s="52"/>
      <c r="I977" s="52"/>
    </row>
    <row r="978">
      <c r="A978" s="62"/>
      <c r="B978" s="62"/>
      <c r="C978" s="62"/>
      <c r="F978" s="42"/>
      <c r="G978" s="186"/>
      <c r="H978" s="52"/>
      <c r="I978" s="52"/>
    </row>
    <row r="979">
      <c r="A979" s="62"/>
      <c r="B979" s="62"/>
      <c r="C979" s="62"/>
      <c r="F979" s="42"/>
      <c r="G979" s="186"/>
      <c r="H979" s="52"/>
      <c r="I979" s="52"/>
    </row>
    <row r="980">
      <c r="A980" s="62"/>
      <c r="B980" s="62"/>
      <c r="C980" s="62"/>
      <c r="F980" s="42"/>
      <c r="G980" s="186"/>
      <c r="H980" s="52"/>
      <c r="I980" s="52"/>
    </row>
    <row r="981">
      <c r="A981" s="62"/>
      <c r="B981" s="62"/>
      <c r="C981" s="62"/>
      <c r="F981" s="42"/>
      <c r="G981" s="186"/>
      <c r="H981" s="52"/>
      <c r="I981" s="52"/>
    </row>
    <row r="982">
      <c r="A982" s="62"/>
      <c r="B982" s="62"/>
      <c r="C982" s="62"/>
      <c r="F982" s="42"/>
      <c r="G982" s="186"/>
      <c r="H982" s="52"/>
      <c r="I982" s="52"/>
    </row>
    <row r="983">
      <c r="A983" s="62"/>
      <c r="B983" s="62"/>
      <c r="C983" s="62"/>
      <c r="F983" s="42"/>
      <c r="G983" s="186"/>
      <c r="H983" s="52"/>
      <c r="I983" s="52"/>
    </row>
    <row r="984">
      <c r="A984" s="62"/>
      <c r="B984" s="62"/>
      <c r="C984" s="62"/>
      <c r="F984" s="42"/>
      <c r="G984" s="186"/>
      <c r="H984" s="52"/>
      <c r="I984" s="52"/>
    </row>
    <row r="985">
      <c r="A985" s="62"/>
      <c r="B985" s="62"/>
      <c r="C985" s="62"/>
      <c r="F985" s="42"/>
      <c r="G985" s="186"/>
      <c r="H985" s="52"/>
      <c r="I985" s="52"/>
    </row>
    <row r="986">
      <c r="A986" s="62"/>
      <c r="B986" s="62"/>
      <c r="C986" s="62"/>
      <c r="F986" s="42"/>
      <c r="G986" s="186"/>
      <c r="H986" s="52"/>
      <c r="I986" s="52"/>
    </row>
    <row r="987">
      <c r="A987" s="62"/>
      <c r="B987" s="62"/>
      <c r="C987" s="62"/>
      <c r="F987" s="42"/>
      <c r="G987" s="186"/>
      <c r="H987" s="52"/>
      <c r="I987" s="52"/>
    </row>
    <row r="988">
      <c r="A988" s="62"/>
      <c r="B988" s="62"/>
      <c r="C988" s="62"/>
      <c r="F988" s="42"/>
      <c r="G988" s="186"/>
      <c r="H988" s="52"/>
      <c r="I988" s="52"/>
    </row>
    <row r="989">
      <c r="A989" s="62"/>
      <c r="B989" s="62"/>
      <c r="C989" s="62"/>
      <c r="F989" s="42"/>
      <c r="G989" s="186"/>
      <c r="H989" s="52"/>
      <c r="I989" s="52"/>
    </row>
    <row r="990">
      <c r="A990" s="62"/>
      <c r="B990" s="62"/>
      <c r="C990" s="62"/>
      <c r="F990" s="42"/>
      <c r="G990" s="186"/>
      <c r="H990" s="52"/>
      <c r="I990" s="52"/>
    </row>
    <row r="991">
      <c r="A991" s="62"/>
      <c r="B991" s="62"/>
      <c r="C991" s="62"/>
      <c r="F991" s="42"/>
      <c r="G991" s="186"/>
      <c r="H991" s="52"/>
      <c r="I991" s="52"/>
    </row>
    <row r="992">
      <c r="A992" s="62"/>
      <c r="B992" s="62"/>
      <c r="C992" s="62"/>
      <c r="F992" s="42"/>
      <c r="G992" s="186"/>
      <c r="H992" s="52"/>
      <c r="I992" s="52"/>
    </row>
    <row r="993">
      <c r="A993" s="62"/>
      <c r="B993" s="62"/>
      <c r="C993" s="62"/>
      <c r="F993" s="42"/>
      <c r="G993" s="186"/>
      <c r="H993" s="52"/>
      <c r="I993" s="52"/>
    </row>
    <row r="994">
      <c r="A994" s="62"/>
      <c r="B994" s="62"/>
      <c r="C994" s="62"/>
      <c r="F994" s="42"/>
      <c r="G994" s="186"/>
      <c r="H994" s="52"/>
      <c r="I994" s="52"/>
    </row>
    <row r="995">
      <c r="A995" s="62"/>
      <c r="B995" s="62"/>
      <c r="C995" s="62"/>
      <c r="F995" s="42"/>
      <c r="G995" s="186"/>
      <c r="H995" s="52"/>
      <c r="I995" s="52"/>
    </row>
    <row r="996">
      <c r="A996" s="62"/>
      <c r="B996" s="62"/>
      <c r="C996" s="62"/>
      <c r="F996" s="42"/>
      <c r="G996" s="186"/>
      <c r="H996" s="52"/>
      <c r="I996" s="52"/>
    </row>
    <row r="997">
      <c r="A997" s="62"/>
      <c r="B997" s="62"/>
      <c r="C997" s="62"/>
      <c r="F997" s="42"/>
      <c r="G997" s="186"/>
      <c r="H997" s="52"/>
      <c r="I997" s="52"/>
    </row>
    <row r="998">
      <c r="A998" s="62"/>
      <c r="B998" s="62"/>
      <c r="C998" s="62"/>
      <c r="F998" s="42"/>
      <c r="G998" s="186"/>
      <c r="H998" s="52"/>
      <c r="I998" s="52"/>
    </row>
    <row r="999">
      <c r="A999" s="62"/>
      <c r="B999" s="62"/>
      <c r="C999" s="62"/>
      <c r="F999" s="42"/>
      <c r="G999" s="186"/>
      <c r="H999" s="52"/>
      <c r="I999" s="52"/>
    </row>
    <row r="1000">
      <c r="A1000" s="62"/>
      <c r="B1000" s="62"/>
      <c r="C1000" s="62"/>
      <c r="F1000" s="49"/>
      <c r="G1000" s="186"/>
      <c r="H1000" s="52"/>
      <c r="I1000" s="52"/>
    </row>
  </sheetData>
  <mergeCells count="4">
    <mergeCell ref="D1:D1000"/>
    <mergeCell ref="F1:F1000"/>
    <mergeCell ref="E2:E3"/>
    <mergeCell ref="E4:E1000"/>
  </mergeCells>
  <dataValidations>
    <dataValidation type="list" allowBlank="1" showErrorMessage="1" sqref="E2">
      <formula1>B2:B1000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2.88"/>
    <col customWidth="1" hidden="1" min="2" max="2" width="1.63"/>
    <col customWidth="1" hidden="1" min="3" max="3" width="48.5"/>
    <col customWidth="1" hidden="1" min="4" max="4" width="65.88"/>
    <col customWidth="1" min="5" max="6" width="6.0"/>
    <col customWidth="1" min="7" max="7" width="7.25"/>
    <col customWidth="1" min="8" max="14" width="7.38"/>
    <col customWidth="1" min="15" max="15" width="2.0"/>
    <col customWidth="1" min="16" max="16" width="5.0"/>
    <col customWidth="1" min="17" max="17" width="6.0"/>
    <col customWidth="1" min="18" max="18" width="7.25"/>
    <col customWidth="1" min="19" max="25" width="7.38"/>
    <col customWidth="1" min="26" max="26" width="2.5"/>
    <col customWidth="1" min="27" max="27" width="5.5"/>
    <col customWidth="1" min="28" max="28" width="6.0"/>
    <col customWidth="1" min="29" max="29" width="7.25"/>
    <col customWidth="1" min="30" max="36" width="7.38"/>
  </cols>
  <sheetData>
    <row r="1">
      <c r="A1" s="173" t="s">
        <v>2061</v>
      </c>
      <c r="B1" s="39"/>
      <c r="C1" s="38" t="str">
        <f>"Itens necessários pra boostar '" &amp; A2 &amp; "'"</f>
        <v>Itens necessários pra boostar 'Fairy'</v>
      </c>
      <c r="D1" s="175" t="s">
        <v>2062</v>
      </c>
      <c r="E1" s="176" t="s">
        <v>2063</v>
      </c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</row>
    <row r="2">
      <c r="A2" s="178" t="s">
        <v>728</v>
      </c>
      <c r="B2" s="42"/>
      <c r="C2" s="43" t="str">
        <f>IFERROR(__xludf.DUMMYFUNCTION("TRANSPOSE(QUERY(Boost!A:Z, ""SELECT B, C, D, E, F, G, H, I , J, K, L, M, N, O, P, Q, R, S, T, U, V, W, X, Y, Z WHERE A = '""&amp;A2&amp;""'"", 0))"),"fairy fragment")</f>
        <v>fairy fragment</v>
      </c>
      <c r="E2" s="180" t="str">
        <f>IFERROR(__xludf.DUMMYFUNCTION("IMPORTRANGE(""https://docs.google.com/spreadsheets/d/1ID3qu1P4Zey82OSLntg4O0xoZlY1hGK58tte0D_Cv_s/edit?pli=1&amp;gid=987016468#gid=987016468"",""Fragments!A1:AF3"")"),"Menor valor (477 dias)")</f>
        <v>Menor valor (477 dias)</v>
      </c>
      <c r="F2" s="8"/>
      <c r="G2" s="8"/>
      <c r="H2" s="8"/>
      <c r="I2" s="8"/>
      <c r="J2" s="8"/>
      <c r="K2" s="8"/>
      <c r="L2" s="8"/>
      <c r="M2" s="8"/>
      <c r="N2" s="9"/>
      <c r="O2" s="182"/>
      <c r="P2" s="180" t="str">
        <f>IFERROR(__xludf.DUMMYFUNCTION("""COMPUTED_VALUE"""),"Média (477 dias)")</f>
        <v>Média (477 dias)</v>
      </c>
      <c r="Q2" s="8"/>
      <c r="R2" s="8"/>
      <c r="S2" s="8"/>
      <c r="T2" s="8"/>
      <c r="U2" s="8"/>
      <c r="V2" s="8"/>
      <c r="W2" s="8"/>
      <c r="X2" s="8"/>
      <c r="Y2" s="9"/>
      <c r="Z2" s="182"/>
      <c r="AA2" s="180" t="str">
        <f>IFERROR(__xludf.DUMMYFUNCTION("""COMPUTED_VALUE"""),"Maior valor (477 dias)")</f>
        <v>Maior valor (477 dias)</v>
      </c>
      <c r="AB2" s="8"/>
      <c r="AC2" s="8"/>
      <c r="AD2" s="8"/>
      <c r="AE2" s="8"/>
      <c r="AF2" s="8"/>
      <c r="AG2" s="8"/>
      <c r="AH2" s="8"/>
      <c r="AI2" s="8"/>
      <c r="AJ2" s="9"/>
    </row>
    <row r="3">
      <c r="B3" s="42"/>
      <c r="C3" s="44" t="str">
        <f>IFERROR(__xludf.DUMMYFUNCTION("""COMPUTED_VALUE"""),"heart stone")</f>
        <v>heart stone</v>
      </c>
      <c r="E3" s="183" t="str">
        <f>IFERROR(__xludf.DUMMYFUNCTION("""COMPUTED_VALUE"""),"0-5")</f>
        <v>0-5</v>
      </c>
      <c r="F3" s="184">
        <f>IFERROR(__xludf.DUMMYFUNCTION("""COMPUTED_VALUE"""),45818.0)</f>
        <v>45818</v>
      </c>
      <c r="G3" s="184">
        <f>IFERROR(__xludf.DUMMYFUNCTION("""COMPUTED_VALUE"""),45976.0)</f>
        <v>45976</v>
      </c>
      <c r="H3" s="185" t="str">
        <f>IFERROR(__xludf.DUMMYFUNCTION("""COMPUTED_VALUE"""),"16-20")</f>
        <v>16-20</v>
      </c>
      <c r="I3" s="185" t="str">
        <f>IFERROR(__xludf.DUMMYFUNCTION("""COMPUTED_VALUE"""),"21-25")</f>
        <v>21-25</v>
      </c>
      <c r="J3" s="185" t="str">
        <f>IFERROR(__xludf.DUMMYFUNCTION("""COMPUTED_VALUE"""),"26-30")</f>
        <v>26-30</v>
      </c>
      <c r="K3" s="185" t="str">
        <f>IFERROR(__xludf.DUMMYFUNCTION("""COMPUTED_VALUE"""),"31-35")</f>
        <v>31-35</v>
      </c>
      <c r="L3" s="185" t="str">
        <f>IFERROR(__xludf.DUMMYFUNCTION("""COMPUTED_VALUE"""),"36-40")</f>
        <v>36-40</v>
      </c>
      <c r="M3" s="185" t="str">
        <f>IFERROR(__xludf.DUMMYFUNCTION("""COMPUTED_VALUE"""),"41-45")</f>
        <v>41-45</v>
      </c>
      <c r="N3" s="187" t="str">
        <f>IFERROR(__xludf.DUMMYFUNCTION("""COMPUTED_VALUE"""),"46-50")</f>
        <v>46-50</v>
      </c>
      <c r="P3" s="183" t="str">
        <f>IFERROR(__xludf.DUMMYFUNCTION("""COMPUTED_VALUE"""),"0-5")</f>
        <v>0-5</v>
      </c>
      <c r="Q3" s="184">
        <f>IFERROR(__xludf.DUMMYFUNCTION("""COMPUTED_VALUE"""),45818.0)</f>
        <v>45818</v>
      </c>
      <c r="R3" s="184">
        <f>IFERROR(__xludf.DUMMYFUNCTION("""COMPUTED_VALUE"""),45976.0)</f>
        <v>45976</v>
      </c>
      <c r="S3" s="185" t="str">
        <f>IFERROR(__xludf.DUMMYFUNCTION("""COMPUTED_VALUE"""),"16-20")</f>
        <v>16-20</v>
      </c>
      <c r="T3" s="185" t="str">
        <f>IFERROR(__xludf.DUMMYFUNCTION("""COMPUTED_VALUE"""),"21-25")</f>
        <v>21-25</v>
      </c>
      <c r="U3" s="185" t="str">
        <f>IFERROR(__xludf.DUMMYFUNCTION("""COMPUTED_VALUE"""),"26-30")</f>
        <v>26-30</v>
      </c>
      <c r="V3" s="185" t="str">
        <f>IFERROR(__xludf.DUMMYFUNCTION("""COMPUTED_VALUE"""),"31-35")</f>
        <v>31-35</v>
      </c>
      <c r="W3" s="185" t="str">
        <f>IFERROR(__xludf.DUMMYFUNCTION("""COMPUTED_VALUE"""),"36-40")</f>
        <v>36-40</v>
      </c>
      <c r="X3" s="185" t="str">
        <f>IFERROR(__xludf.DUMMYFUNCTION("""COMPUTED_VALUE"""),"41-45")</f>
        <v>41-45</v>
      </c>
      <c r="Y3" s="187" t="str">
        <f>IFERROR(__xludf.DUMMYFUNCTION("""COMPUTED_VALUE"""),"46-50")</f>
        <v>46-50</v>
      </c>
      <c r="AA3" s="183" t="str">
        <f>IFERROR(__xludf.DUMMYFUNCTION("""COMPUTED_VALUE"""),"0-5")</f>
        <v>0-5</v>
      </c>
      <c r="AB3" s="184">
        <f>IFERROR(__xludf.DUMMYFUNCTION("""COMPUTED_VALUE"""),45818.0)</f>
        <v>45818</v>
      </c>
      <c r="AC3" s="184">
        <f>IFERROR(__xludf.DUMMYFUNCTION("""COMPUTED_VALUE"""),45976.0)</f>
        <v>45976</v>
      </c>
      <c r="AD3" s="185" t="str">
        <f>IFERROR(__xludf.DUMMYFUNCTION("""COMPUTED_VALUE"""),"16-20")</f>
        <v>16-20</v>
      </c>
      <c r="AE3" s="185" t="str">
        <f>IFERROR(__xludf.DUMMYFUNCTION("""COMPUTED_VALUE"""),"21-25")</f>
        <v>21-25</v>
      </c>
      <c r="AF3" s="185" t="str">
        <f>IFERROR(__xludf.DUMMYFUNCTION("""COMPUTED_VALUE"""),"26-30")</f>
        <v>26-30</v>
      </c>
      <c r="AG3" s="185" t="str">
        <f>IFERROR(__xludf.DUMMYFUNCTION("""COMPUTED_VALUE"""),"31-35")</f>
        <v>31-35</v>
      </c>
      <c r="AH3" s="185" t="str">
        <f>IFERROR(__xludf.DUMMYFUNCTION("""COMPUTED_VALUE"""),"36-40")</f>
        <v>36-40</v>
      </c>
      <c r="AI3" s="185" t="str">
        <f>IFERROR(__xludf.DUMMYFUNCTION("""COMPUTED_VALUE"""),"41-45")</f>
        <v>41-45</v>
      </c>
      <c r="AJ3" s="187" t="str">
        <f>IFERROR(__xludf.DUMMYFUNCTION("""COMPUTED_VALUE"""),"46-50")</f>
        <v>46-50</v>
      </c>
    </row>
    <row r="4">
      <c r="A4" s="46"/>
      <c r="B4" s="42"/>
      <c r="C4" s="43" t="str">
        <f>IFERROR(__xludf.DUMMYFUNCTION("""COMPUTED_VALUE"""),"mimic clothes (Mr. Mime)")</f>
        <v>mimic clothes (Mr. Mime)</v>
      </c>
      <c r="E4" s="188">
        <f>IFERROR(__xludf.DUMMYFUNCTION("""COMPUTED_VALUE"""),10.0)</f>
        <v>10</v>
      </c>
      <c r="F4" s="189">
        <f>IFERROR(__xludf.DUMMYFUNCTION("""COMPUTED_VALUE"""),20.0)</f>
        <v>20</v>
      </c>
      <c r="G4" s="189">
        <f>IFERROR(__xludf.DUMMYFUNCTION("""COMPUTED_VALUE"""),55.0)</f>
        <v>55</v>
      </c>
      <c r="H4" s="189">
        <f>IFERROR(__xludf.DUMMYFUNCTION("""COMPUTED_VALUE"""),130.0)</f>
        <v>130</v>
      </c>
      <c r="I4" s="189">
        <f>IFERROR(__xludf.DUMMYFUNCTION("""COMPUTED_VALUE"""),280.0)</f>
        <v>280</v>
      </c>
      <c r="J4" s="189">
        <f>IFERROR(__xludf.DUMMYFUNCTION("""COMPUTED_VALUE"""),452.0)</f>
        <v>452</v>
      </c>
      <c r="K4" s="189">
        <f>IFERROR(__xludf.DUMMYFUNCTION("""COMPUTED_VALUE"""),801.0)</f>
        <v>801</v>
      </c>
      <c r="L4" s="189">
        <f>IFERROR(__xludf.DUMMYFUNCTION("""COMPUTED_VALUE"""),1202.0)</f>
        <v>1202</v>
      </c>
      <c r="M4" s="189">
        <f>IFERROR(__xludf.DUMMYFUNCTION("""COMPUTED_VALUE"""),2303.0)</f>
        <v>2303</v>
      </c>
      <c r="N4" s="190">
        <f>IFERROR(__xludf.DUMMYFUNCTION("""COMPUTED_VALUE"""),2800.0)</f>
        <v>2800</v>
      </c>
      <c r="P4" s="188">
        <f>IFERROR(__xludf.DUMMYFUNCTION("""COMPUTED_VALUE"""),20.0)</f>
        <v>20</v>
      </c>
      <c r="Q4" s="189">
        <f>IFERROR(__xludf.DUMMYFUNCTION("""COMPUTED_VALUE"""),44.0)</f>
        <v>44</v>
      </c>
      <c r="R4" s="189">
        <f>IFERROR(__xludf.DUMMYFUNCTION("""COMPUTED_VALUE"""),105.0)</f>
        <v>105</v>
      </c>
      <c r="S4" s="189">
        <f>IFERROR(__xludf.DUMMYFUNCTION("""COMPUTED_VALUE"""),217.0)</f>
        <v>217</v>
      </c>
      <c r="T4" s="189">
        <f>IFERROR(__xludf.DUMMYFUNCTION("""COMPUTED_VALUE"""),391.0)</f>
        <v>391</v>
      </c>
      <c r="U4" s="189">
        <f>IFERROR(__xludf.DUMMYFUNCTION("""COMPUTED_VALUE"""),732.0)</f>
        <v>732</v>
      </c>
      <c r="V4" s="189">
        <f>IFERROR(__xludf.DUMMYFUNCTION("""COMPUTED_VALUE"""),1160.0)</f>
        <v>1160</v>
      </c>
      <c r="W4" s="189">
        <f>IFERROR(__xludf.DUMMYFUNCTION("""COMPUTED_VALUE"""),1861.0)</f>
        <v>1861</v>
      </c>
      <c r="X4" s="189">
        <f>IFERROR(__xludf.DUMMYFUNCTION("""COMPUTED_VALUE"""),2672.0)</f>
        <v>2672</v>
      </c>
      <c r="Y4" s="190">
        <f>IFERROR(__xludf.DUMMYFUNCTION("""COMPUTED_VALUE"""),3021.0)</f>
        <v>3021</v>
      </c>
      <c r="AA4" s="188">
        <f>IFERROR(__xludf.DUMMYFUNCTION("""COMPUTED_VALUE"""),30.0)</f>
        <v>30</v>
      </c>
      <c r="AB4" s="189">
        <f>IFERROR(__xludf.DUMMYFUNCTION("""COMPUTED_VALUE"""),60.0)</f>
        <v>60</v>
      </c>
      <c r="AC4" s="189">
        <f>IFERROR(__xludf.DUMMYFUNCTION("""COMPUTED_VALUE"""),150.0)</f>
        <v>150</v>
      </c>
      <c r="AD4" s="189">
        <f>IFERROR(__xludf.DUMMYFUNCTION("""COMPUTED_VALUE"""),300.0)</f>
        <v>300</v>
      </c>
      <c r="AE4" s="189">
        <f>IFERROR(__xludf.DUMMYFUNCTION("""COMPUTED_VALUE"""),500.0)</f>
        <v>500</v>
      </c>
      <c r="AF4" s="189">
        <f>IFERROR(__xludf.DUMMYFUNCTION("""COMPUTED_VALUE"""),1000.0)</f>
        <v>1000</v>
      </c>
      <c r="AG4" s="189">
        <f>IFERROR(__xludf.DUMMYFUNCTION("""COMPUTED_VALUE"""),1500.0)</f>
        <v>1500</v>
      </c>
      <c r="AH4" s="189">
        <f>IFERROR(__xludf.DUMMYFUNCTION("""COMPUTED_VALUE"""),2497.0)</f>
        <v>2497</v>
      </c>
      <c r="AI4" s="189">
        <f>IFERROR(__xludf.DUMMYFUNCTION("""COMPUTED_VALUE"""),3000.0)</f>
        <v>3000</v>
      </c>
      <c r="AJ4" s="190">
        <f>IFERROR(__xludf.DUMMYFUNCTION("""COMPUTED_VALUE"""),3208.0)</f>
        <v>3208</v>
      </c>
    </row>
    <row r="5">
      <c r="B5" s="42"/>
      <c r="C5" s="44" t="str">
        <f>IFERROR(__xludf.DUMMYFUNCTION("""COMPUTED_VALUE"""),"pink fairy bow (Sylveon)")</f>
        <v>pink fairy bow (Sylveon)</v>
      </c>
      <c r="E5" s="191" t="s">
        <v>2066</v>
      </c>
    </row>
    <row r="6">
      <c r="B6" s="42"/>
      <c r="C6" s="43" t="str">
        <f>IFERROR(__xludf.DUMMYFUNCTION("""COMPUTED_VALUE"""),"mystic petal (Florges)")</f>
        <v>mystic petal (Florges)</v>
      </c>
    </row>
    <row r="7">
      <c r="B7" s="42"/>
      <c r="C7" s="44" t="str">
        <f>IFERROR(__xludf.DUMMYFUNCTION("""COMPUTED_VALUE"""),"yellow mimikyu head (Mimikyu)")</f>
        <v>yellow mimikyu head (Mimikyu)</v>
      </c>
    </row>
    <row r="8">
      <c r="B8" s="42"/>
      <c r="C8" s="47"/>
      <c r="D8" s="46"/>
    </row>
    <row r="9">
      <c r="B9" s="42"/>
      <c r="C9" s="47"/>
    </row>
    <row r="10">
      <c r="B10" s="42"/>
      <c r="C10" s="47"/>
    </row>
    <row r="11">
      <c r="B11" s="42"/>
      <c r="C11" s="47"/>
    </row>
    <row r="12">
      <c r="B12" s="42"/>
      <c r="C12" s="47"/>
    </row>
    <row r="13">
      <c r="B13" s="42"/>
      <c r="C13" s="47"/>
    </row>
    <row r="14">
      <c r="B14" s="42"/>
      <c r="C14" s="47"/>
    </row>
    <row r="15">
      <c r="B15" s="42"/>
      <c r="C15" s="47"/>
    </row>
    <row r="16">
      <c r="B16" s="42"/>
      <c r="C16" s="47"/>
    </row>
    <row r="17">
      <c r="B17" s="42"/>
      <c r="C17" s="47"/>
    </row>
    <row r="18">
      <c r="B18" s="42"/>
      <c r="C18" s="47"/>
    </row>
    <row r="19">
      <c r="B19" s="42"/>
      <c r="C19" s="47"/>
    </row>
    <row r="20">
      <c r="B20" s="42"/>
      <c r="C20" s="47"/>
    </row>
    <row r="21">
      <c r="B21" s="42"/>
      <c r="C21" s="47"/>
    </row>
    <row r="22">
      <c r="B22" s="42"/>
      <c r="C22" s="47"/>
    </row>
    <row r="23">
      <c r="B23" s="42"/>
      <c r="C23" s="47"/>
    </row>
    <row r="24">
      <c r="B24" s="42"/>
      <c r="C24" s="47"/>
    </row>
    <row r="25">
      <c r="B25" s="42"/>
      <c r="C25" s="47"/>
    </row>
    <row r="26">
      <c r="B26" s="42"/>
      <c r="C26" s="47"/>
    </row>
    <row r="27">
      <c r="B27" s="42"/>
      <c r="C27" s="47"/>
    </row>
    <row r="28">
      <c r="B28" s="42"/>
      <c r="C28" s="47"/>
    </row>
    <row r="29">
      <c r="B29" s="42"/>
      <c r="C29" s="47"/>
    </row>
    <row r="30">
      <c r="B30" s="42"/>
      <c r="C30" s="47"/>
    </row>
    <row r="31">
      <c r="B31" s="42"/>
      <c r="C31" s="47"/>
    </row>
    <row r="32">
      <c r="B32" s="42"/>
      <c r="C32" s="47"/>
    </row>
    <row r="33">
      <c r="B33" s="42"/>
      <c r="C33" s="47"/>
    </row>
    <row r="34">
      <c r="B34" s="42"/>
      <c r="C34" s="47"/>
    </row>
    <row r="35">
      <c r="B35" s="42"/>
      <c r="C35" s="47"/>
    </row>
    <row r="36">
      <c r="B36" s="42"/>
      <c r="C36" s="47"/>
    </row>
    <row r="37">
      <c r="B37" s="42"/>
      <c r="C37" s="47"/>
    </row>
    <row r="38">
      <c r="B38" s="42"/>
      <c r="C38" s="47"/>
    </row>
    <row r="39">
      <c r="B39" s="42"/>
      <c r="C39" s="47"/>
    </row>
    <row r="40">
      <c r="B40" s="42"/>
      <c r="C40" s="47"/>
    </row>
    <row r="41">
      <c r="B41" s="42"/>
      <c r="C41" s="47"/>
    </row>
    <row r="42">
      <c r="B42" s="42"/>
      <c r="C42" s="47"/>
    </row>
    <row r="43">
      <c r="B43" s="42"/>
      <c r="C43" s="47"/>
    </row>
    <row r="44">
      <c r="B44" s="42"/>
      <c r="C44" s="47"/>
    </row>
    <row r="45">
      <c r="B45" s="42"/>
      <c r="C45" s="47"/>
    </row>
    <row r="46">
      <c r="B46" s="42"/>
      <c r="C46" s="47"/>
    </row>
    <row r="47">
      <c r="B47" s="42"/>
      <c r="C47" s="47"/>
    </row>
    <row r="48">
      <c r="B48" s="42"/>
      <c r="C48" s="47"/>
    </row>
    <row r="49">
      <c r="B49" s="42"/>
      <c r="C49" s="47"/>
    </row>
    <row r="50">
      <c r="B50" s="42"/>
      <c r="C50" s="47"/>
    </row>
    <row r="51">
      <c r="B51" s="42"/>
      <c r="C51" s="47"/>
    </row>
    <row r="52">
      <c r="B52" s="42"/>
      <c r="C52" s="47"/>
    </row>
    <row r="53">
      <c r="B53" s="42"/>
      <c r="C53" s="47"/>
    </row>
    <row r="54">
      <c r="B54" s="42"/>
      <c r="C54" s="47"/>
    </row>
    <row r="55">
      <c r="B55" s="42"/>
      <c r="C55" s="47"/>
    </row>
    <row r="56">
      <c r="B56" s="42"/>
      <c r="C56" s="47"/>
    </row>
    <row r="57">
      <c r="B57" s="42"/>
      <c r="C57" s="47"/>
    </row>
    <row r="58">
      <c r="B58" s="42"/>
      <c r="C58" s="47"/>
    </row>
    <row r="59">
      <c r="B59" s="42"/>
      <c r="C59" s="47"/>
    </row>
    <row r="60">
      <c r="B60" s="42"/>
      <c r="C60" s="47"/>
    </row>
    <row r="61">
      <c r="B61" s="42"/>
      <c r="C61" s="47"/>
    </row>
    <row r="62">
      <c r="B62" s="42"/>
      <c r="C62" s="47"/>
    </row>
    <row r="63">
      <c r="B63" s="42"/>
      <c r="C63" s="47"/>
    </row>
    <row r="64">
      <c r="B64" s="42"/>
      <c r="C64" s="47"/>
    </row>
    <row r="65">
      <c r="B65" s="42"/>
      <c r="C65" s="47"/>
    </row>
    <row r="66">
      <c r="B66" s="42"/>
      <c r="C66" s="47"/>
    </row>
    <row r="67">
      <c r="B67" s="42"/>
      <c r="C67" s="47"/>
    </row>
    <row r="68">
      <c r="B68" s="42"/>
      <c r="C68" s="47"/>
    </row>
    <row r="69">
      <c r="B69" s="42"/>
      <c r="C69" s="47"/>
    </row>
    <row r="70">
      <c r="B70" s="42"/>
      <c r="C70" s="47"/>
    </row>
    <row r="71">
      <c r="B71" s="42"/>
      <c r="C71" s="47"/>
    </row>
    <row r="72">
      <c r="B72" s="42"/>
      <c r="C72" s="47"/>
    </row>
    <row r="73">
      <c r="B73" s="42"/>
      <c r="C73" s="47"/>
    </row>
    <row r="74">
      <c r="B74" s="42"/>
      <c r="C74" s="47"/>
    </row>
    <row r="75">
      <c r="B75" s="42"/>
      <c r="C75" s="47"/>
    </row>
    <row r="76">
      <c r="B76" s="42"/>
      <c r="C76" s="47"/>
    </row>
    <row r="77">
      <c r="B77" s="42"/>
      <c r="C77" s="47"/>
    </row>
    <row r="78">
      <c r="B78" s="42"/>
      <c r="C78" s="47"/>
    </row>
    <row r="79">
      <c r="B79" s="42"/>
      <c r="C79" s="47"/>
    </row>
    <row r="80">
      <c r="B80" s="42"/>
      <c r="C80" s="47"/>
    </row>
    <row r="81">
      <c r="B81" s="42"/>
      <c r="C81" s="47"/>
    </row>
    <row r="82">
      <c r="B82" s="42"/>
      <c r="C82" s="47"/>
    </row>
    <row r="83">
      <c r="B83" s="42"/>
      <c r="C83" s="47"/>
    </row>
    <row r="84">
      <c r="B84" s="42"/>
      <c r="C84" s="47"/>
    </row>
    <row r="85">
      <c r="B85" s="42"/>
      <c r="C85" s="47"/>
    </row>
    <row r="86">
      <c r="B86" s="42"/>
      <c r="C86" s="47"/>
    </row>
    <row r="87">
      <c r="B87" s="42"/>
      <c r="C87" s="47"/>
    </row>
    <row r="88">
      <c r="B88" s="42"/>
      <c r="C88" s="47"/>
    </row>
    <row r="89">
      <c r="B89" s="42"/>
      <c r="C89" s="47"/>
    </row>
    <row r="90">
      <c r="B90" s="42"/>
      <c r="C90" s="47"/>
    </row>
    <row r="91">
      <c r="B91" s="42"/>
      <c r="C91" s="47"/>
    </row>
    <row r="92">
      <c r="B92" s="42"/>
      <c r="C92" s="47"/>
    </row>
    <row r="93">
      <c r="B93" s="42"/>
      <c r="C93" s="47"/>
    </row>
    <row r="94">
      <c r="B94" s="42"/>
      <c r="C94" s="47"/>
    </row>
    <row r="95">
      <c r="B95" s="42"/>
      <c r="C95" s="47"/>
    </row>
    <row r="96">
      <c r="B96" s="42"/>
      <c r="C96" s="47"/>
    </row>
    <row r="97">
      <c r="B97" s="42"/>
      <c r="C97" s="47"/>
    </row>
    <row r="98">
      <c r="B98" s="42"/>
      <c r="C98" s="47"/>
    </row>
    <row r="99">
      <c r="B99" s="42"/>
      <c r="C99" s="47"/>
    </row>
    <row r="100">
      <c r="B100" s="42"/>
      <c r="C100" s="47"/>
    </row>
    <row r="101">
      <c r="B101" s="42"/>
      <c r="C101" s="47"/>
    </row>
    <row r="102">
      <c r="B102" s="42"/>
      <c r="C102" s="47"/>
    </row>
    <row r="103">
      <c r="B103" s="42"/>
      <c r="C103" s="47"/>
    </row>
    <row r="104">
      <c r="B104" s="42"/>
      <c r="C104" s="47"/>
    </row>
    <row r="105">
      <c r="B105" s="42"/>
      <c r="C105" s="47"/>
    </row>
    <row r="106">
      <c r="B106" s="42"/>
      <c r="C106" s="47"/>
    </row>
    <row r="107">
      <c r="B107" s="42"/>
      <c r="C107" s="47"/>
    </row>
    <row r="108">
      <c r="B108" s="42"/>
      <c r="C108" s="47"/>
    </row>
    <row r="109">
      <c r="B109" s="42"/>
      <c r="C109" s="47"/>
    </row>
    <row r="110">
      <c r="B110" s="42"/>
      <c r="C110" s="47"/>
    </row>
    <row r="111">
      <c r="B111" s="42"/>
      <c r="C111" s="47"/>
    </row>
    <row r="112">
      <c r="B112" s="42"/>
      <c r="C112" s="47"/>
    </row>
    <row r="113">
      <c r="B113" s="42"/>
      <c r="C113" s="47"/>
    </row>
    <row r="114">
      <c r="B114" s="42"/>
      <c r="C114" s="47"/>
    </row>
    <row r="115">
      <c r="B115" s="42"/>
      <c r="C115" s="47"/>
    </row>
    <row r="116">
      <c r="B116" s="42"/>
      <c r="C116" s="47"/>
    </row>
    <row r="117">
      <c r="B117" s="42"/>
      <c r="C117" s="47"/>
    </row>
    <row r="118">
      <c r="B118" s="42"/>
      <c r="C118" s="47"/>
    </row>
    <row r="119">
      <c r="B119" s="42"/>
      <c r="C119" s="47"/>
    </row>
    <row r="120">
      <c r="B120" s="42"/>
      <c r="C120" s="47"/>
    </row>
    <row r="121">
      <c r="B121" s="42"/>
      <c r="C121" s="47"/>
    </row>
    <row r="122">
      <c r="B122" s="42"/>
      <c r="C122" s="47"/>
    </row>
    <row r="123">
      <c r="B123" s="42"/>
      <c r="C123" s="47"/>
    </row>
    <row r="124">
      <c r="B124" s="42"/>
      <c r="C124" s="47"/>
    </row>
    <row r="125">
      <c r="B125" s="42"/>
      <c r="C125" s="47"/>
    </row>
    <row r="126">
      <c r="B126" s="42"/>
      <c r="C126" s="47"/>
    </row>
    <row r="127">
      <c r="B127" s="42"/>
      <c r="C127" s="47"/>
    </row>
    <row r="128">
      <c r="B128" s="42"/>
      <c r="C128" s="47"/>
    </row>
    <row r="129">
      <c r="B129" s="42"/>
      <c r="C129" s="47"/>
    </row>
    <row r="130">
      <c r="B130" s="42"/>
      <c r="C130" s="47"/>
    </row>
    <row r="131">
      <c r="B131" s="42"/>
      <c r="C131" s="47"/>
    </row>
    <row r="132">
      <c r="B132" s="42"/>
      <c r="C132" s="47"/>
    </row>
    <row r="133">
      <c r="B133" s="42"/>
      <c r="C133" s="47"/>
    </row>
    <row r="134">
      <c r="B134" s="42"/>
      <c r="C134" s="47"/>
    </row>
    <row r="135">
      <c r="B135" s="42"/>
      <c r="C135" s="47"/>
    </row>
    <row r="136">
      <c r="B136" s="42"/>
      <c r="C136" s="47"/>
    </row>
    <row r="137">
      <c r="B137" s="42"/>
      <c r="C137" s="47"/>
    </row>
    <row r="138">
      <c r="B138" s="42"/>
      <c r="C138" s="47"/>
    </row>
    <row r="139">
      <c r="B139" s="42"/>
      <c r="C139" s="47"/>
    </row>
    <row r="140">
      <c r="B140" s="42"/>
      <c r="C140" s="47"/>
    </row>
    <row r="141">
      <c r="B141" s="42"/>
      <c r="C141" s="47"/>
    </row>
    <row r="142">
      <c r="B142" s="42"/>
      <c r="C142" s="47"/>
    </row>
    <row r="143">
      <c r="B143" s="42"/>
      <c r="C143" s="47"/>
    </row>
    <row r="144">
      <c r="B144" s="42"/>
      <c r="C144" s="47"/>
    </row>
    <row r="145">
      <c r="B145" s="42"/>
      <c r="C145" s="47"/>
    </row>
    <row r="146">
      <c r="B146" s="42"/>
      <c r="C146" s="47"/>
    </row>
    <row r="147">
      <c r="B147" s="42"/>
      <c r="C147" s="47"/>
    </row>
    <row r="148">
      <c r="B148" s="42"/>
      <c r="C148" s="47"/>
    </row>
    <row r="149">
      <c r="B149" s="42"/>
      <c r="C149" s="47"/>
    </row>
    <row r="150">
      <c r="B150" s="42"/>
      <c r="C150" s="47"/>
    </row>
    <row r="151">
      <c r="B151" s="42"/>
      <c r="C151" s="47"/>
    </row>
    <row r="152">
      <c r="B152" s="42"/>
      <c r="C152" s="47"/>
    </row>
    <row r="153">
      <c r="B153" s="42"/>
      <c r="C153" s="47"/>
    </row>
    <row r="154">
      <c r="B154" s="42"/>
      <c r="C154" s="47"/>
    </row>
    <row r="155">
      <c r="B155" s="42"/>
      <c r="C155" s="47"/>
    </row>
    <row r="156">
      <c r="B156" s="42"/>
      <c r="C156" s="47"/>
    </row>
    <row r="157">
      <c r="B157" s="42"/>
      <c r="C157" s="47"/>
    </row>
    <row r="158">
      <c r="B158" s="42"/>
      <c r="C158" s="47"/>
    </row>
    <row r="159">
      <c r="B159" s="42"/>
      <c r="C159" s="47"/>
    </row>
    <row r="160">
      <c r="B160" s="42"/>
      <c r="C160" s="47"/>
    </row>
    <row r="161">
      <c r="B161" s="42"/>
      <c r="C161" s="47"/>
    </row>
    <row r="162">
      <c r="B162" s="42"/>
      <c r="C162" s="47"/>
    </row>
    <row r="163">
      <c r="B163" s="42"/>
      <c r="C163" s="47"/>
    </row>
    <row r="164">
      <c r="B164" s="42"/>
      <c r="C164" s="47"/>
    </row>
    <row r="165">
      <c r="B165" s="42"/>
      <c r="C165" s="47"/>
    </row>
    <row r="166">
      <c r="B166" s="42"/>
      <c r="C166" s="47"/>
    </row>
    <row r="167">
      <c r="B167" s="42"/>
      <c r="C167" s="47"/>
    </row>
    <row r="168">
      <c r="B168" s="42"/>
      <c r="C168" s="47"/>
    </row>
    <row r="169">
      <c r="B169" s="42"/>
      <c r="C169" s="47"/>
    </row>
    <row r="170">
      <c r="B170" s="42"/>
      <c r="C170" s="47"/>
    </row>
    <row r="171">
      <c r="B171" s="42"/>
      <c r="C171" s="47"/>
    </row>
    <row r="172">
      <c r="B172" s="42"/>
      <c r="C172" s="47"/>
    </row>
    <row r="173">
      <c r="B173" s="42"/>
      <c r="C173" s="47"/>
    </row>
    <row r="174">
      <c r="B174" s="42"/>
      <c r="C174" s="47"/>
    </row>
    <row r="175">
      <c r="B175" s="42"/>
      <c r="C175" s="47"/>
    </row>
    <row r="176">
      <c r="B176" s="42"/>
      <c r="C176" s="47"/>
    </row>
    <row r="177">
      <c r="B177" s="42"/>
      <c r="C177" s="47"/>
    </row>
    <row r="178">
      <c r="B178" s="42"/>
      <c r="C178" s="47"/>
    </row>
    <row r="179">
      <c r="B179" s="42"/>
      <c r="C179" s="47"/>
    </row>
    <row r="180">
      <c r="B180" s="42"/>
      <c r="C180" s="47"/>
    </row>
    <row r="181">
      <c r="B181" s="42"/>
      <c r="C181" s="47"/>
    </row>
    <row r="182">
      <c r="B182" s="42"/>
      <c r="C182" s="47"/>
    </row>
    <row r="183">
      <c r="B183" s="42"/>
      <c r="C183" s="47"/>
    </row>
    <row r="184">
      <c r="B184" s="42"/>
      <c r="C184" s="47"/>
    </row>
    <row r="185">
      <c r="B185" s="42"/>
      <c r="C185" s="47"/>
    </row>
    <row r="186">
      <c r="B186" s="42"/>
      <c r="C186" s="47"/>
    </row>
    <row r="187">
      <c r="B187" s="42"/>
      <c r="C187" s="47"/>
    </row>
    <row r="188">
      <c r="B188" s="42"/>
      <c r="C188" s="47"/>
    </row>
    <row r="189">
      <c r="B189" s="42"/>
      <c r="C189" s="47"/>
    </row>
    <row r="190">
      <c r="B190" s="42"/>
      <c r="C190" s="47"/>
    </row>
    <row r="191">
      <c r="B191" s="42"/>
      <c r="C191" s="47"/>
    </row>
    <row r="192">
      <c r="B192" s="42"/>
      <c r="C192" s="47"/>
    </row>
    <row r="193">
      <c r="B193" s="42"/>
      <c r="C193" s="47"/>
    </row>
    <row r="194">
      <c r="B194" s="42"/>
      <c r="C194" s="47"/>
    </row>
    <row r="195">
      <c r="B195" s="42"/>
      <c r="C195" s="47"/>
    </row>
    <row r="196">
      <c r="B196" s="42"/>
      <c r="C196" s="47"/>
    </row>
    <row r="197">
      <c r="B197" s="42"/>
      <c r="C197" s="47"/>
    </row>
    <row r="198">
      <c r="B198" s="42"/>
      <c r="C198" s="47"/>
    </row>
    <row r="199">
      <c r="B199" s="42"/>
      <c r="C199" s="47"/>
    </row>
    <row r="200">
      <c r="B200" s="42"/>
      <c r="C200" s="47"/>
    </row>
    <row r="201">
      <c r="B201" s="42"/>
      <c r="C201" s="47"/>
    </row>
    <row r="202">
      <c r="B202" s="42"/>
      <c r="C202" s="47"/>
    </row>
    <row r="203">
      <c r="B203" s="42"/>
      <c r="C203" s="47"/>
    </row>
    <row r="204">
      <c r="B204" s="42"/>
      <c r="C204" s="47"/>
    </row>
    <row r="205">
      <c r="B205" s="42"/>
      <c r="C205" s="47"/>
    </row>
    <row r="206">
      <c r="B206" s="42"/>
      <c r="C206" s="47"/>
    </row>
    <row r="207">
      <c r="B207" s="42"/>
      <c r="C207" s="47"/>
    </row>
    <row r="208">
      <c r="B208" s="42"/>
      <c r="C208" s="47"/>
    </row>
    <row r="209">
      <c r="B209" s="42"/>
      <c r="C209" s="47"/>
    </row>
    <row r="210">
      <c r="B210" s="42"/>
      <c r="C210" s="47"/>
    </row>
    <row r="211">
      <c r="B211" s="42"/>
      <c r="C211" s="47"/>
    </row>
    <row r="212">
      <c r="B212" s="42"/>
      <c r="C212" s="47"/>
    </row>
    <row r="213">
      <c r="B213" s="42"/>
      <c r="C213" s="47"/>
    </row>
    <row r="214">
      <c r="B214" s="42"/>
      <c r="C214" s="47"/>
    </row>
    <row r="215">
      <c r="B215" s="42"/>
      <c r="C215" s="47"/>
    </row>
    <row r="216">
      <c r="B216" s="42"/>
      <c r="C216" s="47"/>
    </row>
    <row r="217">
      <c r="B217" s="42"/>
      <c r="C217" s="47"/>
    </row>
    <row r="218">
      <c r="B218" s="42"/>
      <c r="C218" s="47"/>
    </row>
    <row r="219">
      <c r="B219" s="42"/>
      <c r="C219" s="47"/>
    </row>
    <row r="220">
      <c r="B220" s="42"/>
      <c r="C220" s="47"/>
    </row>
    <row r="221">
      <c r="B221" s="42"/>
      <c r="C221" s="47"/>
    </row>
    <row r="222">
      <c r="B222" s="42"/>
      <c r="C222" s="47"/>
    </row>
    <row r="223">
      <c r="B223" s="42"/>
      <c r="C223" s="47"/>
    </row>
    <row r="224">
      <c r="B224" s="42"/>
      <c r="C224" s="47"/>
    </row>
    <row r="225">
      <c r="B225" s="42"/>
      <c r="C225" s="47"/>
    </row>
    <row r="226">
      <c r="B226" s="42"/>
      <c r="C226" s="47"/>
    </row>
    <row r="227">
      <c r="B227" s="42"/>
      <c r="C227" s="47"/>
    </row>
    <row r="228">
      <c r="B228" s="42"/>
      <c r="C228" s="47"/>
    </row>
    <row r="229">
      <c r="B229" s="42"/>
      <c r="C229" s="47"/>
    </row>
    <row r="230">
      <c r="B230" s="42"/>
      <c r="C230" s="47"/>
    </row>
    <row r="231">
      <c r="B231" s="42"/>
      <c r="C231" s="47"/>
    </row>
    <row r="232">
      <c r="B232" s="42"/>
      <c r="C232" s="47"/>
    </row>
    <row r="233">
      <c r="B233" s="42"/>
      <c r="C233" s="47"/>
    </row>
    <row r="234">
      <c r="B234" s="42"/>
      <c r="C234" s="47"/>
    </row>
    <row r="235">
      <c r="B235" s="42"/>
      <c r="C235" s="47"/>
    </row>
    <row r="236">
      <c r="B236" s="42"/>
      <c r="C236" s="47"/>
    </row>
    <row r="237">
      <c r="B237" s="42"/>
      <c r="C237" s="47"/>
    </row>
    <row r="238">
      <c r="B238" s="42"/>
      <c r="C238" s="47"/>
    </row>
    <row r="239">
      <c r="B239" s="42"/>
      <c r="C239" s="47"/>
    </row>
    <row r="240">
      <c r="B240" s="42"/>
      <c r="C240" s="47"/>
    </row>
    <row r="241">
      <c r="B241" s="42"/>
      <c r="C241" s="47"/>
    </row>
    <row r="242">
      <c r="B242" s="42"/>
      <c r="C242" s="47"/>
    </row>
    <row r="243">
      <c r="B243" s="42"/>
      <c r="C243" s="47"/>
    </row>
    <row r="244">
      <c r="B244" s="42"/>
      <c r="C244" s="47"/>
    </row>
    <row r="245">
      <c r="B245" s="42"/>
      <c r="C245" s="47"/>
    </row>
    <row r="246">
      <c r="B246" s="42"/>
      <c r="C246" s="47"/>
    </row>
    <row r="247">
      <c r="B247" s="42"/>
      <c r="C247" s="47"/>
    </row>
    <row r="248">
      <c r="B248" s="42"/>
      <c r="C248" s="47"/>
    </row>
    <row r="249">
      <c r="B249" s="42"/>
      <c r="C249" s="47"/>
    </row>
    <row r="250">
      <c r="B250" s="42"/>
      <c r="C250" s="47"/>
    </row>
    <row r="251">
      <c r="B251" s="42"/>
      <c r="C251" s="47"/>
    </row>
    <row r="252">
      <c r="B252" s="42"/>
      <c r="C252" s="47"/>
    </row>
    <row r="253">
      <c r="B253" s="42"/>
      <c r="C253" s="47"/>
    </row>
    <row r="254">
      <c r="B254" s="42"/>
      <c r="C254" s="47"/>
    </row>
    <row r="255">
      <c r="B255" s="42"/>
      <c r="C255" s="47"/>
    </row>
    <row r="256">
      <c r="B256" s="42"/>
      <c r="C256" s="47"/>
    </row>
    <row r="257">
      <c r="B257" s="42"/>
      <c r="C257" s="47"/>
    </row>
    <row r="258">
      <c r="B258" s="42"/>
      <c r="C258" s="47"/>
    </row>
    <row r="259">
      <c r="B259" s="42"/>
      <c r="C259" s="47"/>
    </row>
    <row r="260">
      <c r="B260" s="42"/>
      <c r="C260" s="47"/>
    </row>
    <row r="261">
      <c r="B261" s="42"/>
      <c r="C261" s="47"/>
    </row>
    <row r="262">
      <c r="B262" s="42"/>
      <c r="C262" s="47"/>
    </row>
    <row r="263">
      <c r="B263" s="42"/>
      <c r="C263" s="47"/>
    </row>
    <row r="264">
      <c r="B264" s="42"/>
      <c r="C264" s="47"/>
    </row>
    <row r="265">
      <c r="B265" s="42"/>
      <c r="C265" s="47"/>
    </row>
    <row r="266">
      <c r="B266" s="42"/>
      <c r="C266" s="47"/>
    </row>
    <row r="267">
      <c r="B267" s="42"/>
      <c r="C267" s="47"/>
    </row>
    <row r="268">
      <c r="B268" s="42"/>
      <c r="C268" s="47"/>
    </row>
    <row r="269">
      <c r="B269" s="42"/>
      <c r="C269" s="47"/>
    </row>
    <row r="270">
      <c r="B270" s="42"/>
      <c r="C270" s="47"/>
    </row>
    <row r="271">
      <c r="B271" s="42"/>
      <c r="C271" s="47"/>
    </row>
    <row r="272">
      <c r="B272" s="42"/>
      <c r="C272" s="47"/>
    </row>
    <row r="273">
      <c r="B273" s="42"/>
      <c r="C273" s="47"/>
    </row>
    <row r="274">
      <c r="B274" s="42"/>
      <c r="C274" s="47"/>
    </row>
    <row r="275">
      <c r="B275" s="42"/>
      <c r="C275" s="47"/>
    </row>
    <row r="276">
      <c r="B276" s="42"/>
      <c r="C276" s="47"/>
    </row>
    <row r="277">
      <c r="B277" s="42"/>
      <c r="C277" s="47"/>
    </row>
    <row r="278">
      <c r="B278" s="42"/>
      <c r="C278" s="47"/>
    </row>
    <row r="279">
      <c r="B279" s="42"/>
      <c r="C279" s="47"/>
    </row>
    <row r="280">
      <c r="B280" s="42"/>
      <c r="C280" s="47"/>
    </row>
    <row r="281">
      <c r="B281" s="42"/>
      <c r="C281" s="47"/>
    </row>
    <row r="282">
      <c r="B282" s="42"/>
      <c r="C282" s="47"/>
    </row>
    <row r="283">
      <c r="B283" s="42"/>
      <c r="C283" s="47"/>
    </row>
    <row r="284">
      <c r="B284" s="42"/>
      <c r="C284" s="47"/>
    </row>
    <row r="285">
      <c r="B285" s="42"/>
      <c r="C285" s="47"/>
    </row>
    <row r="286">
      <c r="B286" s="42"/>
      <c r="C286" s="47"/>
    </row>
    <row r="287">
      <c r="B287" s="42"/>
      <c r="C287" s="47"/>
    </row>
    <row r="288">
      <c r="B288" s="42"/>
      <c r="C288" s="47"/>
    </row>
    <row r="289">
      <c r="B289" s="42"/>
      <c r="C289" s="47"/>
    </row>
    <row r="290">
      <c r="B290" s="42"/>
      <c r="C290" s="47"/>
    </row>
    <row r="291">
      <c r="B291" s="42"/>
      <c r="C291" s="47"/>
    </row>
    <row r="292">
      <c r="B292" s="42"/>
      <c r="C292" s="47"/>
    </row>
    <row r="293">
      <c r="B293" s="42"/>
      <c r="C293" s="47"/>
    </row>
    <row r="294">
      <c r="B294" s="42"/>
      <c r="C294" s="47"/>
    </row>
    <row r="295">
      <c r="B295" s="42"/>
      <c r="C295" s="47"/>
    </row>
    <row r="296">
      <c r="B296" s="42"/>
      <c r="C296" s="47"/>
    </row>
    <row r="297">
      <c r="B297" s="42"/>
      <c r="C297" s="47"/>
    </row>
    <row r="298">
      <c r="B298" s="42"/>
      <c r="C298" s="47"/>
    </row>
    <row r="299">
      <c r="B299" s="42"/>
      <c r="C299" s="47"/>
    </row>
    <row r="300">
      <c r="B300" s="42"/>
      <c r="C300" s="47"/>
    </row>
    <row r="301">
      <c r="B301" s="42"/>
      <c r="C301" s="47"/>
    </row>
    <row r="302">
      <c r="B302" s="42"/>
      <c r="C302" s="47"/>
    </row>
    <row r="303">
      <c r="B303" s="42"/>
      <c r="C303" s="47"/>
    </row>
    <row r="304">
      <c r="B304" s="42"/>
      <c r="C304" s="47"/>
    </row>
    <row r="305">
      <c r="B305" s="42"/>
      <c r="C305" s="47"/>
    </row>
    <row r="306">
      <c r="B306" s="42"/>
      <c r="C306" s="47"/>
    </row>
    <row r="307">
      <c r="B307" s="42"/>
      <c r="C307" s="47"/>
    </row>
    <row r="308">
      <c r="B308" s="42"/>
      <c r="C308" s="47"/>
    </row>
    <row r="309">
      <c r="B309" s="42"/>
      <c r="C309" s="47"/>
    </row>
    <row r="310">
      <c r="B310" s="42"/>
      <c r="C310" s="47"/>
    </row>
    <row r="311">
      <c r="B311" s="42"/>
      <c r="C311" s="47"/>
    </row>
    <row r="312">
      <c r="B312" s="42"/>
      <c r="C312" s="47"/>
    </row>
    <row r="313">
      <c r="B313" s="42"/>
      <c r="C313" s="47"/>
    </row>
    <row r="314">
      <c r="B314" s="42"/>
      <c r="C314" s="47"/>
    </row>
    <row r="315">
      <c r="B315" s="42"/>
      <c r="C315" s="47"/>
    </row>
    <row r="316">
      <c r="B316" s="42"/>
      <c r="C316" s="47"/>
    </row>
    <row r="317">
      <c r="B317" s="42"/>
      <c r="C317" s="47"/>
    </row>
    <row r="318">
      <c r="B318" s="42"/>
      <c r="C318" s="47"/>
    </row>
    <row r="319">
      <c r="B319" s="42"/>
      <c r="C319" s="47"/>
    </row>
    <row r="320">
      <c r="B320" s="42"/>
      <c r="C320" s="47"/>
    </row>
    <row r="321">
      <c r="B321" s="42"/>
      <c r="C321" s="47"/>
    </row>
    <row r="322">
      <c r="B322" s="42"/>
      <c r="C322" s="47"/>
    </row>
    <row r="323">
      <c r="B323" s="42"/>
      <c r="C323" s="47"/>
    </row>
    <row r="324">
      <c r="B324" s="42"/>
      <c r="C324" s="47"/>
    </row>
    <row r="325">
      <c r="B325" s="42"/>
      <c r="C325" s="47"/>
    </row>
    <row r="326">
      <c r="B326" s="42"/>
      <c r="C326" s="47"/>
    </row>
    <row r="327">
      <c r="B327" s="42"/>
      <c r="C327" s="47"/>
    </row>
    <row r="328">
      <c r="B328" s="42"/>
      <c r="C328" s="47"/>
    </row>
    <row r="329">
      <c r="B329" s="42"/>
      <c r="C329" s="47"/>
    </row>
    <row r="330">
      <c r="B330" s="42"/>
      <c r="C330" s="47"/>
    </row>
    <row r="331">
      <c r="B331" s="42"/>
      <c r="C331" s="47"/>
    </row>
    <row r="332">
      <c r="B332" s="42"/>
      <c r="C332" s="47"/>
    </row>
    <row r="333">
      <c r="B333" s="42"/>
      <c r="C333" s="47"/>
    </row>
    <row r="334">
      <c r="B334" s="42"/>
      <c r="C334" s="47"/>
    </row>
    <row r="335">
      <c r="B335" s="42"/>
      <c r="C335" s="47"/>
    </row>
    <row r="336">
      <c r="B336" s="42"/>
      <c r="C336" s="47"/>
    </row>
    <row r="337">
      <c r="B337" s="42"/>
      <c r="C337" s="47"/>
    </row>
    <row r="338">
      <c r="B338" s="42"/>
      <c r="C338" s="47"/>
    </row>
    <row r="339">
      <c r="B339" s="42"/>
      <c r="C339" s="47"/>
    </row>
    <row r="340">
      <c r="B340" s="42"/>
      <c r="C340" s="47"/>
    </row>
    <row r="341">
      <c r="B341" s="42"/>
      <c r="C341" s="47"/>
    </row>
    <row r="342">
      <c r="B342" s="42"/>
      <c r="C342" s="47"/>
    </row>
    <row r="343">
      <c r="B343" s="42"/>
      <c r="C343" s="47"/>
    </row>
    <row r="344">
      <c r="B344" s="42"/>
      <c r="C344" s="47"/>
    </row>
    <row r="345">
      <c r="B345" s="42"/>
      <c r="C345" s="47"/>
    </row>
    <row r="346">
      <c r="B346" s="42"/>
      <c r="C346" s="47"/>
    </row>
    <row r="347">
      <c r="B347" s="42"/>
      <c r="C347" s="47"/>
    </row>
    <row r="348">
      <c r="B348" s="42"/>
      <c r="C348" s="47"/>
    </row>
    <row r="349">
      <c r="B349" s="42"/>
      <c r="C349" s="47"/>
    </row>
    <row r="350">
      <c r="B350" s="42"/>
      <c r="C350" s="47"/>
    </row>
    <row r="351">
      <c r="B351" s="42"/>
      <c r="C351" s="47"/>
    </row>
    <row r="352">
      <c r="B352" s="42"/>
      <c r="C352" s="47"/>
    </row>
    <row r="353">
      <c r="B353" s="42"/>
      <c r="C353" s="47"/>
    </row>
    <row r="354">
      <c r="B354" s="42"/>
      <c r="C354" s="47"/>
    </row>
    <row r="355">
      <c r="B355" s="42"/>
      <c r="C355" s="47"/>
    </row>
    <row r="356">
      <c r="B356" s="42"/>
      <c r="C356" s="47"/>
    </row>
    <row r="357">
      <c r="B357" s="42"/>
      <c r="C357" s="47"/>
    </row>
    <row r="358">
      <c r="B358" s="42"/>
      <c r="C358" s="47"/>
    </row>
    <row r="359">
      <c r="B359" s="42"/>
      <c r="C359" s="47"/>
    </row>
    <row r="360">
      <c r="B360" s="42"/>
      <c r="C360" s="47"/>
    </row>
    <row r="361">
      <c r="B361" s="42"/>
      <c r="C361" s="47"/>
    </row>
    <row r="362">
      <c r="B362" s="42"/>
      <c r="C362" s="47"/>
    </row>
    <row r="363">
      <c r="B363" s="42"/>
      <c r="C363" s="47"/>
    </row>
    <row r="364">
      <c r="B364" s="42"/>
      <c r="C364" s="47"/>
    </row>
    <row r="365">
      <c r="B365" s="42"/>
      <c r="C365" s="47"/>
    </row>
    <row r="366">
      <c r="B366" s="42"/>
      <c r="C366" s="47"/>
    </row>
    <row r="367">
      <c r="B367" s="42"/>
      <c r="C367" s="47"/>
    </row>
    <row r="368">
      <c r="B368" s="42"/>
      <c r="C368" s="47"/>
    </row>
    <row r="369">
      <c r="B369" s="42"/>
      <c r="C369" s="47"/>
    </row>
    <row r="370">
      <c r="B370" s="42"/>
      <c r="C370" s="47"/>
    </row>
    <row r="371">
      <c r="B371" s="42"/>
      <c r="C371" s="47"/>
    </row>
    <row r="372">
      <c r="B372" s="42"/>
      <c r="C372" s="47"/>
    </row>
    <row r="373">
      <c r="B373" s="42"/>
      <c r="C373" s="47"/>
    </row>
    <row r="374">
      <c r="B374" s="42"/>
      <c r="C374" s="47"/>
    </row>
    <row r="375">
      <c r="B375" s="42"/>
      <c r="C375" s="47"/>
    </row>
    <row r="376">
      <c r="B376" s="42"/>
      <c r="C376" s="47"/>
    </row>
    <row r="377">
      <c r="B377" s="42"/>
      <c r="C377" s="47"/>
    </row>
    <row r="378">
      <c r="B378" s="42"/>
      <c r="C378" s="47"/>
    </row>
    <row r="379">
      <c r="B379" s="42"/>
      <c r="C379" s="47"/>
    </row>
    <row r="380">
      <c r="B380" s="42"/>
      <c r="C380" s="47"/>
    </row>
    <row r="381">
      <c r="B381" s="42"/>
      <c r="C381" s="47"/>
    </row>
    <row r="382">
      <c r="B382" s="42"/>
      <c r="C382" s="47"/>
    </row>
    <row r="383">
      <c r="B383" s="42"/>
      <c r="C383" s="47"/>
    </row>
    <row r="384">
      <c r="B384" s="42"/>
      <c r="C384" s="47"/>
    </row>
    <row r="385">
      <c r="B385" s="42"/>
      <c r="C385" s="47"/>
    </row>
    <row r="386">
      <c r="B386" s="42"/>
      <c r="C386" s="47"/>
    </row>
    <row r="387">
      <c r="B387" s="42"/>
      <c r="C387" s="47"/>
    </row>
    <row r="388">
      <c r="B388" s="42"/>
      <c r="C388" s="47"/>
    </row>
    <row r="389">
      <c r="B389" s="42"/>
      <c r="C389" s="47"/>
    </row>
    <row r="390">
      <c r="B390" s="42"/>
      <c r="C390" s="47"/>
    </row>
    <row r="391">
      <c r="B391" s="42"/>
      <c r="C391" s="47"/>
    </row>
    <row r="392">
      <c r="B392" s="42"/>
      <c r="C392" s="47"/>
    </row>
    <row r="393">
      <c r="B393" s="42"/>
      <c r="C393" s="47"/>
    </row>
    <row r="394">
      <c r="B394" s="42"/>
      <c r="C394" s="47"/>
    </row>
    <row r="395">
      <c r="B395" s="42"/>
      <c r="C395" s="47"/>
    </row>
    <row r="396">
      <c r="B396" s="42"/>
      <c r="C396" s="47"/>
    </row>
    <row r="397">
      <c r="B397" s="42"/>
      <c r="C397" s="47"/>
    </row>
    <row r="398">
      <c r="B398" s="42"/>
      <c r="C398" s="47"/>
    </row>
    <row r="399">
      <c r="B399" s="42"/>
      <c r="C399" s="47"/>
    </row>
    <row r="400">
      <c r="B400" s="42"/>
      <c r="C400" s="47"/>
    </row>
    <row r="401">
      <c r="B401" s="42"/>
      <c r="C401" s="47"/>
    </row>
    <row r="402">
      <c r="B402" s="42"/>
      <c r="C402" s="47"/>
    </row>
    <row r="403">
      <c r="B403" s="42"/>
      <c r="C403" s="47"/>
    </row>
    <row r="404">
      <c r="B404" s="42"/>
      <c r="C404" s="47"/>
    </row>
    <row r="405">
      <c r="B405" s="42"/>
      <c r="C405" s="47"/>
    </row>
    <row r="406">
      <c r="B406" s="42"/>
      <c r="C406" s="47"/>
    </row>
    <row r="407">
      <c r="B407" s="42"/>
      <c r="C407" s="47"/>
    </row>
    <row r="408">
      <c r="B408" s="42"/>
      <c r="C408" s="47"/>
    </row>
    <row r="409">
      <c r="B409" s="42"/>
      <c r="C409" s="47"/>
    </row>
    <row r="410">
      <c r="B410" s="42"/>
      <c r="C410" s="47"/>
    </row>
    <row r="411">
      <c r="B411" s="42"/>
      <c r="C411" s="47"/>
    </row>
    <row r="412">
      <c r="B412" s="42"/>
      <c r="C412" s="47"/>
    </row>
    <row r="413">
      <c r="B413" s="42"/>
      <c r="C413" s="47"/>
    </row>
    <row r="414">
      <c r="B414" s="42"/>
      <c r="C414" s="47"/>
    </row>
    <row r="415">
      <c r="B415" s="42"/>
      <c r="C415" s="47"/>
    </row>
    <row r="416">
      <c r="B416" s="42"/>
      <c r="C416" s="47"/>
    </row>
    <row r="417">
      <c r="B417" s="42"/>
      <c r="C417" s="47"/>
    </row>
    <row r="418">
      <c r="B418" s="42"/>
      <c r="C418" s="47"/>
    </row>
    <row r="419">
      <c r="B419" s="42"/>
      <c r="C419" s="47"/>
    </row>
    <row r="420">
      <c r="B420" s="42"/>
      <c r="C420" s="47"/>
    </row>
    <row r="421">
      <c r="B421" s="42"/>
      <c r="C421" s="47"/>
    </row>
    <row r="422">
      <c r="B422" s="42"/>
      <c r="C422" s="47"/>
    </row>
    <row r="423">
      <c r="B423" s="42"/>
      <c r="C423" s="47"/>
    </row>
    <row r="424">
      <c r="B424" s="42"/>
      <c r="C424" s="47"/>
    </row>
    <row r="425">
      <c r="B425" s="42"/>
      <c r="C425" s="47"/>
    </row>
    <row r="426">
      <c r="B426" s="42"/>
      <c r="C426" s="47"/>
    </row>
    <row r="427">
      <c r="B427" s="42"/>
      <c r="C427" s="47"/>
    </row>
    <row r="428">
      <c r="B428" s="42"/>
      <c r="C428" s="47"/>
    </row>
    <row r="429">
      <c r="B429" s="42"/>
      <c r="C429" s="47"/>
    </row>
    <row r="430">
      <c r="B430" s="42"/>
      <c r="C430" s="47"/>
    </row>
    <row r="431">
      <c r="B431" s="42"/>
      <c r="C431" s="47"/>
    </row>
    <row r="432">
      <c r="B432" s="42"/>
      <c r="C432" s="47"/>
    </row>
    <row r="433">
      <c r="B433" s="42"/>
      <c r="C433" s="47"/>
    </row>
    <row r="434">
      <c r="B434" s="42"/>
      <c r="C434" s="47"/>
    </row>
    <row r="435">
      <c r="B435" s="42"/>
      <c r="C435" s="47"/>
    </row>
    <row r="436">
      <c r="B436" s="42"/>
      <c r="C436" s="47"/>
    </row>
    <row r="437">
      <c r="B437" s="42"/>
      <c r="C437" s="47"/>
    </row>
    <row r="438">
      <c r="B438" s="42"/>
      <c r="C438" s="47"/>
    </row>
    <row r="439">
      <c r="B439" s="42"/>
      <c r="C439" s="47"/>
    </row>
    <row r="440">
      <c r="B440" s="42"/>
      <c r="C440" s="47"/>
    </row>
    <row r="441">
      <c r="B441" s="42"/>
      <c r="C441" s="47"/>
    </row>
    <row r="442">
      <c r="B442" s="42"/>
      <c r="C442" s="47"/>
    </row>
    <row r="443">
      <c r="B443" s="42"/>
      <c r="C443" s="47"/>
    </row>
    <row r="444">
      <c r="B444" s="42"/>
      <c r="C444" s="47"/>
    </row>
    <row r="445">
      <c r="B445" s="42"/>
      <c r="C445" s="47"/>
    </row>
    <row r="446">
      <c r="B446" s="42"/>
      <c r="C446" s="47"/>
    </row>
    <row r="447">
      <c r="B447" s="42"/>
      <c r="C447" s="47"/>
    </row>
    <row r="448">
      <c r="B448" s="42"/>
      <c r="C448" s="47"/>
    </row>
    <row r="449">
      <c r="B449" s="42"/>
      <c r="C449" s="47"/>
    </row>
    <row r="450">
      <c r="B450" s="42"/>
      <c r="C450" s="47"/>
    </row>
    <row r="451">
      <c r="B451" s="42"/>
      <c r="C451" s="47"/>
    </row>
    <row r="452">
      <c r="B452" s="42"/>
      <c r="C452" s="47"/>
    </row>
    <row r="453">
      <c r="B453" s="42"/>
      <c r="C453" s="47"/>
    </row>
    <row r="454">
      <c r="B454" s="42"/>
      <c r="C454" s="47"/>
    </row>
    <row r="455">
      <c r="B455" s="42"/>
      <c r="C455" s="47"/>
    </row>
    <row r="456">
      <c r="B456" s="42"/>
      <c r="C456" s="47"/>
    </row>
    <row r="457">
      <c r="B457" s="42"/>
      <c r="C457" s="47"/>
    </row>
    <row r="458">
      <c r="B458" s="42"/>
      <c r="C458" s="47"/>
    </row>
    <row r="459">
      <c r="B459" s="42"/>
      <c r="C459" s="47"/>
    </row>
    <row r="460">
      <c r="B460" s="42"/>
      <c r="C460" s="47"/>
    </row>
    <row r="461">
      <c r="B461" s="42"/>
      <c r="C461" s="47"/>
    </row>
    <row r="462">
      <c r="B462" s="42"/>
      <c r="C462" s="47"/>
    </row>
    <row r="463">
      <c r="B463" s="42"/>
      <c r="C463" s="47"/>
    </row>
    <row r="464">
      <c r="B464" s="42"/>
      <c r="C464" s="47"/>
    </row>
    <row r="465">
      <c r="B465" s="42"/>
      <c r="C465" s="47"/>
    </row>
    <row r="466">
      <c r="B466" s="42"/>
      <c r="C466" s="47"/>
    </row>
    <row r="467">
      <c r="B467" s="42"/>
      <c r="C467" s="47"/>
    </row>
    <row r="468">
      <c r="B468" s="42"/>
      <c r="C468" s="47"/>
    </row>
    <row r="469">
      <c r="B469" s="42"/>
      <c r="C469" s="47"/>
    </row>
    <row r="470">
      <c r="B470" s="42"/>
      <c r="C470" s="47"/>
    </row>
    <row r="471">
      <c r="B471" s="42"/>
      <c r="C471" s="47"/>
    </row>
    <row r="472">
      <c r="B472" s="42"/>
      <c r="C472" s="47"/>
    </row>
    <row r="473">
      <c r="B473" s="42"/>
      <c r="C473" s="47"/>
    </row>
    <row r="474">
      <c r="B474" s="42"/>
      <c r="C474" s="47"/>
    </row>
    <row r="475">
      <c r="B475" s="42"/>
      <c r="C475" s="47"/>
    </row>
    <row r="476">
      <c r="B476" s="42"/>
      <c r="C476" s="47"/>
    </row>
    <row r="477">
      <c r="B477" s="42"/>
      <c r="C477" s="47"/>
    </row>
    <row r="478">
      <c r="B478" s="42"/>
      <c r="C478" s="47"/>
    </row>
    <row r="479">
      <c r="B479" s="42"/>
      <c r="C479" s="47"/>
    </row>
    <row r="480">
      <c r="B480" s="42"/>
      <c r="C480" s="47"/>
    </row>
    <row r="481">
      <c r="B481" s="42"/>
      <c r="C481" s="47"/>
    </row>
    <row r="482">
      <c r="B482" s="42"/>
      <c r="C482" s="47"/>
    </row>
    <row r="483">
      <c r="B483" s="42"/>
      <c r="C483" s="47"/>
    </row>
    <row r="484">
      <c r="B484" s="42"/>
      <c r="C484" s="47"/>
    </row>
    <row r="485">
      <c r="B485" s="42"/>
      <c r="C485" s="47"/>
    </row>
    <row r="486">
      <c r="B486" s="42"/>
      <c r="C486" s="47"/>
    </row>
    <row r="487">
      <c r="B487" s="42"/>
      <c r="C487" s="47"/>
    </row>
    <row r="488">
      <c r="B488" s="42"/>
      <c r="C488" s="47"/>
    </row>
    <row r="489">
      <c r="B489" s="42"/>
      <c r="C489" s="47"/>
    </row>
    <row r="490">
      <c r="B490" s="42"/>
      <c r="C490" s="47"/>
    </row>
    <row r="491">
      <c r="B491" s="42"/>
      <c r="C491" s="47"/>
    </row>
    <row r="492">
      <c r="B492" s="42"/>
      <c r="C492" s="47"/>
    </row>
    <row r="493">
      <c r="B493" s="42"/>
      <c r="C493" s="47"/>
    </row>
    <row r="494">
      <c r="B494" s="42"/>
      <c r="C494" s="47"/>
    </row>
    <row r="495">
      <c r="B495" s="42"/>
      <c r="C495" s="47"/>
    </row>
    <row r="496">
      <c r="B496" s="42"/>
      <c r="C496" s="47"/>
    </row>
    <row r="497">
      <c r="B497" s="42"/>
      <c r="C497" s="47"/>
    </row>
    <row r="498">
      <c r="B498" s="42"/>
      <c r="C498" s="47"/>
    </row>
    <row r="499">
      <c r="B499" s="42"/>
      <c r="C499" s="47"/>
    </row>
    <row r="500">
      <c r="B500" s="42"/>
      <c r="C500" s="47"/>
    </row>
    <row r="501">
      <c r="B501" s="42"/>
      <c r="C501" s="47"/>
    </row>
    <row r="502">
      <c r="B502" s="42"/>
      <c r="C502" s="47"/>
    </row>
    <row r="503">
      <c r="B503" s="42"/>
      <c r="C503" s="47"/>
    </row>
    <row r="504">
      <c r="B504" s="42"/>
      <c r="C504" s="47"/>
    </row>
    <row r="505">
      <c r="B505" s="42"/>
      <c r="C505" s="47"/>
    </row>
    <row r="506">
      <c r="B506" s="42"/>
      <c r="C506" s="47"/>
    </row>
    <row r="507">
      <c r="B507" s="42"/>
      <c r="C507" s="47"/>
    </row>
    <row r="508">
      <c r="B508" s="42"/>
      <c r="C508" s="47"/>
    </row>
    <row r="509">
      <c r="B509" s="42"/>
      <c r="C509" s="47"/>
    </row>
    <row r="510">
      <c r="B510" s="42"/>
      <c r="C510" s="47"/>
    </row>
    <row r="511">
      <c r="B511" s="42"/>
      <c r="C511" s="47"/>
    </row>
    <row r="512">
      <c r="B512" s="42"/>
      <c r="C512" s="47"/>
    </row>
    <row r="513">
      <c r="B513" s="42"/>
      <c r="C513" s="47"/>
    </row>
    <row r="514">
      <c r="B514" s="42"/>
      <c r="C514" s="47"/>
    </row>
    <row r="515">
      <c r="B515" s="42"/>
      <c r="C515" s="47"/>
    </row>
    <row r="516">
      <c r="B516" s="42"/>
      <c r="C516" s="47"/>
    </row>
    <row r="517">
      <c r="B517" s="42"/>
      <c r="C517" s="47"/>
    </row>
    <row r="518">
      <c r="B518" s="42"/>
      <c r="C518" s="47"/>
    </row>
    <row r="519">
      <c r="B519" s="42"/>
      <c r="C519" s="47"/>
    </row>
    <row r="520">
      <c r="B520" s="42"/>
      <c r="C520" s="47"/>
    </row>
    <row r="521">
      <c r="B521" s="42"/>
      <c r="C521" s="47"/>
    </row>
    <row r="522">
      <c r="B522" s="42"/>
      <c r="C522" s="47"/>
    </row>
    <row r="523">
      <c r="B523" s="42"/>
      <c r="C523" s="47"/>
    </row>
    <row r="524">
      <c r="B524" s="42"/>
      <c r="C524" s="47"/>
    </row>
    <row r="525">
      <c r="B525" s="42"/>
      <c r="C525" s="47"/>
    </row>
    <row r="526">
      <c r="B526" s="42"/>
      <c r="C526" s="47"/>
    </row>
    <row r="527">
      <c r="B527" s="42"/>
      <c r="C527" s="47"/>
    </row>
    <row r="528">
      <c r="B528" s="42"/>
      <c r="C528" s="47"/>
    </row>
    <row r="529">
      <c r="B529" s="42"/>
      <c r="C529" s="47"/>
    </row>
    <row r="530">
      <c r="B530" s="42"/>
      <c r="C530" s="47"/>
    </row>
    <row r="531">
      <c r="B531" s="42"/>
      <c r="C531" s="47"/>
    </row>
    <row r="532">
      <c r="B532" s="42"/>
      <c r="C532" s="47"/>
    </row>
    <row r="533">
      <c r="B533" s="42"/>
      <c r="C533" s="47"/>
    </row>
    <row r="534">
      <c r="B534" s="42"/>
      <c r="C534" s="47"/>
    </row>
    <row r="535">
      <c r="B535" s="42"/>
      <c r="C535" s="47"/>
    </row>
    <row r="536">
      <c r="B536" s="42"/>
      <c r="C536" s="47"/>
    </row>
    <row r="537">
      <c r="B537" s="42"/>
      <c r="C537" s="47"/>
    </row>
    <row r="538">
      <c r="B538" s="42"/>
      <c r="C538" s="47"/>
    </row>
    <row r="539">
      <c r="B539" s="42"/>
      <c r="C539" s="47"/>
    </row>
    <row r="540">
      <c r="B540" s="42"/>
      <c r="C540" s="47"/>
    </row>
    <row r="541">
      <c r="B541" s="42"/>
      <c r="C541" s="47"/>
    </row>
    <row r="542">
      <c r="B542" s="42"/>
      <c r="C542" s="47"/>
    </row>
    <row r="543">
      <c r="B543" s="42"/>
      <c r="C543" s="47"/>
    </row>
    <row r="544">
      <c r="B544" s="42"/>
      <c r="C544" s="47"/>
    </row>
    <row r="545">
      <c r="B545" s="42"/>
      <c r="C545" s="47"/>
    </row>
    <row r="546">
      <c r="B546" s="42"/>
      <c r="C546" s="47"/>
    </row>
    <row r="547">
      <c r="B547" s="42"/>
      <c r="C547" s="47"/>
    </row>
    <row r="548">
      <c r="B548" s="42"/>
      <c r="C548" s="47"/>
    </row>
    <row r="549">
      <c r="B549" s="42"/>
      <c r="C549" s="47"/>
    </row>
    <row r="550">
      <c r="B550" s="42"/>
      <c r="C550" s="47"/>
    </row>
    <row r="551">
      <c r="B551" s="42"/>
      <c r="C551" s="47"/>
    </row>
    <row r="552">
      <c r="B552" s="42"/>
      <c r="C552" s="47"/>
    </row>
    <row r="553">
      <c r="B553" s="42"/>
      <c r="C553" s="47"/>
    </row>
    <row r="554">
      <c r="B554" s="42"/>
      <c r="C554" s="47"/>
    </row>
    <row r="555">
      <c r="B555" s="42"/>
      <c r="C555" s="47"/>
    </row>
    <row r="556">
      <c r="B556" s="42"/>
      <c r="C556" s="47"/>
    </row>
    <row r="557">
      <c r="B557" s="42"/>
      <c r="C557" s="47"/>
    </row>
    <row r="558">
      <c r="B558" s="42"/>
      <c r="C558" s="47"/>
    </row>
    <row r="559">
      <c r="B559" s="42"/>
      <c r="C559" s="47"/>
    </row>
    <row r="560">
      <c r="B560" s="42"/>
      <c r="C560" s="47"/>
    </row>
    <row r="561">
      <c r="B561" s="42"/>
      <c r="C561" s="47"/>
    </row>
    <row r="562">
      <c r="B562" s="42"/>
      <c r="C562" s="47"/>
    </row>
    <row r="563">
      <c r="B563" s="42"/>
      <c r="C563" s="47"/>
    </row>
    <row r="564">
      <c r="B564" s="42"/>
      <c r="C564" s="47"/>
    </row>
    <row r="565">
      <c r="B565" s="42"/>
      <c r="C565" s="47"/>
    </row>
    <row r="566">
      <c r="B566" s="42"/>
      <c r="C566" s="47"/>
    </row>
    <row r="567">
      <c r="B567" s="42"/>
      <c r="C567" s="47"/>
    </row>
    <row r="568">
      <c r="B568" s="42"/>
      <c r="C568" s="47"/>
    </row>
    <row r="569">
      <c r="B569" s="42"/>
      <c r="C569" s="47"/>
    </row>
    <row r="570">
      <c r="B570" s="42"/>
      <c r="C570" s="47"/>
    </row>
    <row r="571">
      <c r="B571" s="42"/>
      <c r="C571" s="47"/>
    </row>
    <row r="572">
      <c r="B572" s="42"/>
      <c r="C572" s="47"/>
    </row>
    <row r="573">
      <c r="B573" s="42"/>
      <c r="C573" s="47"/>
    </row>
    <row r="574">
      <c r="B574" s="42"/>
      <c r="C574" s="47"/>
    </row>
    <row r="575">
      <c r="B575" s="42"/>
      <c r="C575" s="47"/>
    </row>
    <row r="576">
      <c r="B576" s="42"/>
      <c r="C576" s="47"/>
    </row>
    <row r="577">
      <c r="B577" s="42"/>
      <c r="C577" s="47"/>
    </row>
    <row r="578">
      <c r="B578" s="42"/>
      <c r="C578" s="47"/>
    </row>
    <row r="579">
      <c r="B579" s="42"/>
      <c r="C579" s="47"/>
    </row>
    <row r="580">
      <c r="B580" s="42"/>
      <c r="C580" s="47"/>
    </row>
    <row r="581">
      <c r="B581" s="42"/>
      <c r="C581" s="47"/>
    </row>
    <row r="582">
      <c r="B582" s="42"/>
      <c r="C582" s="47"/>
    </row>
    <row r="583">
      <c r="B583" s="42"/>
      <c r="C583" s="47"/>
    </row>
    <row r="584">
      <c r="B584" s="42"/>
      <c r="C584" s="47"/>
    </row>
    <row r="585">
      <c r="B585" s="42"/>
      <c r="C585" s="47"/>
    </row>
    <row r="586">
      <c r="B586" s="42"/>
      <c r="C586" s="47"/>
    </row>
    <row r="587">
      <c r="B587" s="42"/>
      <c r="C587" s="47"/>
    </row>
    <row r="588">
      <c r="B588" s="42"/>
      <c r="C588" s="47"/>
    </row>
    <row r="589">
      <c r="B589" s="42"/>
      <c r="C589" s="47"/>
    </row>
    <row r="590">
      <c r="B590" s="42"/>
      <c r="C590" s="47"/>
    </row>
    <row r="591">
      <c r="B591" s="42"/>
      <c r="C591" s="47"/>
    </row>
    <row r="592">
      <c r="B592" s="42"/>
      <c r="C592" s="47"/>
    </row>
    <row r="593">
      <c r="B593" s="42"/>
      <c r="C593" s="47"/>
    </row>
    <row r="594">
      <c r="B594" s="42"/>
      <c r="C594" s="47"/>
    </row>
    <row r="595">
      <c r="B595" s="42"/>
      <c r="C595" s="47"/>
    </row>
    <row r="596">
      <c r="B596" s="42"/>
      <c r="C596" s="47"/>
    </row>
    <row r="597">
      <c r="B597" s="42"/>
      <c r="C597" s="47"/>
    </row>
    <row r="598">
      <c r="B598" s="42"/>
      <c r="C598" s="47"/>
    </row>
    <row r="599">
      <c r="B599" s="42"/>
      <c r="C599" s="47"/>
    </row>
    <row r="600">
      <c r="B600" s="42"/>
      <c r="C600" s="47"/>
    </row>
    <row r="601">
      <c r="B601" s="42"/>
      <c r="C601" s="47"/>
    </row>
    <row r="602">
      <c r="B602" s="42"/>
      <c r="C602" s="47"/>
    </row>
    <row r="603">
      <c r="B603" s="42"/>
      <c r="C603" s="47"/>
    </row>
    <row r="604">
      <c r="B604" s="42"/>
      <c r="C604" s="47"/>
    </row>
    <row r="605">
      <c r="B605" s="42"/>
      <c r="C605" s="47"/>
    </row>
    <row r="606">
      <c r="B606" s="42"/>
      <c r="C606" s="47"/>
    </row>
    <row r="607">
      <c r="B607" s="42"/>
      <c r="C607" s="47"/>
    </row>
    <row r="608">
      <c r="B608" s="42"/>
      <c r="C608" s="47"/>
    </row>
    <row r="609">
      <c r="B609" s="42"/>
      <c r="C609" s="47"/>
    </row>
    <row r="610">
      <c r="B610" s="42"/>
      <c r="C610" s="47"/>
    </row>
    <row r="611">
      <c r="B611" s="42"/>
      <c r="C611" s="47"/>
    </row>
    <row r="612">
      <c r="B612" s="42"/>
      <c r="C612" s="47"/>
    </row>
    <row r="613">
      <c r="B613" s="42"/>
      <c r="C613" s="47"/>
    </row>
    <row r="614">
      <c r="B614" s="42"/>
      <c r="C614" s="47"/>
    </row>
    <row r="615">
      <c r="B615" s="42"/>
      <c r="C615" s="47"/>
    </row>
    <row r="616">
      <c r="B616" s="42"/>
      <c r="C616" s="47"/>
    </row>
    <row r="617">
      <c r="B617" s="42"/>
      <c r="C617" s="47"/>
    </row>
    <row r="618">
      <c r="B618" s="42"/>
      <c r="C618" s="47"/>
    </row>
    <row r="619">
      <c r="B619" s="42"/>
      <c r="C619" s="47"/>
    </row>
    <row r="620">
      <c r="B620" s="42"/>
      <c r="C620" s="47"/>
    </row>
    <row r="621">
      <c r="B621" s="42"/>
      <c r="C621" s="47"/>
    </row>
    <row r="622">
      <c r="B622" s="42"/>
      <c r="C622" s="47"/>
    </row>
    <row r="623">
      <c r="B623" s="42"/>
      <c r="C623" s="47"/>
    </row>
    <row r="624">
      <c r="B624" s="42"/>
      <c r="C624" s="47"/>
    </row>
    <row r="625">
      <c r="B625" s="42"/>
      <c r="C625" s="47"/>
    </row>
    <row r="626">
      <c r="B626" s="42"/>
      <c r="C626" s="47"/>
    </row>
    <row r="627">
      <c r="B627" s="42"/>
      <c r="C627" s="47"/>
    </row>
    <row r="628">
      <c r="B628" s="42"/>
      <c r="C628" s="47"/>
    </row>
    <row r="629">
      <c r="B629" s="42"/>
      <c r="C629" s="47"/>
    </row>
    <row r="630">
      <c r="B630" s="42"/>
      <c r="C630" s="47"/>
    </row>
    <row r="631">
      <c r="B631" s="42"/>
      <c r="C631" s="47"/>
    </row>
    <row r="632">
      <c r="B632" s="42"/>
      <c r="C632" s="47"/>
    </row>
    <row r="633">
      <c r="B633" s="42"/>
      <c r="C633" s="47"/>
    </row>
    <row r="634">
      <c r="B634" s="42"/>
      <c r="C634" s="47"/>
    </row>
    <row r="635">
      <c r="B635" s="42"/>
      <c r="C635" s="47"/>
    </row>
    <row r="636">
      <c r="B636" s="42"/>
      <c r="C636" s="47"/>
    </row>
    <row r="637">
      <c r="B637" s="42"/>
      <c r="C637" s="47"/>
    </row>
    <row r="638">
      <c r="B638" s="42"/>
      <c r="C638" s="47"/>
    </row>
    <row r="639">
      <c r="B639" s="42"/>
      <c r="C639" s="47"/>
    </row>
    <row r="640">
      <c r="B640" s="42"/>
      <c r="C640" s="47"/>
    </row>
    <row r="641">
      <c r="B641" s="42"/>
      <c r="C641" s="47"/>
    </row>
    <row r="642">
      <c r="B642" s="42"/>
      <c r="C642" s="47"/>
    </row>
    <row r="643">
      <c r="B643" s="42"/>
      <c r="C643" s="47"/>
    </row>
    <row r="644">
      <c r="B644" s="42"/>
      <c r="C644" s="47"/>
    </row>
    <row r="645">
      <c r="B645" s="42"/>
      <c r="C645" s="47"/>
    </row>
    <row r="646">
      <c r="B646" s="42"/>
      <c r="C646" s="47"/>
    </row>
    <row r="647">
      <c r="B647" s="42"/>
      <c r="C647" s="47"/>
    </row>
    <row r="648">
      <c r="B648" s="42"/>
      <c r="C648" s="47"/>
    </row>
    <row r="649">
      <c r="B649" s="42"/>
      <c r="C649" s="47"/>
    </row>
    <row r="650">
      <c r="B650" s="42"/>
      <c r="C650" s="47"/>
    </row>
    <row r="651">
      <c r="B651" s="42"/>
      <c r="C651" s="47"/>
    </row>
    <row r="652">
      <c r="B652" s="42"/>
      <c r="C652" s="47"/>
    </row>
    <row r="653">
      <c r="B653" s="42"/>
      <c r="C653" s="47"/>
    </row>
    <row r="654">
      <c r="B654" s="42"/>
      <c r="C654" s="47"/>
    </row>
    <row r="655">
      <c r="B655" s="42"/>
      <c r="C655" s="47"/>
    </row>
    <row r="656">
      <c r="B656" s="42"/>
      <c r="C656" s="47"/>
    </row>
    <row r="657">
      <c r="B657" s="42"/>
      <c r="C657" s="47"/>
    </row>
    <row r="658">
      <c r="B658" s="42"/>
      <c r="C658" s="47"/>
    </row>
    <row r="659">
      <c r="B659" s="42"/>
      <c r="C659" s="47"/>
    </row>
    <row r="660">
      <c r="B660" s="42"/>
      <c r="C660" s="47"/>
    </row>
    <row r="661">
      <c r="B661" s="42"/>
      <c r="C661" s="47"/>
    </row>
    <row r="662">
      <c r="B662" s="42"/>
      <c r="C662" s="47"/>
    </row>
    <row r="663">
      <c r="B663" s="42"/>
      <c r="C663" s="47"/>
    </row>
    <row r="664">
      <c r="B664" s="42"/>
      <c r="C664" s="47"/>
    </row>
    <row r="665">
      <c r="B665" s="42"/>
      <c r="C665" s="47"/>
    </row>
    <row r="666">
      <c r="B666" s="42"/>
      <c r="C666" s="47"/>
    </row>
    <row r="667">
      <c r="B667" s="42"/>
      <c r="C667" s="47"/>
    </row>
    <row r="668">
      <c r="B668" s="42"/>
      <c r="C668" s="47"/>
    </row>
    <row r="669">
      <c r="B669" s="42"/>
      <c r="C669" s="47"/>
    </row>
    <row r="670">
      <c r="B670" s="42"/>
      <c r="C670" s="47"/>
    </row>
    <row r="671">
      <c r="B671" s="42"/>
      <c r="C671" s="47"/>
    </row>
    <row r="672">
      <c r="B672" s="42"/>
      <c r="C672" s="47"/>
    </row>
    <row r="673">
      <c r="B673" s="42"/>
      <c r="C673" s="47"/>
    </row>
    <row r="674">
      <c r="B674" s="42"/>
      <c r="C674" s="47"/>
    </row>
    <row r="675">
      <c r="B675" s="42"/>
      <c r="C675" s="47"/>
    </row>
    <row r="676">
      <c r="B676" s="42"/>
      <c r="C676" s="47"/>
    </row>
    <row r="677">
      <c r="B677" s="42"/>
      <c r="C677" s="47"/>
    </row>
    <row r="678">
      <c r="B678" s="42"/>
      <c r="C678" s="47"/>
    </row>
    <row r="679">
      <c r="B679" s="42"/>
      <c r="C679" s="47"/>
    </row>
    <row r="680">
      <c r="B680" s="42"/>
      <c r="C680" s="47"/>
    </row>
    <row r="681">
      <c r="B681" s="42"/>
      <c r="C681" s="47"/>
    </row>
    <row r="682">
      <c r="B682" s="42"/>
      <c r="C682" s="47"/>
    </row>
    <row r="683">
      <c r="B683" s="42"/>
      <c r="C683" s="47"/>
    </row>
    <row r="684">
      <c r="B684" s="42"/>
      <c r="C684" s="47"/>
    </row>
    <row r="685">
      <c r="B685" s="42"/>
      <c r="C685" s="47"/>
    </row>
    <row r="686">
      <c r="B686" s="42"/>
      <c r="C686" s="47"/>
    </row>
    <row r="687">
      <c r="B687" s="42"/>
      <c r="C687" s="47"/>
    </row>
    <row r="688">
      <c r="B688" s="42"/>
      <c r="C688" s="47"/>
    </row>
    <row r="689">
      <c r="B689" s="42"/>
      <c r="C689" s="47"/>
    </row>
    <row r="690">
      <c r="B690" s="42"/>
      <c r="C690" s="47"/>
    </row>
    <row r="691">
      <c r="B691" s="42"/>
      <c r="C691" s="47"/>
    </row>
    <row r="692">
      <c r="B692" s="42"/>
      <c r="C692" s="47"/>
    </row>
    <row r="693">
      <c r="B693" s="42"/>
      <c r="C693" s="47"/>
    </row>
    <row r="694">
      <c r="B694" s="42"/>
      <c r="C694" s="47"/>
    </row>
    <row r="695">
      <c r="B695" s="42"/>
      <c r="C695" s="47"/>
    </row>
    <row r="696">
      <c r="B696" s="42"/>
      <c r="C696" s="47"/>
    </row>
    <row r="697">
      <c r="B697" s="42"/>
      <c r="C697" s="47"/>
    </row>
    <row r="698">
      <c r="B698" s="42"/>
      <c r="C698" s="47"/>
    </row>
    <row r="699">
      <c r="B699" s="42"/>
      <c r="C699" s="47"/>
    </row>
    <row r="700">
      <c r="B700" s="42"/>
      <c r="C700" s="47"/>
    </row>
    <row r="701">
      <c r="B701" s="42"/>
      <c r="C701" s="47"/>
    </row>
    <row r="702">
      <c r="B702" s="42"/>
      <c r="C702" s="47"/>
    </row>
    <row r="703">
      <c r="B703" s="42"/>
      <c r="C703" s="47"/>
    </row>
    <row r="704">
      <c r="B704" s="42"/>
      <c r="C704" s="47"/>
    </row>
    <row r="705">
      <c r="B705" s="42"/>
      <c r="C705" s="47"/>
    </row>
    <row r="706">
      <c r="B706" s="42"/>
      <c r="C706" s="47"/>
    </row>
    <row r="707">
      <c r="B707" s="42"/>
      <c r="C707" s="47"/>
    </row>
    <row r="708">
      <c r="B708" s="42"/>
      <c r="C708" s="47"/>
    </row>
    <row r="709">
      <c r="B709" s="42"/>
      <c r="C709" s="47"/>
    </row>
    <row r="710">
      <c r="B710" s="42"/>
      <c r="C710" s="47"/>
    </row>
    <row r="711">
      <c r="B711" s="42"/>
      <c r="C711" s="47"/>
    </row>
    <row r="712">
      <c r="B712" s="42"/>
      <c r="C712" s="47"/>
    </row>
    <row r="713">
      <c r="B713" s="42"/>
      <c r="C713" s="47"/>
    </row>
    <row r="714">
      <c r="B714" s="42"/>
      <c r="C714" s="47"/>
    </row>
    <row r="715">
      <c r="B715" s="42"/>
      <c r="C715" s="47"/>
    </row>
    <row r="716">
      <c r="B716" s="42"/>
      <c r="C716" s="47"/>
    </row>
    <row r="717">
      <c r="B717" s="42"/>
      <c r="C717" s="47"/>
    </row>
    <row r="718">
      <c r="B718" s="42"/>
      <c r="C718" s="47"/>
    </row>
    <row r="719">
      <c r="B719" s="42"/>
      <c r="C719" s="47"/>
    </row>
    <row r="720">
      <c r="B720" s="42"/>
      <c r="C720" s="47"/>
    </row>
    <row r="721">
      <c r="B721" s="42"/>
      <c r="C721" s="47"/>
    </row>
    <row r="722">
      <c r="B722" s="42"/>
      <c r="C722" s="47"/>
    </row>
    <row r="723">
      <c r="B723" s="42"/>
      <c r="C723" s="47"/>
    </row>
    <row r="724">
      <c r="B724" s="42"/>
      <c r="C724" s="47"/>
    </row>
    <row r="725">
      <c r="B725" s="42"/>
      <c r="C725" s="47"/>
    </row>
    <row r="726">
      <c r="B726" s="42"/>
      <c r="C726" s="47"/>
    </row>
    <row r="727">
      <c r="B727" s="42"/>
      <c r="C727" s="47"/>
    </row>
    <row r="728">
      <c r="B728" s="42"/>
      <c r="C728" s="47"/>
    </row>
    <row r="729">
      <c r="B729" s="42"/>
      <c r="C729" s="47"/>
    </row>
    <row r="730">
      <c r="B730" s="42"/>
      <c r="C730" s="47"/>
    </row>
    <row r="731">
      <c r="B731" s="42"/>
      <c r="C731" s="47"/>
    </row>
    <row r="732">
      <c r="B732" s="42"/>
      <c r="C732" s="47"/>
    </row>
    <row r="733">
      <c r="B733" s="42"/>
      <c r="C733" s="47"/>
    </row>
    <row r="734">
      <c r="B734" s="42"/>
      <c r="C734" s="47"/>
    </row>
    <row r="735">
      <c r="B735" s="42"/>
      <c r="C735" s="47"/>
    </row>
    <row r="736">
      <c r="B736" s="42"/>
      <c r="C736" s="47"/>
    </row>
    <row r="737">
      <c r="B737" s="42"/>
      <c r="C737" s="47"/>
    </row>
    <row r="738">
      <c r="B738" s="42"/>
      <c r="C738" s="47"/>
    </row>
    <row r="739">
      <c r="B739" s="42"/>
      <c r="C739" s="47"/>
    </row>
    <row r="740">
      <c r="B740" s="42"/>
      <c r="C740" s="47"/>
    </row>
    <row r="741">
      <c r="B741" s="42"/>
      <c r="C741" s="47"/>
    </row>
    <row r="742">
      <c r="B742" s="42"/>
      <c r="C742" s="47"/>
    </row>
    <row r="743">
      <c r="B743" s="42"/>
      <c r="C743" s="47"/>
    </row>
    <row r="744">
      <c r="B744" s="42"/>
      <c r="C744" s="47"/>
    </row>
    <row r="745">
      <c r="B745" s="42"/>
      <c r="C745" s="47"/>
    </row>
    <row r="746">
      <c r="B746" s="42"/>
      <c r="C746" s="47"/>
    </row>
    <row r="747">
      <c r="B747" s="42"/>
      <c r="C747" s="47"/>
    </row>
    <row r="748">
      <c r="B748" s="42"/>
      <c r="C748" s="47"/>
    </row>
    <row r="749">
      <c r="B749" s="42"/>
      <c r="C749" s="47"/>
    </row>
    <row r="750">
      <c r="B750" s="42"/>
      <c r="C750" s="47"/>
    </row>
    <row r="751">
      <c r="B751" s="42"/>
      <c r="C751" s="47"/>
    </row>
    <row r="752">
      <c r="B752" s="42"/>
      <c r="C752" s="47"/>
    </row>
    <row r="753">
      <c r="B753" s="42"/>
      <c r="C753" s="47"/>
    </row>
    <row r="754">
      <c r="B754" s="42"/>
      <c r="C754" s="47"/>
    </row>
    <row r="755">
      <c r="B755" s="42"/>
      <c r="C755" s="47"/>
    </row>
    <row r="756">
      <c r="B756" s="42"/>
      <c r="C756" s="47"/>
    </row>
    <row r="757">
      <c r="B757" s="42"/>
      <c r="C757" s="47"/>
    </row>
    <row r="758">
      <c r="B758" s="42"/>
      <c r="C758" s="47"/>
    </row>
    <row r="759">
      <c r="B759" s="42"/>
      <c r="C759" s="47"/>
    </row>
    <row r="760">
      <c r="B760" s="42"/>
      <c r="C760" s="47"/>
    </row>
    <row r="761">
      <c r="B761" s="42"/>
      <c r="C761" s="47"/>
    </row>
    <row r="762">
      <c r="B762" s="42"/>
      <c r="C762" s="47"/>
    </row>
    <row r="763">
      <c r="B763" s="42"/>
      <c r="C763" s="47"/>
    </row>
    <row r="764">
      <c r="B764" s="42"/>
      <c r="C764" s="47"/>
    </row>
    <row r="765">
      <c r="B765" s="42"/>
      <c r="C765" s="47"/>
    </row>
    <row r="766">
      <c r="B766" s="42"/>
      <c r="C766" s="47"/>
    </row>
    <row r="767">
      <c r="B767" s="42"/>
      <c r="C767" s="47"/>
    </row>
    <row r="768">
      <c r="B768" s="42"/>
      <c r="C768" s="47"/>
    </row>
    <row r="769">
      <c r="B769" s="42"/>
      <c r="C769" s="47"/>
    </row>
    <row r="770">
      <c r="B770" s="42"/>
      <c r="C770" s="47"/>
    </row>
    <row r="771">
      <c r="B771" s="42"/>
      <c r="C771" s="47"/>
    </row>
    <row r="772">
      <c r="B772" s="42"/>
      <c r="C772" s="47"/>
    </row>
    <row r="773">
      <c r="B773" s="42"/>
      <c r="C773" s="47"/>
    </row>
    <row r="774">
      <c r="B774" s="42"/>
      <c r="C774" s="47"/>
    </row>
    <row r="775">
      <c r="B775" s="42"/>
      <c r="C775" s="47"/>
    </row>
    <row r="776">
      <c r="B776" s="42"/>
      <c r="C776" s="47"/>
    </row>
    <row r="777">
      <c r="B777" s="42"/>
      <c r="C777" s="47"/>
    </row>
    <row r="778">
      <c r="B778" s="42"/>
      <c r="C778" s="47"/>
    </row>
    <row r="779">
      <c r="B779" s="42"/>
      <c r="C779" s="47"/>
    </row>
    <row r="780">
      <c r="B780" s="42"/>
      <c r="C780" s="47"/>
    </row>
    <row r="781">
      <c r="B781" s="42"/>
      <c r="C781" s="47"/>
    </row>
    <row r="782">
      <c r="B782" s="42"/>
      <c r="C782" s="47"/>
    </row>
    <row r="783">
      <c r="B783" s="42"/>
      <c r="C783" s="47"/>
    </row>
    <row r="784">
      <c r="B784" s="42"/>
      <c r="C784" s="47"/>
    </row>
    <row r="785">
      <c r="B785" s="42"/>
      <c r="C785" s="47"/>
    </row>
    <row r="786">
      <c r="B786" s="42"/>
      <c r="C786" s="47"/>
    </row>
    <row r="787">
      <c r="B787" s="42"/>
      <c r="C787" s="47"/>
    </row>
    <row r="788">
      <c r="B788" s="42"/>
      <c r="C788" s="47"/>
    </row>
    <row r="789">
      <c r="B789" s="42"/>
      <c r="C789" s="47"/>
    </row>
    <row r="790">
      <c r="B790" s="42"/>
      <c r="C790" s="47"/>
    </row>
    <row r="791">
      <c r="B791" s="42"/>
      <c r="C791" s="47"/>
    </row>
    <row r="792">
      <c r="B792" s="42"/>
      <c r="C792" s="47"/>
    </row>
    <row r="793">
      <c r="B793" s="42"/>
      <c r="C793" s="47"/>
    </row>
    <row r="794">
      <c r="B794" s="42"/>
      <c r="C794" s="47"/>
    </row>
    <row r="795">
      <c r="B795" s="42"/>
      <c r="C795" s="47"/>
    </row>
    <row r="796">
      <c r="B796" s="42"/>
      <c r="C796" s="47"/>
    </row>
    <row r="797">
      <c r="B797" s="42"/>
      <c r="C797" s="47"/>
    </row>
    <row r="798">
      <c r="B798" s="42"/>
      <c r="C798" s="47"/>
    </row>
    <row r="799">
      <c r="B799" s="42"/>
      <c r="C799" s="47"/>
    </row>
    <row r="800">
      <c r="B800" s="42"/>
      <c r="C800" s="47"/>
    </row>
    <row r="801">
      <c r="B801" s="42"/>
      <c r="C801" s="47"/>
    </row>
    <row r="802">
      <c r="B802" s="42"/>
      <c r="C802" s="47"/>
    </row>
    <row r="803">
      <c r="B803" s="42"/>
      <c r="C803" s="47"/>
    </row>
    <row r="804">
      <c r="B804" s="42"/>
      <c r="C804" s="47"/>
    </row>
    <row r="805">
      <c r="B805" s="42"/>
      <c r="C805" s="47"/>
    </row>
    <row r="806">
      <c r="B806" s="42"/>
      <c r="C806" s="47"/>
    </row>
    <row r="807">
      <c r="B807" s="42"/>
      <c r="C807" s="47"/>
    </row>
    <row r="808">
      <c r="B808" s="42"/>
      <c r="C808" s="47"/>
    </row>
    <row r="809">
      <c r="B809" s="42"/>
      <c r="C809" s="47"/>
    </row>
    <row r="810">
      <c r="B810" s="42"/>
      <c r="C810" s="47"/>
    </row>
    <row r="811">
      <c r="B811" s="42"/>
      <c r="C811" s="47"/>
    </row>
    <row r="812">
      <c r="B812" s="42"/>
      <c r="C812" s="47"/>
    </row>
    <row r="813">
      <c r="B813" s="42"/>
      <c r="C813" s="47"/>
    </row>
    <row r="814">
      <c r="B814" s="42"/>
      <c r="C814" s="47"/>
    </row>
    <row r="815">
      <c r="B815" s="42"/>
      <c r="C815" s="47"/>
    </row>
    <row r="816">
      <c r="B816" s="42"/>
      <c r="C816" s="47"/>
    </row>
    <row r="817">
      <c r="B817" s="42"/>
      <c r="C817" s="47"/>
    </row>
    <row r="818">
      <c r="B818" s="42"/>
      <c r="C818" s="47"/>
    </row>
    <row r="819">
      <c r="B819" s="42"/>
      <c r="C819" s="47"/>
    </row>
    <row r="820">
      <c r="B820" s="42"/>
      <c r="C820" s="47"/>
    </row>
    <row r="821">
      <c r="B821" s="42"/>
      <c r="C821" s="47"/>
    </row>
    <row r="822">
      <c r="B822" s="42"/>
      <c r="C822" s="47"/>
    </row>
    <row r="823">
      <c r="B823" s="42"/>
      <c r="C823" s="47"/>
    </row>
    <row r="824">
      <c r="B824" s="42"/>
      <c r="C824" s="47"/>
    </row>
    <row r="825">
      <c r="B825" s="42"/>
      <c r="C825" s="47"/>
    </row>
    <row r="826">
      <c r="B826" s="42"/>
      <c r="C826" s="47"/>
    </row>
    <row r="827">
      <c r="B827" s="42"/>
      <c r="C827" s="47"/>
    </row>
    <row r="828">
      <c r="B828" s="42"/>
      <c r="C828" s="47"/>
    </row>
    <row r="829">
      <c r="B829" s="42"/>
      <c r="C829" s="47"/>
    </row>
    <row r="830">
      <c r="B830" s="42"/>
      <c r="C830" s="47"/>
    </row>
    <row r="831">
      <c r="B831" s="42"/>
      <c r="C831" s="47"/>
    </row>
    <row r="832">
      <c r="B832" s="42"/>
      <c r="C832" s="47"/>
    </row>
    <row r="833">
      <c r="B833" s="42"/>
      <c r="C833" s="47"/>
    </row>
    <row r="834">
      <c r="B834" s="42"/>
      <c r="C834" s="47"/>
    </row>
    <row r="835">
      <c r="B835" s="42"/>
      <c r="C835" s="47"/>
    </row>
    <row r="836">
      <c r="B836" s="42"/>
      <c r="C836" s="47"/>
    </row>
    <row r="837">
      <c r="B837" s="42"/>
      <c r="C837" s="47"/>
    </row>
    <row r="838">
      <c r="B838" s="42"/>
      <c r="C838" s="47"/>
    </row>
    <row r="839">
      <c r="B839" s="42"/>
      <c r="C839" s="47"/>
    </row>
    <row r="840">
      <c r="B840" s="42"/>
      <c r="C840" s="47"/>
    </row>
    <row r="841">
      <c r="B841" s="42"/>
      <c r="C841" s="47"/>
    </row>
    <row r="842">
      <c r="B842" s="42"/>
      <c r="C842" s="47"/>
    </row>
    <row r="843">
      <c r="B843" s="42"/>
      <c r="C843" s="47"/>
    </row>
    <row r="844">
      <c r="B844" s="42"/>
      <c r="C844" s="47"/>
    </row>
    <row r="845">
      <c r="B845" s="42"/>
      <c r="C845" s="47"/>
    </row>
    <row r="846">
      <c r="B846" s="42"/>
      <c r="C846" s="47"/>
    </row>
    <row r="847">
      <c r="B847" s="42"/>
      <c r="C847" s="47"/>
    </row>
    <row r="848">
      <c r="B848" s="42"/>
      <c r="C848" s="47"/>
    </row>
    <row r="849">
      <c r="B849" s="42"/>
      <c r="C849" s="47"/>
    </row>
    <row r="850">
      <c r="B850" s="42"/>
      <c r="C850" s="47"/>
    </row>
    <row r="851">
      <c r="B851" s="42"/>
      <c r="C851" s="47"/>
    </row>
    <row r="852">
      <c r="B852" s="42"/>
      <c r="C852" s="47"/>
    </row>
    <row r="853">
      <c r="B853" s="42"/>
      <c r="C853" s="47"/>
    </row>
    <row r="854">
      <c r="B854" s="42"/>
      <c r="C854" s="47"/>
    </row>
    <row r="855">
      <c r="B855" s="42"/>
      <c r="C855" s="47"/>
    </row>
    <row r="856">
      <c r="B856" s="42"/>
      <c r="C856" s="47"/>
    </row>
    <row r="857">
      <c r="B857" s="42"/>
      <c r="C857" s="47"/>
    </row>
    <row r="858">
      <c r="B858" s="42"/>
      <c r="C858" s="47"/>
    </row>
    <row r="859">
      <c r="B859" s="42"/>
      <c r="C859" s="47"/>
    </row>
    <row r="860">
      <c r="B860" s="42"/>
      <c r="C860" s="47"/>
    </row>
    <row r="861">
      <c r="B861" s="42"/>
      <c r="C861" s="47"/>
    </row>
    <row r="862">
      <c r="B862" s="42"/>
      <c r="C862" s="47"/>
    </row>
    <row r="863">
      <c r="B863" s="42"/>
      <c r="C863" s="47"/>
    </row>
    <row r="864">
      <c r="B864" s="42"/>
      <c r="C864" s="47"/>
    </row>
    <row r="865">
      <c r="B865" s="42"/>
      <c r="C865" s="47"/>
    </row>
    <row r="866">
      <c r="B866" s="42"/>
      <c r="C866" s="47"/>
    </row>
    <row r="867">
      <c r="B867" s="42"/>
      <c r="C867" s="47"/>
    </row>
    <row r="868">
      <c r="B868" s="42"/>
      <c r="C868" s="47"/>
    </row>
    <row r="869">
      <c r="B869" s="42"/>
      <c r="C869" s="47"/>
    </row>
    <row r="870">
      <c r="B870" s="42"/>
      <c r="C870" s="47"/>
    </row>
    <row r="871">
      <c r="B871" s="42"/>
      <c r="C871" s="47"/>
    </row>
    <row r="872">
      <c r="B872" s="42"/>
      <c r="C872" s="47"/>
    </row>
    <row r="873">
      <c r="B873" s="42"/>
      <c r="C873" s="47"/>
    </row>
    <row r="874">
      <c r="B874" s="42"/>
      <c r="C874" s="47"/>
    </row>
    <row r="875">
      <c r="B875" s="42"/>
      <c r="C875" s="47"/>
    </row>
    <row r="876">
      <c r="B876" s="42"/>
      <c r="C876" s="47"/>
    </row>
    <row r="877">
      <c r="B877" s="42"/>
      <c r="C877" s="47"/>
    </row>
    <row r="878">
      <c r="B878" s="42"/>
      <c r="C878" s="47"/>
    </row>
    <row r="879">
      <c r="B879" s="42"/>
      <c r="C879" s="47"/>
    </row>
    <row r="880">
      <c r="B880" s="42"/>
      <c r="C880" s="47"/>
    </row>
    <row r="881">
      <c r="B881" s="42"/>
      <c r="C881" s="47"/>
    </row>
    <row r="882">
      <c r="B882" s="42"/>
      <c r="C882" s="47"/>
    </row>
    <row r="883">
      <c r="B883" s="42"/>
      <c r="C883" s="47"/>
    </row>
    <row r="884">
      <c r="B884" s="42"/>
      <c r="C884" s="47"/>
    </row>
    <row r="885">
      <c r="B885" s="42"/>
      <c r="C885" s="47"/>
    </row>
    <row r="886">
      <c r="B886" s="42"/>
      <c r="C886" s="47"/>
    </row>
    <row r="887">
      <c r="B887" s="42"/>
      <c r="C887" s="47"/>
    </row>
    <row r="888">
      <c r="B888" s="42"/>
      <c r="C888" s="47"/>
    </row>
    <row r="889">
      <c r="B889" s="42"/>
      <c r="C889" s="47"/>
    </row>
    <row r="890">
      <c r="B890" s="42"/>
      <c r="C890" s="47"/>
    </row>
    <row r="891">
      <c r="B891" s="42"/>
      <c r="C891" s="47"/>
    </row>
    <row r="892">
      <c r="B892" s="42"/>
      <c r="C892" s="47"/>
    </row>
    <row r="893">
      <c r="B893" s="42"/>
      <c r="C893" s="47"/>
    </row>
    <row r="894">
      <c r="B894" s="42"/>
      <c r="C894" s="47"/>
    </row>
    <row r="895">
      <c r="B895" s="42"/>
      <c r="C895" s="47"/>
    </row>
    <row r="896">
      <c r="B896" s="42"/>
      <c r="C896" s="47"/>
    </row>
    <row r="897">
      <c r="B897" s="42"/>
      <c r="C897" s="47"/>
    </row>
    <row r="898">
      <c r="B898" s="42"/>
      <c r="C898" s="47"/>
    </row>
    <row r="899">
      <c r="B899" s="42"/>
      <c r="C899" s="47"/>
    </row>
    <row r="900">
      <c r="B900" s="42"/>
      <c r="C900" s="47"/>
    </row>
    <row r="901">
      <c r="B901" s="42"/>
      <c r="C901" s="47"/>
    </row>
    <row r="902">
      <c r="B902" s="42"/>
      <c r="C902" s="47"/>
    </row>
    <row r="903">
      <c r="B903" s="42"/>
      <c r="C903" s="47"/>
    </row>
    <row r="904">
      <c r="B904" s="42"/>
      <c r="C904" s="47"/>
    </row>
    <row r="905">
      <c r="B905" s="42"/>
      <c r="C905" s="47"/>
    </row>
    <row r="906">
      <c r="B906" s="42"/>
      <c r="C906" s="47"/>
    </row>
    <row r="907">
      <c r="B907" s="42"/>
      <c r="C907" s="47"/>
    </row>
    <row r="908">
      <c r="B908" s="42"/>
      <c r="C908" s="47"/>
    </row>
    <row r="909">
      <c r="B909" s="42"/>
      <c r="C909" s="47"/>
    </row>
    <row r="910">
      <c r="B910" s="42"/>
      <c r="C910" s="47"/>
    </row>
    <row r="911">
      <c r="B911" s="42"/>
      <c r="C911" s="47"/>
    </row>
    <row r="912">
      <c r="B912" s="42"/>
      <c r="C912" s="47"/>
    </row>
    <row r="913">
      <c r="B913" s="42"/>
      <c r="C913" s="47"/>
    </row>
    <row r="914">
      <c r="B914" s="42"/>
      <c r="C914" s="47"/>
    </row>
    <row r="915">
      <c r="B915" s="42"/>
      <c r="C915" s="47"/>
    </row>
    <row r="916">
      <c r="B916" s="42"/>
      <c r="C916" s="47"/>
    </row>
    <row r="917">
      <c r="B917" s="42"/>
      <c r="C917" s="47"/>
    </row>
    <row r="918">
      <c r="B918" s="42"/>
      <c r="C918" s="47"/>
    </row>
    <row r="919">
      <c r="B919" s="42"/>
      <c r="C919" s="47"/>
    </row>
    <row r="920">
      <c r="B920" s="42"/>
      <c r="C920" s="47"/>
    </row>
    <row r="921">
      <c r="B921" s="42"/>
      <c r="C921" s="47"/>
    </row>
    <row r="922">
      <c r="B922" s="42"/>
      <c r="C922" s="47"/>
    </row>
    <row r="923">
      <c r="B923" s="42"/>
      <c r="C923" s="47"/>
    </row>
    <row r="924">
      <c r="B924" s="42"/>
      <c r="C924" s="47"/>
    </row>
    <row r="925">
      <c r="B925" s="42"/>
      <c r="C925" s="47"/>
    </row>
    <row r="926">
      <c r="B926" s="42"/>
      <c r="C926" s="47"/>
    </row>
    <row r="927">
      <c r="B927" s="42"/>
      <c r="C927" s="47"/>
    </row>
    <row r="928">
      <c r="B928" s="42"/>
      <c r="C928" s="47"/>
    </row>
    <row r="929">
      <c r="B929" s="42"/>
      <c r="C929" s="47"/>
    </row>
    <row r="930">
      <c r="B930" s="42"/>
      <c r="C930" s="47"/>
    </row>
    <row r="931">
      <c r="B931" s="42"/>
      <c r="C931" s="47"/>
    </row>
    <row r="932">
      <c r="B932" s="42"/>
      <c r="C932" s="47"/>
    </row>
    <row r="933">
      <c r="B933" s="42"/>
      <c r="C933" s="47"/>
    </row>
    <row r="934">
      <c r="B934" s="42"/>
      <c r="C934" s="47"/>
    </row>
    <row r="935">
      <c r="B935" s="42"/>
      <c r="C935" s="47"/>
    </row>
    <row r="936">
      <c r="B936" s="42"/>
      <c r="C936" s="47"/>
    </row>
    <row r="937">
      <c r="B937" s="42"/>
      <c r="C937" s="47"/>
    </row>
    <row r="938">
      <c r="B938" s="42"/>
      <c r="C938" s="47"/>
    </row>
    <row r="939">
      <c r="B939" s="42"/>
      <c r="C939" s="47"/>
    </row>
    <row r="940">
      <c r="B940" s="42"/>
      <c r="C940" s="47"/>
    </row>
    <row r="941">
      <c r="B941" s="42"/>
      <c r="C941" s="47"/>
    </row>
    <row r="942">
      <c r="B942" s="42"/>
      <c r="C942" s="47"/>
    </row>
    <row r="943">
      <c r="B943" s="42"/>
      <c r="C943" s="47"/>
    </row>
    <row r="944">
      <c r="B944" s="42"/>
      <c r="C944" s="47"/>
    </row>
    <row r="945">
      <c r="B945" s="42"/>
      <c r="C945" s="47"/>
    </row>
    <row r="946">
      <c r="B946" s="42"/>
      <c r="C946" s="47"/>
    </row>
    <row r="947">
      <c r="B947" s="42"/>
      <c r="C947" s="47"/>
    </row>
    <row r="948">
      <c r="B948" s="42"/>
      <c r="C948" s="47"/>
    </row>
    <row r="949">
      <c r="B949" s="42"/>
      <c r="C949" s="47"/>
    </row>
    <row r="950">
      <c r="B950" s="42"/>
      <c r="C950" s="47"/>
    </row>
    <row r="951">
      <c r="B951" s="42"/>
      <c r="C951" s="47"/>
    </row>
    <row r="952">
      <c r="B952" s="42"/>
      <c r="C952" s="47"/>
    </row>
    <row r="953">
      <c r="B953" s="42"/>
      <c r="C953" s="47"/>
    </row>
    <row r="954">
      <c r="B954" s="42"/>
      <c r="C954" s="47"/>
    </row>
    <row r="955">
      <c r="B955" s="42"/>
      <c r="C955" s="47"/>
    </row>
    <row r="956">
      <c r="B956" s="42"/>
      <c r="C956" s="47"/>
    </row>
    <row r="957">
      <c r="B957" s="42"/>
      <c r="C957" s="47"/>
    </row>
    <row r="958">
      <c r="B958" s="42"/>
      <c r="C958" s="47"/>
    </row>
    <row r="959">
      <c r="B959" s="42"/>
      <c r="C959" s="47"/>
    </row>
    <row r="960">
      <c r="B960" s="42"/>
      <c r="C960" s="47"/>
    </row>
    <row r="961">
      <c r="B961" s="42"/>
      <c r="C961" s="47"/>
    </row>
    <row r="962">
      <c r="B962" s="42"/>
      <c r="C962" s="47"/>
    </row>
    <row r="963">
      <c r="B963" s="42"/>
      <c r="C963" s="47"/>
    </row>
    <row r="964">
      <c r="B964" s="42"/>
      <c r="C964" s="47"/>
    </row>
    <row r="965">
      <c r="B965" s="42"/>
      <c r="C965" s="47"/>
    </row>
    <row r="966">
      <c r="B966" s="42"/>
      <c r="C966" s="47"/>
    </row>
    <row r="967">
      <c r="B967" s="42"/>
      <c r="C967" s="47"/>
    </row>
    <row r="968">
      <c r="B968" s="42"/>
      <c r="C968" s="47"/>
    </row>
    <row r="969">
      <c r="B969" s="42"/>
      <c r="C969" s="47"/>
    </row>
    <row r="970">
      <c r="B970" s="42"/>
      <c r="C970" s="47"/>
    </row>
    <row r="971">
      <c r="B971" s="42"/>
      <c r="C971" s="47"/>
    </row>
    <row r="972">
      <c r="B972" s="42"/>
      <c r="C972" s="47"/>
    </row>
    <row r="973">
      <c r="B973" s="42"/>
      <c r="C973" s="47"/>
    </row>
    <row r="974">
      <c r="B974" s="42"/>
      <c r="C974" s="47"/>
    </row>
    <row r="975">
      <c r="B975" s="42"/>
      <c r="C975" s="47"/>
    </row>
    <row r="976">
      <c r="B976" s="42"/>
      <c r="C976" s="47"/>
    </row>
    <row r="977">
      <c r="B977" s="42"/>
      <c r="C977" s="47"/>
    </row>
    <row r="978">
      <c r="B978" s="42"/>
      <c r="C978" s="47"/>
    </row>
    <row r="979">
      <c r="B979" s="42"/>
      <c r="C979" s="47"/>
    </row>
    <row r="980">
      <c r="B980" s="42"/>
      <c r="C980" s="47"/>
    </row>
    <row r="981">
      <c r="B981" s="42"/>
      <c r="C981" s="47"/>
    </row>
    <row r="982">
      <c r="B982" s="42"/>
      <c r="C982" s="47"/>
    </row>
    <row r="983">
      <c r="B983" s="42"/>
      <c r="C983" s="47"/>
    </row>
    <row r="984">
      <c r="B984" s="42"/>
      <c r="C984" s="47"/>
    </row>
    <row r="985">
      <c r="B985" s="42"/>
      <c r="C985" s="47"/>
    </row>
    <row r="986">
      <c r="B986" s="42"/>
      <c r="C986" s="47"/>
    </row>
    <row r="987">
      <c r="B987" s="42"/>
      <c r="C987" s="47"/>
    </row>
    <row r="988">
      <c r="B988" s="42"/>
      <c r="C988" s="47"/>
    </row>
    <row r="989">
      <c r="B989" s="42"/>
      <c r="C989" s="47"/>
    </row>
    <row r="990">
      <c r="B990" s="42"/>
      <c r="C990" s="47"/>
    </row>
    <row r="991">
      <c r="B991" s="42"/>
      <c r="C991" s="47"/>
    </row>
    <row r="992">
      <c r="B992" s="42"/>
      <c r="C992" s="47"/>
    </row>
    <row r="993">
      <c r="B993" s="42"/>
      <c r="C993" s="47"/>
    </row>
    <row r="994">
      <c r="B994" s="42"/>
      <c r="C994" s="47"/>
    </row>
    <row r="995">
      <c r="B995" s="42"/>
      <c r="C995" s="47"/>
    </row>
    <row r="996">
      <c r="B996" s="42"/>
      <c r="C996" s="47"/>
    </row>
    <row r="997">
      <c r="B997" s="42"/>
      <c r="C997" s="47"/>
    </row>
    <row r="998">
      <c r="B998" s="42"/>
      <c r="C998" s="47"/>
    </row>
    <row r="999">
      <c r="B999" s="42"/>
      <c r="C999" s="47"/>
    </row>
    <row r="1000">
      <c r="B1000" s="49"/>
      <c r="C1000" s="47"/>
    </row>
  </sheetData>
  <mergeCells count="12">
    <mergeCell ref="P2:Y2"/>
    <mergeCell ref="AA2:AJ2"/>
    <mergeCell ref="E2:N2"/>
    <mergeCell ref="E5:AJ1000"/>
    <mergeCell ref="B1:B1000"/>
    <mergeCell ref="D1:D7"/>
    <mergeCell ref="E1:Y1"/>
    <mergeCell ref="A2:A3"/>
    <mergeCell ref="O2:O4"/>
    <mergeCell ref="Z2:Z4"/>
    <mergeCell ref="A4:A1000"/>
    <mergeCell ref="D8:D1000"/>
  </mergeCells>
  <dataValidations>
    <dataValidation type="list" allowBlank="1" showErrorMessage="1" sqref="A2">
      <formula1>Boost!$A$2:$A$50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76.75"/>
  </cols>
  <sheetData>
    <row r="1">
      <c r="A1" s="5" t="s">
        <v>2067</v>
      </c>
      <c r="B1" s="5" t="s">
        <v>1918</v>
      </c>
      <c r="C1" s="5" t="s">
        <v>2068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 t="s">
        <v>2069</v>
      </c>
      <c r="B2" s="50" t="s">
        <v>2070</v>
      </c>
      <c r="C2" s="5" t="s">
        <v>2071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5" t="s">
        <v>2072</v>
      </c>
      <c r="B3" s="50" t="s">
        <v>2073</v>
      </c>
      <c r="C3" s="5" t="s">
        <v>2074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5" t="s">
        <v>2075</v>
      </c>
      <c r="B4" s="50" t="s">
        <v>2076</v>
      </c>
      <c r="C4" s="5" t="s">
        <v>2077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5" t="s">
        <v>2078</v>
      </c>
      <c r="B5" s="50" t="s">
        <v>2079</v>
      </c>
      <c r="C5" s="5" t="s">
        <v>2080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5" t="s">
        <v>2081</v>
      </c>
      <c r="B6" s="50" t="s">
        <v>2082</v>
      </c>
      <c r="C6" s="5" t="s">
        <v>2083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5" t="s">
        <v>2084</v>
      </c>
      <c r="B7" s="50" t="s">
        <v>2085</v>
      </c>
      <c r="C7" s="5" t="s">
        <v>2086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5" t="s">
        <v>2087</v>
      </c>
      <c r="B8" s="50" t="s">
        <v>2088</v>
      </c>
      <c r="C8" s="5" t="s">
        <v>2089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5" t="s">
        <v>2090</v>
      </c>
      <c r="B9" s="50" t="s">
        <v>2091</v>
      </c>
      <c r="C9" s="5" t="s">
        <v>2092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5" t="s">
        <v>2093</v>
      </c>
      <c r="B10" s="50" t="s">
        <v>2094</v>
      </c>
      <c r="C10" s="5" t="s">
        <v>2095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5" t="s">
        <v>2096</v>
      </c>
      <c r="B11" s="50" t="s">
        <v>2097</v>
      </c>
      <c r="C11" s="5" t="s">
        <v>2098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5" t="s">
        <v>2099</v>
      </c>
      <c r="B12" s="50" t="s">
        <v>2100</v>
      </c>
      <c r="C12" s="5" t="s">
        <v>2101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5" t="s">
        <v>2102</v>
      </c>
      <c r="B13" s="50" t="s">
        <v>2103</v>
      </c>
      <c r="C13" s="5" t="s">
        <v>2104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5" t="s">
        <v>2105</v>
      </c>
      <c r="B14" s="50" t="s">
        <v>2106</v>
      </c>
      <c r="C14" s="5" t="s">
        <v>2107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5" t="s">
        <v>2108</v>
      </c>
      <c r="B15" s="50" t="s">
        <v>2109</v>
      </c>
      <c r="C15" s="5" t="s">
        <v>2110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5" t="s">
        <v>2111</v>
      </c>
      <c r="B16" s="50" t="s">
        <v>2112</v>
      </c>
      <c r="C16" s="5" t="s">
        <v>2113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5" t="s">
        <v>2114</v>
      </c>
      <c r="B17" s="50" t="s">
        <v>2115</v>
      </c>
      <c r="C17" s="5" t="s">
        <v>2116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5" t="s">
        <v>2117</v>
      </c>
      <c r="B18" s="50" t="s">
        <v>2118</v>
      </c>
      <c r="C18" s="5" t="s">
        <v>2119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.63"/>
    <col customWidth="1" min="3" max="3" width="38.13"/>
    <col customWidth="1" min="4" max="4" width="16.25"/>
    <col customWidth="1" min="5" max="5" width="8.88"/>
    <col customWidth="1" min="6" max="6" width="31.63"/>
    <col customWidth="1" min="7" max="7" width="70.0"/>
  </cols>
  <sheetData>
    <row r="1">
      <c r="A1" s="38" t="s">
        <v>2120</v>
      </c>
      <c r="B1" s="39"/>
      <c r="C1" s="38" t="str">
        <f>"Drops do " &amp; A2 &amp; " dungeon"</f>
        <v>Drops do Totodile dungeon</v>
      </c>
      <c r="D1" s="173" t="s">
        <v>2121</v>
      </c>
      <c r="E1" s="38" t="s">
        <v>2122</v>
      </c>
      <c r="F1" s="38" t="str">
        <f>"Mobs no " &amp; A2 &amp; " dungeon"</f>
        <v>Mobs no Totodile dungeon</v>
      </c>
      <c r="G1" s="175" t="s">
        <v>2123</v>
      </c>
    </row>
    <row r="2">
      <c r="A2" s="192" t="s">
        <v>1102</v>
      </c>
      <c r="B2" s="42"/>
      <c r="C2" s="43" t="str">
        <f>IFERROR(__xludf.DUMMYFUNCTION("TRANSPOSE(QUERY(DgItems!A:L, ""SELECT C, D, E, F, G, H, I , J, K, L WHERE A = '""&amp;A2&amp;""'"", 1))"),"water fragment")</f>
        <v>water fragment</v>
      </c>
      <c r="D2" s="43">
        <f>IFERROR(__xludf.DUMMYFUNCTION("QUERY(DgItems!A:L, ""SELECT B WHERE A = '""&amp;A2&amp;""'"", 0)"),1.0)</f>
        <v>1</v>
      </c>
      <c r="E2" s="193">
        <f>IFERROR(__xludf.DUMMYFUNCTION("QUERY(DgMobs!A:I, ""SELECT D WHERE A = '""&amp;A2&amp;""'"", 0)"),50000.0)</f>
        <v>50000</v>
      </c>
      <c r="F2" s="43" t="str">
        <f>IFERROR(__xludf.DUMMYFUNCTION("TRANSPOSE(QUERY(DgMobs!A:L, ""SELECT F, G, H, I, J WHERE A = '""&amp;A2&amp;""'"", 1))"),"Maril")</f>
        <v>Maril</v>
      </c>
    </row>
    <row r="3">
      <c r="B3" s="42"/>
      <c r="C3" s="44" t="str">
        <f>IFERROR(__xludf.DUMMYFUNCTION("""COMPUTED_VALUE"""),"water stone")</f>
        <v>water stone</v>
      </c>
      <c r="D3" s="47"/>
      <c r="E3" s="47"/>
      <c r="F3" s="44" t="str">
        <f>IFERROR(__xludf.DUMMYFUNCTION("""COMPUTED_VALUE"""),"Totodile")</f>
        <v>Totodile</v>
      </c>
    </row>
    <row r="4">
      <c r="A4" s="46"/>
      <c r="B4" s="42"/>
      <c r="C4" s="43" t="str">
        <f>IFERROR(__xludf.DUMMYFUNCTION("""COMPUTED_VALUE"""),"totodile tail (Totodile)")</f>
        <v>totodile tail (Totodile)</v>
      </c>
      <c r="D4" s="47"/>
      <c r="E4" s="47"/>
      <c r="F4" s="43" t="str">
        <f>IFERROR(__xludf.DUMMYFUNCTION("""COMPUTED_VALUE"""),"Squirtle")</f>
        <v>Squirtle</v>
      </c>
    </row>
    <row r="5">
      <c r="B5" s="42"/>
      <c r="C5" s="44" t="str">
        <f>IFERROR(__xludf.DUMMYFUNCTION("""COMPUTED_VALUE"""),"aquatic tail (Maril)")</f>
        <v>aquatic tail (Maril)</v>
      </c>
      <c r="D5" s="47"/>
      <c r="E5" s="47"/>
      <c r="F5" s="47"/>
    </row>
    <row r="6">
      <c r="B6" s="42"/>
      <c r="C6" s="43" t="str">
        <f>IFERROR(__xludf.DUMMYFUNCTION("""COMPUTED_VALUE"""),"squirtle hull (Squirtle)")</f>
        <v>squirtle hull (Squirtle)</v>
      </c>
      <c r="D6" s="47"/>
      <c r="E6" s="47"/>
      <c r="F6" s="47"/>
    </row>
    <row r="7">
      <c r="B7" s="42"/>
      <c r="C7" s="44" t="str">
        <f>IFERROR(__xludf.DUMMYFUNCTION("""COMPUTED_VALUE"""),"cyan tail (Shiny Totodile)")</f>
        <v>cyan tail (Shiny Totodile)</v>
      </c>
      <c r="D7" s="47"/>
      <c r="E7" s="47"/>
      <c r="F7" s="47"/>
      <c r="G7" s="45"/>
    </row>
    <row r="8">
      <c r="B8" s="42"/>
      <c r="C8" s="43" t="str">
        <f>IFERROR(__xludf.DUMMYFUNCTION("""COMPUTED_VALUE"""),"blue mohawk (Shiny Croconaw)")</f>
        <v>blue mohawk (Shiny Croconaw)</v>
      </c>
      <c r="D8" s="47"/>
      <c r="E8" s="47"/>
      <c r="F8" s="47"/>
    </row>
    <row r="9">
      <c r="B9" s="42"/>
      <c r="C9" s="47"/>
      <c r="D9" s="47"/>
      <c r="E9" s="47"/>
      <c r="F9" s="47"/>
    </row>
    <row r="10">
      <c r="B10" s="42"/>
      <c r="C10" s="47"/>
      <c r="D10" s="47"/>
      <c r="E10" s="47"/>
      <c r="F10" s="47"/>
    </row>
    <row r="11">
      <c r="B11" s="42"/>
      <c r="C11" s="47"/>
      <c r="D11" s="47"/>
      <c r="E11" s="47"/>
      <c r="F11" s="47"/>
    </row>
    <row r="12">
      <c r="B12" s="42"/>
      <c r="C12" s="47"/>
      <c r="D12" s="47"/>
      <c r="E12" s="47"/>
      <c r="F12" s="47"/>
    </row>
    <row r="13">
      <c r="B13" s="42"/>
      <c r="C13" s="47"/>
      <c r="D13" s="47"/>
      <c r="E13" s="47"/>
      <c r="F13" s="47"/>
    </row>
    <row r="14">
      <c r="B14" s="42"/>
      <c r="C14" s="47"/>
      <c r="D14" s="47"/>
      <c r="E14" s="47"/>
      <c r="F14" s="47"/>
    </row>
    <row r="15">
      <c r="B15" s="42"/>
      <c r="C15" s="47"/>
      <c r="D15" s="47"/>
      <c r="E15" s="47"/>
      <c r="F15" s="47"/>
    </row>
    <row r="16">
      <c r="B16" s="42"/>
      <c r="C16" s="47"/>
      <c r="D16" s="47"/>
      <c r="E16" s="47"/>
      <c r="F16" s="47"/>
    </row>
    <row r="17">
      <c r="B17" s="42"/>
      <c r="C17" s="47"/>
      <c r="D17" s="47"/>
      <c r="E17" s="47"/>
      <c r="F17" s="47"/>
    </row>
    <row r="18">
      <c r="B18" s="42"/>
      <c r="C18" s="47"/>
      <c r="D18" s="47"/>
      <c r="E18" s="47"/>
      <c r="F18" s="47"/>
    </row>
    <row r="19">
      <c r="B19" s="42"/>
      <c r="C19" s="47"/>
      <c r="D19" s="47"/>
      <c r="E19" s="47"/>
      <c r="F19" s="47"/>
    </row>
    <row r="20">
      <c r="B20" s="42"/>
      <c r="C20" s="47"/>
      <c r="D20" s="47"/>
      <c r="E20" s="47"/>
      <c r="F20" s="47"/>
    </row>
    <row r="21">
      <c r="B21" s="42"/>
      <c r="C21" s="47"/>
      <c r="D21" s="47"/>
      <c r="E21" s="47"/>
      <c r="F21" s="47"/>
    </row>
    <row r="22">
      <c r="B22" s="42"/>
      <c r="C22" s="47"/>
      <c r="D22" s="47"/>
      <c r="E22" s="47"/>
      <c r="F22" s="47"/>
    </row>
    <row r="23">
      <c r="B23" s="42"/>
      <c r="C23" s="47"/>
      <c r="D23" s="47"/>
      <c r="E23" s="47"/>
      <c r="F23" s="47"/>
    </row>
    <row r="24">
      <c r="B24" s="42"/>
      <c r="C24" s="47"/>
      <c r="D24" s="47"/>
      <c r="E24" s="47"/>
      <c r="F24" s="47"/>
    </row>
    <row r="25">
      <c r="B25" s="42"/>
      <c r="C25" s="47"/>
      <c r="D25" s="47"/>
      <c r="E25" s="47"/>
      <c r="F25" s="47"/>
    </row>
    <row r="26">
      <c r="B26" s="42"/>
      <c r="C26" s="47"/>
      <c r="D26" s="47"/>
      <c r="E26" s="47"/>
      <c r="F26" s="47"/>
    </row>
    <row r="27">
      <c r="B27" s="42"/>
      <c r="C27" s="47"/>
      <c r="D27" s="47"/>
      <c r="E27" s="47"/>
      <c r="F27" s="47"/>
    </row>
    <row r="28">
      <c r="B28" s="42"/>
      <c r="C28" s="47"/>
      <c r="D28" s="47"/>
      <c r="E28" s="47"/>
      <c r="F28" s="47"/>
    </row>
    <row r="29">
      <c r="B29" s="42"/>
      <c r="C29" s="47"/>
      <c r="D29" s="47"/>
      <c r="E29" s="47"/>
      <c r="F29" s="47"/>
    </row>
    <row r="30">
      <c r="B30" s="42"/>
      <c r="C30" s="47"/>
      <c r="D30" s="47"/>
      <c r="E30" s="47"/>
      <c r="F30" s="47"/>
    </row>
    <row r="31">
      <c r="B31" s="42"/>
      <c r="C31" s="47"/>
      <c r="D31" s="47"/>
      <c r="E31" s="47"/>
      <c r="F31" s="47"/>
    </row>
    <row r="32">
      <c r="B32" s="42"/>
      <c r="C32" s="47"/>
      <c r="D32" s="47"/>
      <c r="E32" s="47"/>
      <c r="F32" s="47"/>
    </row>
    <row r="33">
      <c r="B33" s="42"/>
      <c r="C33" s="47"/>
      <c r="D33" s="47"/>
      <c r="E33" s="47"/>
      <c r="F33" s="47"/>
    </row>
    <row r="34">
      <c r="B34" s="42"/>
      <c r="C34" s="47"/>
      <c r="D34" s="47"/>
      <c r="E34" s="47"/>
      <c r="F34" s="47"/>
    </row>
    <row r="35">
      <c r="B35" s="42"/>
      <c r="C35" s="47"/>
      <c r="D35" s="47"/>
      <c r="E35" s="47"/>
      <c r="F35" s="47"/>
    </row>
    <row r="36">
      <c r="B36" s="42"/>
      <c r="C36" s="47"/>
      <c r="D36" s="47"/>
      <c r="E36" s="47"/>
      <c r="F36" s="47"/>
    </row>
    <row r="37">
      <c r="B37" s="42"/>
      <c r="C37" s="47"/>
      <c r="D37" s="47"/>
      <c r="E37" s="47"/>
      <c r="F37" s="47"/>
    </row>
    <row r="38">
      <c r="B38" s="42"/>
      <c r="C38" s="47"/>
      <c r="D38" s="47"/>
      <c r="E38" s="47"/>
      <c r="F38" s="47"/>
    </row>
    <row r="39">
      <c r="B39" s="42"/>
      <c r="C39" s="47"/>
      <c r="D39" s="47"/>
      <c r="E39" s="47"/>
      <c r="F39" s="47"/>
    </row>
    <row r="40">
      <c r="B40" s="42"/>
      <c r="C40" s="47"/>
      <c r="D40" s="47"/>
      <c r="E40" s="47"/>
      <c r="F40" s="47"/>
    </row>
    <row r="41">
      <c r="B41" s="42"/>
      <c r="C41" s="47"/>
      <c r="D41" s="47"/>
      <c r="E41" s="47"/>
      <c r="F41" s="47"/>
    </row>
    <row r="42">
      <c r="B42" s="42"/>
      <c r="C42" s="47"/>
      <c r="D42" s="47"/>
      <c r="E42" s="47"/>
      <c r="F42" s="47"/>
    </row>
    <row r="43">
      <c r="B43" s="42"/>
      <c r="C43" s="47"/>
      <c r="D43" s="47"/>
      <c r="E43" s="47"/>
      <c r="F43" s="47"/>
    </row>
    <row r="44">
      <c r="B44" s="42"/>
      <c r="C44" s="47"/>
      <c r="D44" s="47"/>
      <c r="E44" s="47"/>
      <c r="F44" s="47"/>
    </row>
    <row r="45">
      <c r="B45" s="42"/>
      <c r="C45" s="47"/>
      <c r="D45" s="47"/>
      <c r="E45" s="47"/>
      <c r="F45" s="47"/>
    </row>
    <row r="46">
      <c r="B46" s="42"/>
      <c r="C46" s="47"/>
      <c r="D46" s="47"/>
      <c r="E46" s="47"/>
      <c r="F46" s="47"/>
    </row>
    <row r="47">
      <c r="B47" s="42"/>
      <c r="C47" s="47"/>
      <c r="D47" s="47"/>
      <c r="E47" s="47"/>
      <c r="F47" s="47"/>
    </row>
    <row r="48">
      <c r="B48" s="42"/>
      <c r="C48" s="47"/>
      <c r="D48" s="47"/>
      <c r="E48" s="47"/>
      <c r="F48" s="47"/>
    </row>
    <row r="49">
      <c r="B49" s="42"/>
      <c r="C49" s="47"/>
      <c r="D49" s="47"/>
      <c r="E49" s="47"/>
      <c r="F49" s="47"/>
    </row>
    <row r="50">
      <c r="B50" s="42"/>
      <c r="C50" s="47"/>
      <c r="D50" s="47"/>
      <c r="E50" s="47"/>
      <c r="F50" s="47"/>
    </row>
    <row r="51">
      <c r="B51" s="42"/>
      <c r="C51" s="47"/>
      <c r="D51" s="47"/>
      <c r="E51" s="47"/>
      <c r="F51" s="47"/>
    </row>
    <row r="52">
      <c r="B52" s="42"/>
      <c r="C52" s="47"/>
      <c r="D52" s="47"/>
      <c r="E52" s="47"/>
      <c r="F52" s="47"/>
    </row>
    <row r="53">
      <c r="B53" s="42"/>
      <c r="C53" s="47"/>
      <c r="D53" s="47"/>
      <c r="E53" s="47"/>
      <c r="F53" s="47"/>
    </row>
    <row r="54">
      <c r="B54" s="42"/>
      <c r="C54" s="47"/>
      <c r="D54" s="47"/>
      <c r="E54" s="47"/>
      <c r="F54" s="47"/>
    </row>
    <row r="55">
      <c r="B55" s="42"/>
      <c r="C55" s="47"/>
      <c r="D55" s="47"/>
      <c r="E55" s="47"/>
      <c r="F55" s="47"/>
    </row>
    <row r="56">
      <c r="B56" s="42"/>
      <c r="C56" s="47"/>
      <c r="D56" s="47"/>
      <c r="E56" s="47"/>
      <c r="F56" s="47"/>
    </row>
    <row r="57">
      <c r="B57" s="42"/>
      <c r="C57" s="47"/>
      <c r="D57" s="47"/>
      <c r="E57" s="47"/>
      <c r="F57" s="47"/>
    </row>
    <row r="58">
      <c r="B58" s="42"/>
      <c r="C58" s="47"/>
      <c r="D58" s="47"/>
      <c r="E58" s="47"/>
      <c r="F58" s="47"/>
    </row>
    <row r="59">
      <c r="B59" s="42"/>
      <c r="C59" s="47"/>
      <c r="D59" s="47"/>
      <c r="E59" s="47"/>
      <c r="F59" s="47"/>
    </row>
    <row r="60">
      <c r="B60" s="42"/>
      <c r="C60" s="47"/>
      <c r="D60" s="47"/>
      <c r="E60" s="47"/>
      <c r="F60" s="47"/>
    </row>
    <row r="61">
      <c r="B61" s="42"/>
      <c r="C61" s="47"/>
      <c r="D61" s="47"/>
      <c r="E61" s="47"/>
      <c r="F61" s="47"/>
    </row>
    <row r="62">
      <c r="B62" s="42"/>
      <c r="C62" s="47"/>
      <c r="D62" s="47"/>
      <c r="E62" s="47"/>
      <c r="F62" s="47"/>
    </row>
    <row r="63">
      <c r="B63" s="42"/>
      <c r="C63" s="47"/>
      <c r="D63" s="47"/>
      <c r="E63" s="47"/>
      <c r="F63" s="47"/>
    </row>
    <row r="64">
      <c r="B64" s="42"/>
      <c r="C64" s="47"/>
      <c r="D64" s="47"/>
      <c r="E64" s="47"/>
      <c r="F64" s="47"/>
    </row>
    <row r="65">
      <c r="B65" s="42"/>
      <c r="C65" s="47"/>
      <c r="D65" s="47"/>
      <c r="E65" s="47"/>
      <c r="F65" s="47"/>
    </row>
    <row r="66">
      <c r="B66" s="42"/>
      <c r="C66" s="47"/>
      <c r="D66" s="47"/>
      <c r="E66" s="47"/>
      <c r="F66" s="47"/>
    </row>
    <row r="67">
      <c r="B67" s="42"/>
      <c r="C67" s="47"/>
      <c r="D67" s="47"/>
      <c r="E67" s="47"/>
      <c r="F67" s="47"/>
    </row>
    <row r="68">
      <c r="B68" s="42"/>
      <c r="C68" s="47"/>
      <c r="D68" s="47"/>
      <c r="E68" s="47"/>
      <c r="F68" s="47"/>
    </row>
    <row r="69">
      <c r="B69" s="42"/>
      <c r="C69" s="47"/>
      <c r="D69" s="47"/>
      <c r="E69" s="47"/>
      <c r="F69" s="47"/>
    </row>
    <row r="70">
      <c r="B70" s="42"/>
      <c r="C70" s="47"/>
      <c r="D70" s="47"/>
      <c r="E70" s="47"/>
      <c r="F70" s="47"/>
    </row>
    <row r="71">
      <c r="B71" s="42"/>
      <c r="C71" s="47"/>
      <c r="D71" s="47"/>
      <c r="E71" s="47"/>
      <c r="F71" s="47"/>
    </row>
    <row r="72">
      <c r="B72" s="42"/>
      <c r="C72" s="47"/>
      <c r="D72" s="47"/>
      <c r="E72" s="47"/>
      <c r="F72" s="47"/>
    </row>
    <row r="73">
      <c r="B73" s="42"/>
      <c r="C73" s="47"/>
      <c r="D73" s="47"/>
      <c r="E73" s="47"/>
      <c r="F73" s="47"/>
    </row>
    <row r="74">
      <c r="B74" s="42"/>
      <c r="C74" s="47"/>
      <c r="D74" s="47"/>
      <c r="E74" s="47"/>
      <c r="F74" s="47"/>
    </row>
    <row r="75">
      <c r="B75" s="42"/>
      <c r="C75" s="47"/>
      <c r="D75" s="47"/>
      <c r="E75" s="47"/>
      <c r="F75" s="47"/>
    </row>
    <row r="76">
      <c r="B76" s="42"/>
      <c r="C76" s="47"/>
      <c r="D76" s="47"/>
      <c r="E76" s="47"/>
      <c r="F76" s="47"/>
    </row>
    <row r="77">
      <c r="B77" s="42"/>
      <c r="C77" s="47"/>
      <c r="D77" s="47"/>
      <c r="E77" s="47"/>
      <c r="F77" s="47"/>
    </row>
    <row r="78">
      <c r="B78" s="42"/>
      <c r="C78" s="47"/>
      <c r="D78" s="47"/>
      <c r="E78" s="47"/>
      <c r="F78" s="47"/>
    </row>
    <row r="79">
      <c r="B79" s="42"/>
      <c r="C79" s="47"/>
      <c r="D79" s="47"/>
      <c r="E79" s="47"/>
      <c r="F79" s="47"/>
    </row>
    <row r="80">
      <c r="B80" s="42"/>
      <c r="C80" s="47"/>
      <c r="D80" s="47"/>
      <c r="E80" s="47"/>
      <c r="F80" s="47"/>
    </row>
    <row r="81">
      <c r="B81" s="42"/>
      <c r="C81" s="47"/>
      <c r="D81" s="47"/>
      <c r="E81" s="47"/>
      <c r="F81" s="47"/>
    </row>
    <row r="82">
      <c r="B82" s="42"/>
      <c r="C82" s="47"/>
      <c r="D82" s="47"/>
      <c r="E82" s="47"/>
      <c r="F82" s="47"/>
    </row>
    <row r="83">
      <c r="B83" s="42"/>
      <c r="C83" s="47"/>
      <c r="D83" s="47"/>
      <c r="E83" s="47"/>
      <c r="F83" s="47"/>
    </row>
    <row r="84">
      <c r="B84" s="42"/>
      <c r="C84" s="47"/>
      <c r="D84" s="47"/>
      <c r="E84" s="47"/>
      <c r="F84" s="47"/>
    </row>
    <row r="85">
      <c r="B85" s="42"/>
      <c r="C85" s="47"/>
      <c r="D85" s="47"/>
      <c r="E85" s="47"/>
      <c r="F85" s="47"/>
    </row>
    <row r="86">
      <c r="B86" s="42"/>
      <c r="C86" s="47"/>
      <c r="D86" s="47"/>
      <c r="E86" s="47"/>
      <c r="F86" s="47"/>
    </row>
    <row r="87">
      <c r="B87" s="42"/>
      <c r="C87" s="47"/>
      <c r="D87" s="47"/>
      <c r="E87" s="47"/>
      <c r="F87" s="47"/>
    </row>
    <row r="88">
      <c r="B88" s="42"/>
      <c r="C88" s="47"/>
      <c r="D88" s="47"/>
      <c r="E88" s="47"/>
      <c r="F88" s="47"/>
    </row>
    <row r="89">
      <c r="B89" s="42"/>
      <c r="C89" s="47"/>
      <c r="D89" s="47"/>
      <c r="E89" s="47"/>
      <c r="F89" s="47"/>
    </row>
    <row r="90">
      <c r="B90" s="42"/>
      <c r="C90" s="47"/>
      <c r="D90" s="47"/>
      <c r="E90" s="47"/>
      <c r="F90" s="47"/>
    </row>
    <row r="91">
      <c r="B91" s="42"/>
      <c r="C91" s="47"/>
      <c r="D91" s="47"/>
      <c r="E91" s="47"/>
      <c r="F91" s="47"/>
    </row>
    <row r="92">
      <c r="B92" s="42"/>
      <c r="C92" s="47"/>
      <c r="D92" s="47"/>
      <c r="E92" s="47"/>
      <c r="F92" s="47"/>
    </row>
    <row r="93">
      <c r="B93" s="42"/>
      <c r="C93" s="47"/>
      <c r="D93" s="47"/>
      <c r="E93" s="47"/>
      <c r="F93" s="47"/>
    </row>
    <row r="94">
      <c r="B94" s="42"/>
      <c r="C94" s="47"/>
      <c r="D94" s="47"/>
      <c r="E94" s="47"/>
      <c r="F94" s="47"/>
    </row>
    <row r="95">
      <c r="B95" s="42"/>
      <c r="C95" s="47"/>
      <c r="D95" s="47"/>
      <c r="E95" s="47"/>
      <c r="F95" s="47"/>
    </row>
    <row r="96">
      <c r="B96" s="42"/>
      <c r="C96" s="47"/>
      <c r="D96" s="47"/>
      <c r="E96" s="47"/>
      <c r="F96" s="47"/>
    </row>
    <row r="97">
      <c r="B97" s="42"/>
      <c r="C97" s="47"/>
      <c r="D97" s="47"/>
      <c r="E97" s="47"/>
      <c r="F97" s="47"/>
    </row>
    <row r="98">
      <c r="B98" s="42"/>
      <c r="C98" s="47"/>
      <c r="D98" s="47"/>
      <c r="E98" s="47"/>
      <c r="F98" s="47"/>
    </row>
    <row r="99">
      <c r="B99" s="42"/>
      <c r="C99" s="47"/>
      <c r="D99" s="47"/>
      <c r="E99" s="47"/>
      <c r="F99" s="47"/>
    </row>
    <row r="100">
      <c r="B100" s="42"/>
      <c r="C100" s="47"/>
      <c r="D100" s="47"/>
      <c r="E100" s="47"/>
      <c r="F100" s="47"/>
    </row>
    <row r="101">
      <c r="B101" s="42"/>
      <c r="C101" s="47"/>
      <c r="D101" s="47"/>
      <c r="E101" s="47"/>
      <c r="F101" s="47"/>
    </row>
    <row r="102">
      <c r="B102" s="42"/>
      <c r="C102" s="47"/>
      <c r="D102" s="47"/>
      <c r="E102" s="47"/>
      <c r="F102" s="47"/>
    </row>
    <row r="103">
      <c r="B103" s="42"/>
      <c r="C103" s="47"/>
      <c r="D103" s="47"/>
      <c r="E103" s="47"/>
      <c r="F103" s="47"/>
    </row>
    <row r="104">
      <c r="B104" s="42"/>
      <c r="C104" s="47"/>
      <c r="D104" s="47"/>
      <c r="E104" s="47"/>
      <c r="F104" s="47"/>
    </row>
    <row r="105">
      <c r="B105" s="42"/>
      <c r="C105" s="47"/>
      <c r="D105" s="47"/>
      <c r="E105" s="47"/>
      <c r="F105" s="47"/>
    </row>
    <row r="106">
      <c r="B106" s="42"/>
      <c r="C106" s="47"/>
      <c r="D106" s="47"/>
      <c r="E106" s="47"/>
      <c r="F106" s="47"/>
    </row>
    <row r="107">
      <c r="B107" s="42"/>
      <c r="C107" s="47"/>
      <c r="D107" s="47"/>
      <c r="E107" s="47"/>
      <c r="F107" s="47"/>
    </row>
    <row r="108">
      <c r="B108" s="42"/>
      <c r="C108" s="47"/>
      <c r="D108" s="47"/>
      <c r="E108" s="47"/>
      <c r="F108" s="47"/>
    </row>
    <row r="109">
      <c r="B109" s="42"/>
      <c r="C109" s="47"/>
      <c r="D109" s="47"/>
      <c r="E109" s="47"/>
      <c r="F109" s="47"/>
    </row>
    <row r="110">
      <c r="B110" s="42"/>
      <c r="C110" s="47"/>
      <c r="D110" s="47"/>
      <c r="E110" s="47"/>
      <c r="F110" s="47"/>
    </row>
    <row r="111">
      <c r="B111" s="42"/>
      <c r="C111" s="47"/>
      <c r="D111" s="47"/>
      <c r="E111" s="47"/>
      <c r="F111" s="47"/>
    </row>
    <row r="112">
      <c r="B112" s="42"/>
      <c r="C112" s="47"/>
      <c r="D112" s="47"/>
      <c r="E112" s="47"/>
      <c r="F112" s="47"/>
    </row>
    <row r="113">
      <c r="B113" s="42"/>
      <c r="C113" s="47"/>
      <c r="D113" s="47"/>
      <c r="E113" s="47"/>
      <c r="F113" s="47"/>
    </row>
    <row r="114">
      <c r="B114" s="42"/>
      <c r="C114" s="47"/>
      <c r="D114" s="47"/>
      <c r="E114" s="47"/>
      <c r="F114" s="47"/>
    </row>
    <row r="115">
      <c r="B115" s="42"/>
      <c r="C115" s="47"/>
      <c r="D115" s="47"/>
      <c r="E115" s="47"/>
      <c r="F115" s="47"/>
    </row>
    <row r="116">
      <c r="B116" s="42"/>
      <c r="C116" s="47"/>
      <c r="D116" s="47"/>
      <c r="E116" s="47"/>
      <c r="F116" s="47"/>
    </row>
    <row r="117">
      <c r="B117" s="42"/>
      <c r="C117" s="47"/>
      <c r="D117" s="47"/>
      <c r="E117" s="47"/>
      <c r="F117" s="47"/>
    </row>
    <row r="118">
      <c r="B118" s="42"/>
      <c r="C118" s="47"/>
      <c r="D118" s="47"/>
      <c r="E118" s="47"/>
      <c r="F118" s="47"/>
    </row>
    <row r="119">
      <c r="B119" s="42"/>
      <c r="C119" s="47"/>
      <c r="D119" s="47"/>
      <c r="E119" s="47"/>
      <c r="F119" s="47"/>
    </row>
    <row r="120">
      <c r="B120" s="42"/>
      <c r="C120" s="47"/>
      <c r="D120" s="47"/>
      <c r="E120" s="47"/>
      <c r="F120" s="47"/>
    </row>
    <row r="121">
      <c r="B121" s="42"/>
      <c r="C121" s="47"/>
      <c r="D121" s="47"/>
      <c r="E121" s="47"/>
      <c r="F121" s="47"/>
    </row>
    <row r="122">
      <c r="B122" s="42"/>
      <c r="C122" s="47"/>
      <c r="D122" s="47"/>
      <c r="E122" s="47"/>
      <c r="F122" s="47"/>
    </row>
    <row r="123">
      <c r="B123" s="42"/>
      <c r="C123" s="47"/>
      <c r="D123" s="47"/>
      <c r="E123" s="47"/>
      <c r="F123" s="47"/>
    </row>
    <row r="124">
      <c r="B124" s="42"/>
      <c r="C124" s="47"/>
      <c r="D124" s="47"/>
      <c r="E124" s="47"/>
      <c r="F124" s="47"/>
    </row>
    <row r="125">
      <c r="B125" s="42"/>
      <c r="C125" s="47"/>
      <c r="D125" s="47"/>
      <c r="E125" s="47"/>
      <c r="F125" s="47"/>
    </row>
    <row r="126">
      <c r="B126" s="42"/>
      <c r="C126" s="47"/>
      <c r="D126" s="47"/>
      <c r="E126" s="47"/>
      <c r="F126" s="47"/>
    </row>
    <row r="127">
      <c r="B127" s="42"/>
      <c r="C127" s="47"/>
      <c r="D127" s="47"/>
      <c r="E127" s="47"/>
      <c r="F127" s="47"/>
    </row>
    <row r="128">
      <c r="B128" s="42"/>
      <c r="C128" s="47"/>
      <c r="D128" s="47"/>
      <c r="E128" s="47"/>
      <c r="F128" s="47"/>
    </row>
    <row r="129">
      <c r="B129" s="42"/>
      <c r="C129" s="47"/>
      <c r="D129" s="47"/>
      <c r="E129" s="47"/>
      <c r="F129" s="47"/>
    </row>
    <row r="130">
      <c r="B130" s="42"/>
      <c r="C130" s="47"/>
      <c r="D130" s="47"/>
      <c r="E130" s="47"/>
      <c r="F130" s="47"/>
    </row>
    <row r="131">
      <c r="B131" s="42"/>
      <c r="C131" s="47"/>
      <c r="D131" s="47"/>
      <c r="E131" s="47"/>
      <c r="F131" s="47"/>
    </row>
    <row r="132">
      <c r="B132" s="42"/>
      <c r="C132" s="47"/>
      <c r="D132" s="47"/>
      <c r="E132" s="47"/>
      <c r="F132" s="47"/>
    </row>
    <row r="133">
      <c r="B133" s="42"/>
      <c r="C133" s="47"/>
      <c r="D133" s="47"/>
      <c r="E133" s="47"/>
      <c r="F133" s="47"/>
    </row>
    <row r="134">
      <c r="B134" s="42"/>
      <c r="C134" s="47"/>
      <c r="D134" s="47"/>
      <c r="E134" s="47"/>
      <c r="F134" s="47"/>
    </row>
    <row r="135">
      <c r="B135" s="42"/>
      <c r="C135" s="47"/>
      <c r="D135" s="47"/>
      <c r="E135" s="47"/>
      <c r="F135" s="47"/>
    </row>
    <row r="136">
      <c r="B136" s="42"/>
      <c r="C136" s="47"/>
      <c r="D136" s="47"/>
      <c r="E136" s="47"/>
      <c r="F136" s="47"/>
    </row>
    <row r="137">
      <c r="B137" s="42"/>
      <c r="C137" s="47"/>
      <c r="D137" s="47"/>
      <c r="E137" s="47"/>
      <c r="F137" s="47"/>
    </row>
    <row r="138">
      <c r="B138" s="42"/>
      <c r="C138" s="47"/>
      <c r="D138" s="47"/>
      <c r="E138" s="47"/>
      <c r="F138" s="47"/>
    </row>
    <row r="139">
      <c r="B139" s="42"/>
      <c r="C139" s="47"/>
      <c r="D139" s="47"/>
      <c r="E139" s="47"/>
      <c r="F139" s="47"/>
    </row>
    <row r="140">
      <c r="B140" s="42"/>
      <c r="C140" s="47"/>
      <c r="D140" s="47"/>
      <c r="E140" s="47"/>
      <c r="F140" s="47"/>
    </row>
    <row r="141">
      <c r="B141" s="42"/>
      <c r="C141" s="47"/>
      <c r="D141" s="47"/>
      <c r="E141" s="47"/>
      <c r="F141" s="47"/>
    </row>
    <row r="142">
      <c r="B142" s="42"/>
      <c r="C142" s="47"/>
      <c r="D142" s="47"/>
      <c r="E142" s="47"/>
      <c r="F142" s="47"/>
    </row>
    <row r="143">
      <c r="B143" s="42"/>
      <c r="C143" s="47"/>
      <c r="D143" s="47"/>
      <c r="E143" s="47"/>
      <c r="F143" s="47"/>
    </row>
    <row r="144">
      <c r="B144" s="42"/>
      <c r="C144" s="47"/>
      <c r="D144" s="47"/>
      <c r="E144" s="47"/>
      <c r="F144" s="47"/>
    </row>
    <row r="145">
      <c r="B145" s="42"/>
      <c r="C145" s="47"/>
      <c r="D145" s="47"/>
      <c r="E145" s="47"/>
      <c r="F145" s="47"/>
    </row>
    <row r="146">
      <c r="B146" s="42"/>
      <c r="C146" s="47"/>
      <c r="D146" s="47"/>
      <c r="E146" s="47"/>
      <c r="F146" s="47"/>
    </row>
    <row r="147">
      <c r="B147" s="42"/>
      <c r="C147" s="47"/>
      <c r="D147" s="47"/>
      <c r="E147" s="47"/>
      <c r="F147" s="47"/>
    </row>
    <row r="148">
      <c r="B148" s="42"/>
      <c r="C148" s="47"/>
      <c r="D148" s="47"/>
      <c r="E148" s="47"/>
      <c r="F148" s="47"/>
    </row>
    <row r="149">
      <c r="B149" s="42"/>
      <c r="C149" s="47"/>
      <c r="D149" s="47"/>
      <c r="E149" s="47"/>
      <c r="F149" s="47"/>
    </row>
    <row r="150">
      <c r="B150" s="42"/>
      <c r="C150" s="47"/>
      <c r="D150" s="47"/>
      <c r="E150" s="47"/>
      <c r="F150" s="47"/>
    </row>
    <row r="151">
      <c r="B151" s="42"/>
      <c r="C151" s="47"/>
      <c r="D151" s="47"/>
      <c r="E151" s="47"/>
      <c r="F151" s="47"/>
    </row>
    <row r="152">
      <c r="B152" s="42"/>
      <c r="C152" s="47"/>
      <c r="D152" s="47"/>
      <c r="E152" s="47"/>
      <c r="F152" s="47"/>
    </row>
    <row r="153">
      <c r="B153" s="42"/>
      <c r="C153" s="47"/>
      <c r="D153" s="47"/>
      <c r="E153" s="47"/>
      <c r="F153" s="47"/>
    </row>
    <row r="154">
      <c r="B154" s="42"/>
      <c r="C154" s="47"/>
      <c r="D154" s="47"/>
      <c r="E154" s="47"/>
      <c r="F154" s="47"/>
    </row>
    <row r="155">
      <c r="B155" s="42"/>
      <c r="C155" s="47"/>
      <c r="D155" s="47"/>
      <c r="E155" s="47"/>
      <c r="F155" s="47"/>
    </row>
    <row r="156">
      <c r="B156" s="42"/>
      <c r="C156" s="47"/>
      <c r="D156" s="47"/>
      <c r="E156" s="47"/>
      <c r="F156" s="47"/>
    </row>
    <row r="157">
      <c r="B157" s="42"/>
      <c r="C157" s="47"/>
      <c r="D157" s="47"/>
      <c r="E157" s="47"/>
      <c r="F157" s="47"/>
    </row>
    <row r="158">
      <c r="B158" s="42"/>
      <c r="C158" s="47"/>
      <c r="D158" s="47"/>
      <c r="E158" s="47"/>
      <c r="F158" s="47"/>
    </row>
    <row r="159">
      <c r="B159" s="42"/>
      <c r="C159" s="47"/>
      <c r="D159" s="47"/>
      <c r="E159" s="47"/>
      <c r="F159" s="47"/>
    </row>
    <row r="160">
      <c r="B160" s="42"/>
      <c r="C160" s="47"/>
      <c r="D160" s="47"/>
      <c r="E160" s="47"/>
      <c r="F160" s="47"/>
    </row>
    <row r="161">
      <c r="B161" s="42"/>
      <c r="C161" s="47"/>
      <c r="D161" s="47"/>
      <c r="E161" s="47"/>
      <c r="F161" s="47"/>
    </row>
    <row r="162">
      <c r="B162" s="42"/>
      <c r="C162" s="47"/>
      <c r="D162" s="47"/>
      <c r="E162" s="47"/>
      <c r="F162" s="47"/>
    </row>
    <row r="163">
      <c r="B163" s="42"/>
      <c r="C163" s="47"/>
      <c r="D163" s="47"/>
      <c r="E163" s="47"/>
      <c r="F163" s="47"/>
    </row>
    <row r="164">
      <c r="B164" s="42"/>
      <c r="C164" s="47"/>
      <c r="D164" s="47"/>
      <c r="E164" s="47"/>
      <c r="F164" s="47"/>
    </row>
    <row r="165">
      <c r="B165" s="42"/>
      <c r="C165" s="47"/>
      <c r="D165" s="47"/>
      <c r="E165" s="47"/>
      <c r="F165" s="47"/>
    </row>
    <row r="166">
      <c r="B166" s="42"/>
      <c r="C166" s="47"/>
      <c r="D166" s="47"/>
      <c r="E166" s="47"/>
      <c r="F166" s="47"/>
    </row>
    <row r="167">
      <c r="B167" s="42"/>
      <c r="C167" s="47"/>
      <c r="D167" s="47"/>
      <c r="E167" s="47"/>
      <c r="F167" s="47"/>
    </row>
    <row r="168">
      <c r="B168" s="42"/>
      <c r="C168" s="47"/>
      <c r="D168" s="47"/>
      <c r="E168" s="47"/>
      <c r="F168" s="47"/>
    </row>
    <row r="169">
      <c r="B169" s="42"/>
      <c r="C169" s="47"/>
      <c r="D169" s="47"/>
      <c r="E169" s="47"/>
      <c r="F169" s="47"/>
    </row>
    <row r="170">
      <c r="B170" s="42"/>
      <c r="C170" s="47"/>
      <c r="D170" s="47"/>
      <c r="E170" s="47"/>
      <c r="F170" s="47"/>
    </row>
    <row r="171">
      <c r="B171" s="42"/>
      <c r="C171" s="47"/>
      <c r="D171" s="47"/>
      <c r="E171" s="47"/>
      <c r="F171" s="47"/>
    </row>
    <row r="172">
      <c r="B172" s="42"/>
      <c r="C172" s="47"/>
      <c r="D172" s="47"/>
      <c r="E172" s="47"/>
      <c r="F172" s="47"/>
    </row>
    <row r="173">
      <c r="B173" s="42"/>
      <c r="C173" s="47"/>
      <c r="D173" s="47"/>
      <c r="E173" s="47"/>
      <c r="F173" s="47"/>
    </row>
    <row r="174">
      <c r="B174" s="42"/>
      <c r="C174" s="47"/>
      <c r="D174" s="47"/>
      <c r="E174" s="47"/>
      <c r="F174" s="47"/>
    </row>
    <row r="175">
      <c r="B175" s="42"/>
      <c r="C175" s="47"/>
      <c r="D175" s="47"/>
      <c r="E175" s="47"/>
      <c r="F175" s="47"/>
    </row>
    <row r="176">
      <c r="B176" s="42"/>
      <c r="C176" s="47"/>
      <c r="D176" s="47"/>
      <c r="E176" s="47"/>
      <c r="F176" s="47"/>
    </row>
    <row r="177">
      <c r="B177" s="42"/>
      <c r="C177" s="47"/>
      <c r="D177" s="47"/>
      <c r="E177" s="47"/>
      <c r="F177" s="47"/>
    </row>
    <row r="178">
      <c r="B178" s="42"/>
      <c r="C178" s="47"/>
      <c r="D178" s="47"/>
      <c r="E178" s="47"/>
      <c r="F178" s="47"/>
    </row>
    <row r="179">
      <c r="B179" s="42"/>
      <c r="C179" s="47"/>
      <c r="D179" s="47"/>
      <c r="E179" s="47"/>
      <c r="F179" s="47"/>
    </row>
    <row r="180">
      <c r="B180" s="42"/>
      <c r="C180" s="47"/>
      <c r="D180" s="47"/>
      <c r="E180" s="47"/>
      <c r="F180" s="47"/>
    </row>
    <row r="181">
      <c r="B181" s="42"/>
      <c r="C181" s="47"/>
      <c r="D181" s="47"/>
      <c r="E181" s="47"/>
      <c r="F181" s="47"/>
    </row>
    <row r="182">
      <c r="B182" s="42"/>
      <c r="C182" s="47"/>
      <c r="D182" s="47"/>
      <c r="E182" s="47"/>
      <c r="F182" s="47"/>
    </row>
    <row r="183">
      <c r="B183" s="42"/>
      <c r="C183" s="47"/>
      <c r="D183" s="47"/>
      <c r="E183" s="47"/>
      <c r="F183" s="47"/>
    </row>
    <row r="184">
      <c r="B184" s="42"/>
      <c r="C184" s="47"/>
      <c r="D184" s="47"/>
      <c r="E184" s="47"/>
      <c r="F184" s="47"/>
    </row>
    <row r="185">
      <c r="B185" s="42"/>
      <c r="C185" s="47"/>
      <c r="D185" s="47"/>
      <c r="E185" s="47"/>
      <c r="F185" s="47"/>
    </row>
    <row r="186">
      <c r="B186" s="42"/>
      <c r="C186" s="47"/>
      <c r="D186" s="47"/>
      <c r="E186" s="47"/>
      <c r="F186" s="47"/>
    </row>
    <row r="187">
      <c r="B187" s="42"/>
      <c r="C187" s="47"/>
      <c r="D187" s="47"/>
      <c r="E187" s="47"/>
      <c r="F187" s="47"/>
    </row>
    <row r="188">
      <c r="B188" s="42"/>
      <c r="C188" s="47"/>
      <c r="D188" s="47"/>
      <c r="E188" s="47"/>
      <c r="F188" s="47"/>
    </row>
    <row r="189">
      <c r="B189" s="42"/>
      <c r="C189" s="47"/>
      <c r="D189" s="47"/>
      <c r="E189" s="47"/>
      <c r="F189" s="47"/>
    </row>
    <row r="190">
      <c r="B190" s="42"/>
      <c r="C190" s="47"/>
      <c r="D190" s="47"/>
      <c r="E190" s="47"/>
      <c r="F190" s="47"/>
    </row>
    <row r="191">
      <c r="B191" s="42"/>
      <c r="C191" s="47"/>
      <c r="D191" s="47"/>
      <c r="E191" s="47"/>
      <c r="F191" s="47"/>
    </row>
    <row r="192">
      <c r="B192" s="42"/>
      <c r="C192" s="47"/>
      <c r="D192" s="47"/>
      <c r="E192" s="47"/>
      <c r="F192" s="47"/>
    </row>
    <row r="193">
      <c r="B193" s="42"/>
      <c r="C193" s="47"/>
      <c r="D193" s="47"/>
      <c r="E193" s="47"/>
      <c r="F193" s="47"/>
    </row>
    <row r="194">
      <c r="B194" s="42"/>
      <c r="C194" s="47"/>
      <c r="D194" s="47"/>
      <c r="E194" s="47"/>
      <c r="F194" s="47"/>
    </row>
    <row r="195">
      <c r="B195" s="42"/>
      <c r="C195" s="47"/>
      <c r="D195" s="47"/>
      <c r="E195" s="47"/>
      <c r="F195" s="47"/>
    </row>
    <row r="196">
      <c r="B196" s="42"/>
      <c r="C196" s="47"/>
      <c r="D196" s="47"/>
      <c r="E196" s="47"/>
      <c r="F196" s="47"/>
    </row>
    <row r="197">
      <c r="B197" s="42"/>
      <c r="C197" s="47"/>
      <c r="D197" s="47"/>
      <c r="E197" s="47"/>
      <c r="F197" s="47"/>
    </row>
    <row r="198">
      <c r="B198" s="42"/>
      <c r="C198" s="47"/>
      <c r="D198" s="47"/>
      <c r="E198" s="47"/>
      <c r="F198" s="47"/>
    </row>
    <row r="199">
      <c r="B199" s="42"/>
      <c r="C199" s="47"/>
      <c r="D199" s="47"/>
      <c r="E199" s="47"/>
      <c r="F199" s="47"/>
    </row>
    <row r="200">
      <c r="B200" s="42"/>
      <c r="C200" s="47"/>
      <c r="D200" s="47"/>
      <c r="E200" s="47"/>
      <c r="F200" s="47"/>
    </row>
    <row r="201">
      <c r="B201" s="42"/>
      <c r="C201" s="47"/>
      <c r="D201" s="47"/>
      <c r="E201" s="47"/>
      <c r="F201" s="47"/>
    </row>
    <row r="202">
      <c r="B202" s="42"/>
      <c r="C202" s="47"/>
      <c r="D202" s="47"/>
      <c r="E202" s="47"/>
      <c r="F202" s="47"/>
    </row>
    <row r="203">
      <c r="B203" s="42"/>
      <c r="C203" s="47"/>
      <c r="D203" s="47"/>
      <c r="E203" s="47"/>
      <c r="F203" s="47"/>
    </row>
    <row r="204">
      <c r="B204" s="42"/>
      <c r="C204" s="47"/>
      <c r="D204" s="47"/>
      <c r="E204" s="47"/>
      <c r="F204" s="47"/>
    </row>
    <row r="205">
      <c r="B205" s="42"/>
      <c r="C205" s="47"/>
      <c r="D205" s="47"/>
      <c r="E205" s="47"/>
      <c r="F205" s="47"/>
    </row>
    <row r="206">
      <c r="B206" s="42"/>
      <c r="C206" s="47"/>
      <c r="D206" s="47"/>
      <c r="E206" s="47"/>
      <c r="F206" s="47"/>
    </row>
    <row r="207">
      <c r="B207" s="42"/>
      <c r="C207" s="47"/>
      <c r="D207" s="47"/>
      <c r="E207" s="47"/>
      <c r="F207" s="47"/>
    </row>
    <row r="208">
      <c r="B208" s="42"/>
      <c r="C208" s="47"/>
      <c r="D208" s="47"/>
      <c r="E208" s="47"/>
      <c r="F208" s="47"/>
    </row>
    <row r="209">
      <c r="B209" s="42"/>
      <c r="C209" s="47"/>
      <c r="D209" s="47"/>
      <c r="E209" s="47"/>
      <c r="F209" s="47"/>
    </row>
    <row r="210">
      <c r="B210" s="42"/>
      <c r="C210" s="47"/>
      <c r="D210" s="47"/>
      <c r="E210" s="47"/>
      <c r="F210" s="47"/>
    </row>
    <row r="211">
      <c r="B211" s="42"/>
      <c r="C211" s="47"/>
      <c r="D211" s="47"/>
      <c r="E211" s="47"/>
      <c r="F211" s="47"/>
    </row>
    <row r="212">
      <c r="B212" s="42"/>
      <c r="C212" s="47"/>
      <c r="D212" s="47"/>
      <c r="E212" s="47"/>
      <c r="F212" s="47"/>
    </row>
    <row r="213">
      <c r="B213" s="42"/>
      <c r="C213" s="47"/>
      <c r="D213" s="47"/>
      <c r="E213" s="47"/>
      <c r="F213" s="47"/>
    </row>
    <row r="214">
      <c r="B214" s="42"/>
      <c r="C214" s="47"/>
      <c r="D214" s="47"/>
      <c r="E214" s="47"/>
      <c r="F214" s="47"/>
    </row>
    <row r="215">
      <c r="B215" s="42"/>
      <c r="C215" s="47"/>
      <c r="D215" s="47"/>
      <c r="E215" s="47"/>
      <c r="F215" s="47"/>
    </row>
    <row r="216">
      <c r="B216" s="42"/>
      <c r="C216" s="47"/>
      <c r="D216" s="47"/>
      <c r="E216" s="47"/>
      <c r="F216" s="47"/>
    </row>
    <row r="217">
      <c r="B217" s="42"/>
      <c r="C217" s="47"/>
      <c r="D217" s="47"/>
      <c r="E217" s="47"/>
      <c r="F217" s="47"/>
    </row>
    <row r="218">
      <c r="B218" s="42"/>
      <c r="C218" s="47"/>
      <c r="D218" s="47"/>
      <c r="E218" s="47"/>
      <c r="F218" s="47"/>
    </row>
    <row r="219">
      <c r="B219" s="42"/>
      <c r="C219" s="47"/>
      <c r="D219" s="47"/>
      <c r="E219" s="47"/>
      <c r="F219" s="47"/>
    </row>
    <row r="220">
      <c r="B220" s="42"/>
      <c r="C220" s="47"/>
      <c r="D220" s="47"/>
      <c r="E220" s="47"/>
      <c r="F220" s="47"/>
    </row>
    <row r="221">
      <c r="B221" s="42"/>
      <c r="C221" s="47"/>
      <c r="D221" s="47"/>
      <c r="E221" s="47"/>
      <c r="F221" s="47"/>
    </row>
    <row r="222">
      <c r="B222" s="42"/>
      <c r="C222" s="47"/>
      <c r="D222" s="47"/>
      <c r="E222" s="47"/>
      <c r="F222" s="47"/>
    </row>
    <row r="223">
      <c r="B223" s="42"/>
      <c r="C223" s="47"/>
      <c r="D223" s="47"/>
      <c r="E223" s="47"/>
      <c r="F223" s="47"/>
    </row>
    <row r="224">
      <c r="B224" s="42"/>
      <c r="C224" s="47"/>
      <c r="D224" s="47"/>
      <c r="E224" s="47"/>
      <c r="F224" s="47"/>
    </row>
    <row r="225">
      <c r="B225" s="42"/>
      <c r="C225" s="47"/>
      <c r="D225" s="47"/>
      <c r="E225" s="47"/>
      <c r="F225" s="47"/>
    </row>
    <row r="226">
      <c r="B226" s="42"/>
      <c r="C226" s="47"/>
      <c r="D226" s="47"/>
      <c r="E226" s="47"/>
      <c r="F226" s="47"/>
    </row>
    <row r="227">
      <c r="B227" s="42"/>
      <c r="C227" s="47"/>
      <c r="D227" s="47"/>
      <c r="E227" s="47"/>
      <c r="F227" s="47"/>
    </row>
    <row r="228">
      <c r="B228" s="42"/>
      <c r="C228" s="47"/>
      <c r="D228" s="47"/>
      <c r="E228" s="47"/>
      <c r="F228" s="47"/>
    </row>
    <row r="229">
      <c r="B229" s="42"/>
      <c r="C229" s="47"/>
      <c r="D229" s="47"/>
      <c r="E229" s="47"/>
      <c r="F229" s="47"/>
    </row>
    <row r="230">
      <c r="B230" s="42"/>
      <c r="C230" s="47"/>
      <c r="D230" s="47"/>
      <c r="E230" s="47"/>
      <c r="F230" s="47"/>
    </row>
    <row r="231">
      <c r="B231" s="42"/>
      <c r="C231" s="47"/>
      <c r="D231" s="47"/>
      <c r="E231" s="47"/>
      <c r="F231" s="47"/>
    </row>
    <row r="232">
      <c r="B232" s="42"/>
      <c r="C232" s="47"/>
      <c r="D232" s="47"/>
      <c r="E232" s="47"/>
      <c r="F232" s="47"/>
    </row>
    <row r="233">
      <c r="B233" s="42"/>
      <c r="C233" s="47"/>
      <c r="D233" s="47"/>
      <c r="E233" s="47"/>
      <c r="F233" s="47"/>
    </row>
    <row r="234">
      <c r="B234" s="42"/>
      <c r="C234" s="47"/>
      <c r="D234" s="47"/>
      <c r="E234" s="47"/>
      <c r="F234" s="47"/>
    </row>
    <row r="235">
      <c r="B235" s="42"/>
      <c r="C235" s="47"/>
      <c r="D235" s="47"/>
      <c r="E235" s="47"/>
      <c r="F235" s="47"/>
    </row>
    <row r="236">
      <c r="B236" s="42"/>
      <c r="C236" s="47"/>
      <c r="D236" s="47"/>
      <c r="E236" s="47"/>
      <c r="F236" s="47"/>
    </row>
    <row r="237">
      <c r="B237" s="42"/>
      <c r="C237" s="47"/>
      <c r="D237" s="47"/>
      <c r="E237" s="47"/>
      <c r="F237" s="47"/>
    </row>
    <row r="238">
      <c r="B238" s="42"/>
      <c r="C238" s="47"/>
      <c r="D238" s="47"/>
      <c r="E238" s="47"/>
      <c r="F238" s="47"/>
    </row>
    <row r="239">
      <c r="B239" s="42"/>
      <c r="C239" s="47"/>
      <c r="D239" s="47"/>
      <c r="E239" s="47"/>
      <c r="F239" s="47"/>
    </row>
    <row r="240">
      <c r="B240" s="42"/>
      <c r="C240" s="47"/>
      <c r="D240" s="47"/>
      <c r="E240" s="47"/>
      <c r="F240" s="47"/>
    </row>
    <row r="241">
      <c r="B241" s="42"/>
      <c r="C241" s="47"/>
      <c r="D241" s="47"/>
      <c r="E241" s="47"/>
      <c r="F241" s="47"/>
    </row>
    <row r="242">
      <c r="B242" s="42"/>
      <c r="C242" s="47"/>
      <c r="D242" s="47"/>
      <c r="E242" s="47"/>
      <c r="F242" s="47"/>
    </row>
    <row r="243">
      <c r="B243" s="42"/>
      <c r="C243" s="47"/>
      <c r="D243" s="47"/>
      <c r="E243" s="47"/>
      <c r="F243" s="47"/>
    </row>
    <row r="244">
      <c r="B244" s="42"/>
      <c r="C244" s="47"/>
      <c r="D244" s="47"/>
      <c r="E244" s="47"/>
      <c r="F244" s="47"/>
    </row>
    <row r="245">
      <c r="B245" s="42"/>
      <c r="C245" s="47"/>
      <c r="D245" s="47"/>
      <c r="E245" s="47"/>
      <c r="F245" s="47"/>
    </row>
    <row r="246">
      <c r="B246" s="42"/>
      <c r="C246" s="47"/>
      <c r="D246" s="47"/>
      <c r="E246" s="47"/>
      <c r="F246" s="47"/>
    </row>
    <row r="247">
      <c r="B247" s="42"/>
      <c r="C247" s="47"/>
      <c r="D247" s="47"/>
      <c r="E247" s="47"/>
      <c r="F247" s="47"/>
    </row>
    <row r="248">
      <c r="B248" s="42"/>
      <c r="C248" s="47"/>
      <c r="D248" s="47"/>
      <c r="E248" s="47"/>
      <c r="F248" s="47"/>
    </row>
    <row r="249">
      <c r="B249" s="42"/>
      <c r="C249" s="47"/>
      <c r="D249" s="47"/>
      <c r="E249" s="47"/>
      <c r="F249" s="47"/>
    </row>
    <row r="250">
      <c r="B250" s="42"/>
      <c r="C250" s="47"/>
      <c r="D250" s="47"/>
      <c r="E250" s="47"/>
      <c r="F250" s="47"/>
    </row>
    <row r="251">
      <c r="B251" s="42"/>
      <c r="C251" s="47"/>
      <c r="D251" s="47"/>
      <c r="E251" s="47"/>
      <c r="F251" s="47"/>
    </row>
    <row r="252">
      <c r="B252" s="42"/>
      <c r="C252" s="47"/>
      <c r="D252" s="47"/>
      <c r="E252" s="47"/>
      <c r="F252" s="47"/>
    </row>
    <row r="253">
      <c r="B253" s="42"/>
      <c r="C253" s="47"/>
      <c r="D253" s="47"/>
      <c r="E253" s="47"/>
      <c r="F253" s="47"/>
    </row>
    <row r="254">
      <c r="B254" s="42"/>
      <c r="C254" s="47"/>
      <c r="D254" s="47"/>
      <c r="E254" s="47"/>
      <c r="F254" s="47"/>
    </row>
    <row r="255">
      <c r="B255" s="42"/>
      <c r="C255" s="47"/>
      <c r="D255" s="47"/>
      <c r="E255" s="47"/>
      <c r="F255" s="47"/>
    </row>
    <row r="256">
      <c r="B256" s="42"/>
      <c r="C256" s="47"/>
      <c r="D256" s="47"/>
      <c r="E256" s="47"/>
      <c r="F256" s="47"/>
    </row>
    <row r="257">
      <c r="B257" s="42"/>
      <c r="C257" s="47"/>
      <c r="D257" s="47"/>
      <c r="E257" s="47"/>
      <c r="F257" s="47"/>
    </row>
    <row r="258">
      <c r="B258" s="42"/>
      <c r="C258" s="47"/>
      <c r="D258" s="47"/>
      <c r="E258" s="47"/>
      <c r="F258" s="47"/>
    </row>
    <row r="259">
      <c r="B259" s="42"/>
      <c r="C259" s="47"/>
      <c r="D259" s="47"/>
      <c r="E259" s="47"/>
      <c r="F259" s="47"/>
    </row>
    <row r="260">
      <c r="B260" s="42"/>
      <c r="C260" s="47"/>
      <c r="D260" s="47"/>
      <c r="E260" s="47"/>
      <c r="F260" s="47"/>
    </row>
    <row r="261">
      <c r="B261" s="42"/>
      <c r="C261" s="47"/>
      <c r="D261" s="47"/>
      <c r="E261" s="47"/>
      <c r="F261" s="47"/>
    </row>
    <row r="262">
      <c r="B262" s="42"/>
      <c r="C262" s="47"/>
      <c r="D262" s="47"/>
      <c r="E262" s="47"/>
      <c r="F262" s="47"/>
    </row>
    <row r="263">
      <c r="B263" s="42"/>
      <c r="C263" s="47"/>
      <c r="D263" s="47"/>
      <c r="E263" s="47"/>
      <c r="F263" s="47"/>
    </row>
    <row r="264">
      <c r="B264" s="42"/>
      <c r="C264" s="47"/>
      <c r="D264" s="47"/>
      <c r="E264" s="47"/>
      <c r="F264" s="47"/>
    </row>
    <row r="265">
      <c r="B265" s="42"/>
      <c r="C265" s="47"/>
      <c r="D265" s="47"/>
      <c r="E265" s="47"/>
      <c r="F265" s="47"/>
    </row>
    <row r="266">
      <c r="B266" s="42"/>
      <c r="C266" s="47"/>
      <c r="D266" s="47"/>
      <c r="E266" s="47"/>
      <c r="F266" s="47"/>
    </row>
    <row r="267">
      <c r="B267" s="42"/>
      <c r="C267" s="47"/>
      <c r="D267" s="47"/>
      <c r="E267" s="47"/>
      <c r="F267" s="47"/>
    </row>
    <row r="268">
      <c r="B268" s="42"/>
      <c r="C268" s="47"/>
      <c r="D268" s="47"/>
      <c r="E268" s="47"/>
      <c r="F268" s="47"/>
    </row>
    <row r="269">
      <c r="B269" s="42"/>
      <c r="C269" s="47"/>
      <c r="D269" s="47"/>
      <c r="E269" s="47"/>
      <c r="F269" s="47"/>
    </row>
    <row r="270">
      <c r="B270" s="42"/>
      <c r="C270" s="47"/>
      <c r="D270" s="47"/>
      <c r="E270" s="47"/>
      <c r="F270" s="47"/>
    </row>
    <row r="271">
      <c r="B271" s="42"/>
      <c r="C271" s="47"/>
      <c r="D271" s="47"/>
      <c r="E271" s="47"/>
      <c r="F271" s="47"/>
    </row>
    <row r="272">
      <c r="B272" s="42"/>
      <c r="C272" s="47"/>
      <c r="D272" s="47"/>
      <c r="E272" s="47"/>
      <c r="F272" s="47"/>
    </row>
    <row r="273">
      <c r="B273" s="42"/>
      <c r="C273" s="47"/>
      <c r="D273" s="47"/>
      <c r="E273" s="47"/>
      <c r="F273" s="47"/>
    </row>
    <row r="274">
      <c r="B274" s="42"/>
      <c r="C274" s="47"/>
      <c r="D274" s="47"/>
      <c r="E274" s="47"/>
      <c r="F274" s="47"/>
    </row>
    <row r="275">
      <c r="B275" s="42"/>
      <c r="C275" s="47"/>
      <c r="D275" s="47"/>
      <c r="E275" s="47"/>
      <c r="F275" s="47"/>
    </row>
    <row r="276">
      <c r="B276" s="42"/>
      <c r="C276" s="47"/>
      <c r="D276" s="47"/>
      <c r="E276" s="47"/>
      <c r="F276" s="47"/>
    </row>
    <row r="277">
      <c r="B277" s="42"/>
      <c r="C277" s="47"/>
      <c r="D277" s="47"/>
      <c r="E277" s="47"/>
      <c r="F277" s="47"/>
    </row>
    <row r="278">
      <c r="B278" s="42"/>
      <c r="C278" s="47"/>
      <c r="D278" s="47"/>
      <c r="E278" s="47"/>
      <c r="F278" s="47"/>
    </row>
    <row r="279">
      <c r="B279" s="42"/>
      <c r="C279" s="47"/>
      <c r="D279" s="47"/>
      <c r="E279" s="47"/>
      <c r="F279" s="47"/>
    </row>
    <row r="280">
      <c r="B280" s="42"/>
      <c r="C280" s="47"/>
      <c r="D280" s="47"/>
      <c r="E280" s="47"/>
      <c r="F280" s="47"/>
    </row>
    <row r="281">
      <c r="B281" s="42"/>
      <c r="C281" s="47"/>
      <c r="D281" s="47"/>
      <c r="E281" s="47"/>
      <c r="F281" s="47"/>
    </row>
    <row r="282">
      <c r="B282" s="42"/>
      <c r="C282" s="47"/>
      <c r="D282" s="47"/>
      <c r="E282" s="47"/>
      <c r="F282" s="47"/>
    </row>
    <row r="283">
      <c r="B283" s="42"/>
      <c r="C283" s="47"/>
      <c r="D283" s="47"/>
      <c r="E283" s="47"/>
      <c r="F283" s="47"/>
    </row>
    <row r="284">
      <c r="B284" s="42"/>
      <c r="C284" s="47"/>
      <c r="D284" s="47"/>
      <c r="E284" s="47"/>
      <c r="F284" s="47"/>
    </row>
    <row r="285">
      <c r="B285" s="42"/>
      <c r="C285" s="47"/>
      <c r="D285" s="47"/>
      <c r="E285" s="47"/>
      <c r="F285" s="47"/>
    </row>
    <row r="286">
      <c r="B286" s="42"/>
      <c r="C286" s="47"/>
      <c r="D286" s="47"/>
      <c r="E286" s="47"/>
      <c r="F286" s="47"/>
    </row>
    <row r="287">
      <c r="B287" s="42"/>
      <c r="C287" s="47"/>
      <c r="D287" s="47"/>
      <c r="E287" s="47"/>
      <c r="F287" s="47"/>
    </row>
    <row r="288">
      <c r="B288" s="42"/>
      <c r="C288" s="47"/>
      <c r="D288" s="47"/>
      <c r="E288" s="47"/>
      <c r="F288" s="47"/>
    </row>
    <row r="289">
      <c r="B289" s="42"/>
      <c r="C289" s="47"/>
      <c r="D289" s="47"/>
      <c r="E289" s="47"/>
      <c r="F289" s="47"/>
    </row>
    <row r="290">
      <c r="B290" s="42"/>
      <c r="C290" s="47"/>
      <c r="D290" s="47"/>
      <c r="E290" s="47"/>
      <c r="F290" s="47"/>
    </row>
    <row r="291">
      <c r="B291" s="42"/>
      <c r="C291" s="47"/>
      <c r="D291" s="47"/>
      <c r="E291" s="47"/>
      <c r="F291" s="47"/>
    </row>
    <row r="292">
      <c r="B292" s="42"/>
      <c r="C292" s="47"/>
      <c r="D292" s="47"/>
      <c r="E292" s="47"/>
      <c r="F292" s="47"/>
    </row>
    <row r="293">
      <c r="B293" s="42"/>
      <c r="C293" s="47"/>
      <c r="D293" s="47"/>
      <c r="E293" s="47"/>
      <c r="F293" s="47"/>
    </row>
    <row r="294">
      <c r="B294" s="42"/>
      <c r="C294" s="47"/>
      <c r="D294" s="47"/>
      <c r="E294" s="47"/>
      <c r="F294" s="47"/>
    </row>
    <row r="295">
      <c r="B295" s="42"/>
      <c r="C295" s="47"/>
      <c r="D295" s="47"/>
      <c r="E295" s="47"/>
      <c r="F295" s="47"/>
    </row>
    <row r="296">
      <c r="B296" s="42"/>
      <c r="C296" s="47"/>
      <c r="D296" s="47"/>
      <c r="E296" s="47"/>
      <c r="F296" s="47"/>
    </row>
    <row r="297">
      <c r="B297" s="42"/>
      <c r="C297" s="47"/>
      <c r="D297" s="47"/>
      <c r="E297" s="47"/>
      <c r="F297" s="47"/>
    </row>
    <row r="298">
      <c r="B298" s="42"/>
      <c r="C298" s="47"/>
      <c r="D298" s="47"/>
      <c r="E298" s="47"/>
      <c r="F298" s="47"/>
    </row>
    <row r="299">
      <c r="B299" s="42"/>
      <c r="C299" s="47"/>
      <c r="D299" s="47"/>
      <c r="E299" s="47"/>
      <c r="F299" s="47"/>
    </row>
    <row r="300">
      <c r="B300" s="42"/>
      <c r="C300" s="47"/>
      <c r="D300" s="47"/>
      <c r="E300" s="47"/>
      <c r="F300" s="47"/>
    </row>
    <row r="301">
      <c r="B301" s="42"/>
      <c r="C301" s="47"/>
      <c r="D301" s="47"/>
      <c r="E301" s="47"/>
      <c r="F301" s="47"/>
    </row>
    <row r="302">
      <c r="B302" s="42"/>
      <c r="C302" s="47"/>
      <c r="D302" s="47"/>
      <c r="E302" s="47"/>
      <c r="F302" s="47"/>
    </row>
    <row r="303">
      <c r="B303" s="42"/>
      <c r="C303" s="47"/>
      <c r="D303" s="47"/>
      <c r="E303" s="47"/>
      <c r="F303" s="47"/>
    </row>
    <row r="304">
      <c r="B304" s="42"/>
      <c r="C304" s="47"/>
      <c r="D304" s="47"/>
      <c r="E304" s="47"/>
      <c r="F304" s="47"/>
    </row>
    <row r="305">
      <c r="B305" s="42"/>
      <c r="C305" s="47"/>
      <c r="D305" s="47"/>
      <c r="E305" s="47"/>
      <c r="F305" s="47"/>
    </row>
    <row r="306">
      <c r="B306" s="42"/>
      <c r="C306" s="47"/>
      <c r="D306" s="47"/>
      <c r="E306" s="47"/>
      <c r="F306" s="47"/>
    </row>
    <row r="307">
      <c r="B307" s="42"/>
      <c r="C307" s="47"/>
      <c r="D307" s="47"/>
      <c r="E307" s="47"/>
      <c r="F307" s="47"/>
    </row>
    <row r="308">
      <c r="B308" s="42"/>
      <c r="C308" s="47"/>
      <c r="D308" s="47"/>
      <c r="E308" s="47"/>
      <c r="F308" s="47"/>
    </row>
    <row r="309">
      <c r="B309" s="42"/>
      <c r="C309" s="47"/>
      <c r="D309" s="47"/>
      <c r="E309" s="47"/>
      <c r="F309" s="47"/>
    </row>
    <row r="310">
      <c r="B310" s="42"/>
      <c r="C310" s="47"/>
      <c r="D310" s="47"/>
      <c r="E310" s="47"/>
      <c r="F310" s="47"/>
    </row>
    <row r="311">
      <c r="B311" s="42"/>
      <c r="C311" s="47"/>
      <c r="D311" s="47"/>
      <c r="E311" s="47"/>
      <c r="F311" s="47"/>
    </row>
    <row r="312">
      <c r="B312" s="42"/>
      <c r="C312" s="47"/>
      <c r="D312" s="47"/>
      <c r="E312" s="47"/>
      <c r="F312" s="47"/>
    </row>
    <row r="313">
      <c r="B313" s="42"/>
      <c r="C313" s="47"/>
      <c r="D313" s="47"/>
      <c r="E313" s="47"/>
      <c r="F313" s="47"/>
    </row>
    <row r="314">
      <c r="B314" s="42"/>
      <c r="C314" s="47"/>
      <c r="D314" s="47"/>
      <c r="E314" s="47"/>
      <c r="F314" s="47"/>
    </row>
    <row r="315">
      <c r="B315" s="42"/>
      <c r="C315" s="47"/>
      <c r="D315" s="47"/>
      <c r="E315" s="47"/>
      <c r="F315" s="47"/>
    </row>
    <row r="316">
      <c r="B316" s="42"/>
      <c r="C316" s="47"/>
      <c r="D316" s="47"/>
      <c r="E316" s="47"/>
      <c r="F316" s="47"/>
    </row>
    <row r="317">
      <c r="B317" s="42"/>
      <c r="C317" s="47"/>
      <c r="D317" s="47"/>
      <c r="E317" s="47"/>
      <c r="F317" s="47"/>
    </row>
    <row r="318">
      <c r="B318" s="42"/>
      <c r="C318" s="47"/>
      <c r="D318" s="47"/>
      <c r="E318" s="47"/>
      <c r="F318" s="47"/>
    </row>
    <row r="319">
      <c r="B319" s="42"/>
      <c r="C319" s="47"/>
      <c r="D319" s="47"/>
      <c r="E319" s="47"/>
      <c r="F319" s="47"/>
    </row>
    <row r="320">
      <c r="B320" s="42"/>
      <c r="C320" s="47"/>
      <c r="D320" s="47"/>
      <c r="E320" s="47"/>
      <c r="F320" s="47"/>
    </row>
    <row r="321">
      <c r="B321" s="42"/>
      <c r="C321" s="47"/>
      <c r="D321" s="47"/>
      <c r="E321" s="47"/>
      <c r="F321" s="47"/>
    </row>
    <row r="322">
      <c r="B322" s="42"/>
      <c r="C322" s="47"/>
      <c r="D322" s="47"/>
      <c r="E322" s="47"/>
      <c r="F322" s="47"/>
    </row>
    <row r="323">
      <c r="B323" s="42"/>
      <c r="C323" s="47"/>
      <c r="D323" s="47"/>
      <c r="E323" s="47"/>
      <c r="F323" s="47"/>
    </row>
    <row r="324">
      <c r="B324" s="42"/>
      <c r="C324" s="47"/>
      <c r="D324" s="47"/>
      <c r="E324" s="47"/>
      <c r="F324" s="47"/>
    </row>
    <row r="325">
      <c r="B325" s="42"/>
      <c r="C325" s="47"/>
      <c r="D325" s="47"/>
      <c r="E325" s="47"/>
      <c r="F325" s="47"/>
    </row>
    <row r="326">
      <c r="B326" s="42"/>
      <c r="C326" s="47"/>
      <c r="D326" s="47"/>
      <c r="E326" s="47"/>
      <c r="F326" s="47"/>
    </row>
    <row r="327">
      <c r="B327" s="42"/>
      <c r="C327" s="47"/>
      <c r="D327" s="47"/>
      <c r="E327" s="47"/>
      <c r="F327" s="47"/>
    </row>
    <row r="328">
      <c r="B328" s="42"/>
      <c r="C328" s="47"/>
      <c r="D328" s="47"/>
      <c r="E328" s="47"/>
      <c r="F328" s="47"/>
    </row>
    <row r="329">
      <c r="B329" s="42"/>
      <c r="C329" s="47"/>
      <c r="D329" s="47"/>
      <c r="E329" s="47"/>
      <c r="F329" s="47"/>
    </row>
    <row r="330">
      <c r="B330" s="42"/>
      <c r="C330" s="47"/>
      <c r="D330" s="47"/>
      <c r="E330" s="47"/>
      <c r="F330" s="47"/>
    </row>
    <row r="331">
      <c r="B331" s="42"/>
      <c r="C331" s="47"/>
      <c r="D331" s="47"/>
      <c r="E331" s="47"/>
      <c r="F331" s="47"/>
    </row>
    <row r="332">
      <c r="B332" s="42"/>
      <c r="C332" s="47"/>
      <c r="D332" s="47"/>
      <c r="E332" s="47"/>
      <c r="F332" s="47"/>
    </row>
    <row r="333">
      <c r="B333" s="42"/>
      <c r="C333" s="47"/>
      <c r="D333" s="47"/>
      <c r="E333" s="47"/>
      <c r="F333" s="47"/>
    </row>
    <row r="334">
      <c r="B334" s="42"/>
      <c r="C334" s="47"/>
      <c r="D334" s="47"/>
      <c r="E334" s="47"/>
      <c r="F334" s="47"/>
    </row>
    <row r="335">
      <c r="B335" s="42"/>
      <c r="C335" s="47"/>
      <c r="D335" s="47"/>
      <c r="E335" s="47"/>
      <c r="F335" s="47"/>
    </row>
    <row r="336">
      <c r="B336" s="42"/>
      <c r="C336" s="47"/>
      <c r="D336" s="47"/>
      <c r="E336" s="47"/>
      <c r="F336" s="47"/>
    </row>
    <row r="337">
      <c r="B337" s="42"/>
      <c r="C337" s="47"/>
      <c r="D337" s="47"/>
      <c r="E337" s="47"/>
      <c r="F337" s="47"/>
    </row>
    <row r="338">
      <c r="B338" s="42"/>
      <c r="C338" s="47"/>
      <c r="D338" s="47"/>
      <c r="E338" s="47"/>
      <c r="F338" s="47"/>
    </row>
    <row r="339">
      <c r="B339" s="42"/>
      <c r="C339" s="47"/>
      <c r="D339" s="47"/>
      <c r="E339" s="47"/>
      <c r="F339" s="47"/>
    </row>
    <row r="340">
      <c r="B340" s="42"/>
      <c r="C340" s="47"/>
      <c r="D340" s="47"/>
      <c r="E340" s="47"/>
      <c r="F340" s="47"/>
    </row>
    <row r="341">
      <c r="B341" s="42"/>
      <c r="C341" s="47"/>
      <c r="D341" s="47"/>
      <c r="E341" s="47"/>
      <c r="F341" s="47"/>
    </row>
    <row r="342">
      <c r="B342" s="42"/>
      <c r="C342" s="47"/>
      <c r="D342" s="47"/>
      <c r="E342" s="47"/>
      <c r="F342" s="47"/>
    </row>
    <row r="343">
      <c r="B343" s="42"/>
      <c r="C343" s="47"/>
      <c r="D343" s="47"/>
      <c r="E343" s="47"/>
      <c r="F343" s="47"/>
    </row>
    <row r="344">
      <c r="B344" s="42"/>
      <c r="C344" s="47"/>
      <c r="D344" s="47"/>
      <c r="E344" s="47"/>
      <c r="F344" s="47"/>
    </row>
    <row r="345">
      <c r="B345" s="42"/>
      <c r="C345" s="47"/>
      <c r="D345" s="47"/>
      <c r="E345" s="47"/>
      <c r="F345" s="47"/>
    </row>
    <row r="346">
      <c r="B346" s="42"/>
      <c r="C346" s="47"/>
      <c r="D346" s="47"/>
      <c r="E346" s="47"/>
      <c r="F346" s="47"/>
    </row>
    <row r="347">
      <c r="B347" s="42"/>
      <c r="C347" s="47"/>
      <c r="D347" s="47"/>
      <c r="E347" s="47"/>
      <c r="F347" s="47"/>
    </row>
    <row r="348">
      <c r="B348" s="42"/>
      <c r="C348" s="47"/>
      <c r="D348" s="47"/>
      <c r="E348" s="47"/>
      <c r="F348" s="47"/>
    </row>
    <row r="349">
      <c r="B349" s="42"/>
      <c r="C349" s="47"/>
      <c r="D349" s="47"/>
      <c r="E349" s="47"/>
      <c r="F349" s="47"/>
    </row>
    <row r="350">
      <c r="B350" s="42"/>
      <c r="C350" s="47"/>
      <c r="D350" s="47"/>
      <c r="E350" s="47"/>
      <c r="F350" s="47"/>
    </row>
    <row r="351">
      <c r="B351" s="42"/>
      <c r="C351" s="47"/>
      <c r="D351" s="47"/>
      <c r="E351" s="47"/>
      <c r="F351" s="47"/>
    </row>
    <row r="352">
      <c r="B352" s="42"/>
      <c r="C352" s="47"/>
      <c r="D352" s="47"/>
      <c r="E352" s="47"/>
      <c r="F352" s="47"/>
    </row>
    <row r="353">
      <c r="B353" s="42"/>
      <c r="C353" s="47"/>
      <c r="D353" s="47"/>
      <c r="E353" s="47"/>
      <c r="F353" s="47"/>
    </row>
    <row r="354">
      <c r="B354" s="42"/>
      <c r="C354" s="47"/>
      <c r="D354" s="47"/>
      <c r="E354" s="47"/>
      <c r="F354" s="47"/>
    </row>
    <row r="355">
      <c r="B355" s="42"/>
      <c r="C355" s="47"/>
      <c r="D355" s="47"/>
      <c r="E355" s="47"/>
      <c r="F355" s="47"/>
    </row>
    <row r="356">
      <c r="B356" s="42"/>
      <c r="C356" s="47"/>
      <c r="D356" s="47"/>
      <c r="E356" s="47"/>
      <c r="F356" s="47"/>
    </row>
    <row r="357">
      <c r="B357" s="42"/>
      <c r="C357" s="47"/>
      <c r="D357" s="47"/>
      <c r="E357" s="47"/>
      <c r="F357" s="47"/>
    </row>
    <row r="358">
      <c r="B358" s="42"/>
      <c r="C358" s="47"/>
      <c r="D358" s="47"/>
      <c r="E358" s="47"/>
      <c r="F358" s="47"/>
    </row>
    <row r="359">
      <c r="B359" s="42"/>
      <c r="C359" s="47"/>
      <c r="D359" s="47"/>
      <c r="E359" s="47"/>
      <c r="F359" s="47"/>
    </row>
    <row r="360">
      <c r="B360" s="42"/>
      <c r="C360" s="47"/>
      <c r="D360" s="47"/>
      <c r="E360" s="47"/>
      <c r="F360" s="47"/>
    </row>
    <row r="361">
      <c r="B361" s="42"/>
      <c r="C361" s="47"/>
      <c r="D361" s="47"/>
      <c r="E361" s="47"/>
      <c r="F361" s="47"/>
    </row>
    <row r="362">
      <c r="B362" s="42"/>
      <c r="C362" s="47"/>
      <c r="D362" s="47"/>
      <c r="E362" s="47"/>
      <c r="F362" s="47"/>
    </row>
    <row r="363">
      <c r="B363" s="42"/>
      <c r="C363" s="47"/>
      <c r="D363" s="47"/>
      <c r="E363" s="47"/>
      <c r="F363" s="47"/>
    </row>
    <row r="364">
      <c r="B364" s="42"/>
      <c r="C364" s="47"/>
      <c r="D364" s="47"/>
      <c r="E364" s="47"/>
      <c r="F364" s="47"/>
    </row>
    <row r="365">
      <c r="B365" s="42"/>
      <c r="C365" s="47"/>
      <c r="D365" s="47"/>
      <c r="E365" s="47"/>
      <c r="F365" s="47"/>
    </row>
    <row r="366">
      <c r="B366" s="42"/>
      <c r="C366" s="47"/>
      <c r="D366" s="47"/>
      <c r="E366" s="47"/>
      <c r="F366" s="47"/>
    </row>
    <row r="367">
      <c r="B367" s="42"/>
      <c r="C367" s="47"/>
      <c r="D367" s="47"/>
      <c r="E367" s="47"/>
      <c r="F367" s="47"/>
    </row>
    <row r="368">
      <c r="B368" s="42"/>
      <c r="C368" s="47"/>
      <c r="D368" s="47"/>
      <c r="E368" s="47"/>
      <c r="F368" s="47"/>
    </row>
    <row r="369">
      <c r="B369" s="42"/>
      <c r="C369" s="47"/>
      <c r="D369" s="47"/>
      <c r="E369" s="47"/>
      <c r="F369" s="47"/>
    </row>
    <row r="370">
      <c r="B370" s="42"/>
      <c r="C370" s="47"/>
      <c r="D370" s="47"/>
      <c r="E370" s="47"/>
      <c r="F370" s="47"/>
    </row>
    <row r="371">
      <c r="B371" s="42"/>
      <c r="C371" s="47"/>
      <c r="D371" s="47"/>
      <c r="E371" s="47"/>
      <c r="F371" s="47"/>
    </row>
    <row r="372">
      <c r="B372" s="42"/>
      <c r="C372" s="47"/>
      <c r="D372" s="47"/>
      <c r="E372" s="47"/>
      <c r="F372" s="47"/>
    </row>
    <row r="373">
      <c r="B373" s="42"/>
      <c r="C373" s="47"/>
      <c r="D373" s="47"/>
      <c r="E373" s="47"/>
      <c r="F373" s="47"/>
    </row>
    <row r="374">
      <c r="B374" s="42"/>
      <c r="C374" s="47"/>
      <c r="D374" s="47"/>
      <c r="E374" s="47"/>
      <c r="F374" s="47"/>
    </row>
    <row r="375">
      <c r="B375" s="42"/>
      <c r="C375" s="47"/>
      <c r="D375" s="47"/>
      <c r="E375" s="47"/>
      <c r="F375" s="47"/>
    </row>
    <row r="376">
      <c r="B376" s="42"/>
      <c r="C376" s="47"/>
      <c r="D376" s="47"/>
      <c r="E376" s="47"/>
      <c r="F376" s="47"/>
    </row>
    <row r="377">
      <c r="B377" s="42"/>
      <c r="C377" s="47"/>
      <c r="D377" s="47"/>
      <c r="E377" s="47"/>
      <c r="F377" s="47"/>
    </row>
    <row r="378">
      <c r="B378" s="42"/>
      <c r="C378" s="47"/>
      <c r="D378" s="47"/>
      <c r="E378" s="47"/>
      <c r="F378" s="47"/>
    </row>
    <row r="379">
      <c r="B379" s="42"/>
      <c r="C379" s="47"/>
      <c r="D379" s="47"/>
      <c r="E379" s="47"/>
      <c r="F379" s="47"/>
    </row>
    <row r="380">
      <c r="B380" s="42"/>
      <c r="C380" s="47"/>
      <c r="D380" s="47"/>
      <c r="E380" s="47"/>
      <c r="F380" s="47"/>
    </row>
    <row r="381">
      <c r="B381" s="42"/>
      <c r="C381" s="47"/>
      <c r="D381" s="47"/>
      <c r="E381" s="47"/>
      <c r="F381" s="47"/>
    </row>
    <row r="382">
      <c r="B382" s="42"/>
      <c r="C382" s="47"/>
      <c r="D382" s="47"/>
      <c r="E382" s="47"/>
      <c r="F382" s="47"/>
    </row>
    <row r="383">
      <c r="B383" s="42"/>
      <c r="C383" s="47"/>
      <c r="D383" s="47"/>
      <c r="E383" s="47"/>
      <c r="F383" s="47"/>
    </row>
    <row r="384">
      <c r="B384" s="42"/>
      <c r="C384" s="47"/>
      <c r="D384" s="47"/>
      <c r="E384" s="47"/>
      <c r="F384" s="47"/>
    </row>
    <row r="385">
      <c r="B385" s="42"/>
      <c r="C385" s="47"/>
      <c r="D385" s="47"/>
      <c r="E385" s="47"/>
      <c r="F385" s="47"/>
    </row>
    <row r="386">
      <c r="B386" s="42"/>
      <c r="C386" s="47"/>
      <c r="D386" s="47"/>
      <c r="E386" s="47"/>
      <c r="F386" s="47"/>
    </row>
    <row r="387">
      <c r="B387" s="42"/>
      <c r="C387" s="47"/>
      <c r="D387" s="47"/>
      <c r="E387" s="47"/>
      <c r="F387" s="47"/>
    </row>
    <row r="388">
      <c r="B388" s="42"/>
      <c r="C388" s="47"/>
      <c r="D388" s="47"/>
      <c r="E388" s="47"/>
      <c r="F388" s="47"/>
    </row>
    <row r="389">
      <c r="B389" s="42"/>
      <c r="C389" s="47"/>
      <c r="D389" s="47"/>
      <c r="E389" s="47"/>
      <c r="F389" s="47"/>
    </row>
    <row r="390">
      <c r="B390" s="42"/>
      <c r="C390" s="47"/>
      <c r="D390" s="47"/>
      <c r="E390" s="47"/>
      <c r="F390" s="47"/>
    </row>
    <row r="391">
      <c r="B391" s="42"/>
      <c r="C391" s="47"/>
      <c r="D391" s="47"/>
      <c r="E391" s="47"/>
      <c r="F391" s="47"/>
    </row>
    <row r="392">
      <c r="B392" s="42"/>
      <c r="C392" s="47"/>
      <c r="D392" s="47"/>
      <c r="E392" s="47"/>
      <c r="F392" s="47"/>
    </row>
    <row r="393">
      <c r="B393" s="42"/>
      <c r="C393" s="47"/>
      <c r="D393" s="47"/>
      <c r="E393" s="47"/>
      <c r="F393" s="47"/>
    </row>
    <row r="394">
      <c r="B394" s="42"/>
      <c r="C394" s="47"/>
      <c r="D394" s="47"/>
      <c r="E394" s="47"/>
      <c r="F394" s="47"/>
    </row>
    <row r="395">
      <c r="B395" s="42"/>
      <c r="C395" s="47"/>
      <c r="D395" s="47"/>
      <c r="E395" s="47"/>
      <c r="F395" s="47"/>
    </row>
    <row r="396">
      <c r="B396" s="42"/>
      <c r="C396" s="47"/>
      <c r="D396" s="47"/>
      <c r="E396" s="47"/>
      <c r="F396" s="47"/>
    </row>
    <row r="397">
      <c r="B397" s="42"/>
      <c r="C397" s="47"/>
      <c r="D397" s="47"/>
      <c r="E397" s="47"/>
      <c r="F397" s="47"/>
    </row>
    <row r="398">
      <c r="B398" s="42"/>
      <c r="C398" s="47"/>
      <c r="D398" s="47"/>
      <c r="E398" s="47"/>
      <c r="F398" s="47"/>
    </row>
    <row r="399">
      <c r="B399" s="42"/>
      <c r="C399" s="47"/>
      <c r="D399" s="47"/>
      <c r="E399" s="47"/>
      <c r="F399" s="47"/>
    </row>
    <row r="400">
      <c r="B400" s="42"/>
      <c r="C400" s="47"/>
      <c r="D400" s="47"/>
      <c r="E400" s="47"/>
      <c r="F400" s="47"/>
    </row>
    <row r="401">
      <c r="B401" s="42"/>
      <c r="C401" s="47"/>
      <c r="D401" s="47"/>
      <c r="E401" s="47"/>
      <c r="F401" s="47"/>
    </row>
    <row r="402">
      <c r="B402" s="42"/>
      <c r="C402" s="47"/>
      <c r="D402" s="47"/>
      <c r="E402" s="47"/>
      <c r="F402" s="47"/>
    </row>
    <row r="403">
      <c r="B403" s="42"/>
      <c r="C403" s="47"/>
      <c r="D403" s="47"/>
      <c r="E403" s="47"/>
      <c r="F403" s="47"/>
    </row>
    <row r="404">
      <c r="B404" s="42"/>
      <c r="C404" s="47"/>
      <c r="D404" s="47"/>
      <c r="E404" s="47"/>
      <c r="F404" s="47"/>
    </row>
    <row r="405">
      <c r="B405" s="42"/>
      <c r="C405" s="47"/>
      <c r="D405" s="47"/>
      <c r="E405" s="47"/>
      <c r="F405" s="47"/>
    </row>
    <row r="406">
      <c r="B406" s="42"/>
      <c r="C406" s="47"/>
      <c r="D406" s="47"/>
      <c r="E406" s="47"/>
      <c r="F406" s="47"/>
    </row>
    <row r="407">
      <c r="B407" s="42"/>
      <c r="C407" s="47"/>
      <c r="D407" s="47"/>
      <c r="E407" s="47"/>
      <c r="F407" s="47"/>
    </row>
    <row r="408">
      <c r="B408" s="42"/>
      <c r="C408" s="47"/>
      <c r="D408" s="47"/>
      <c r="E408" s="47"/>
      <c r="F408" s="47"/>
    </row>
    <row r="409">
      <c r="B409" s="42"/>
      <c r="C409" s="47"/>
      <c r="D409" s="47"/>
      <c r="E409" s="47"/>
      <c r="F409" s="47"/>
    </row>
    <row r="410">
      <c r="B410" s="42"/>
      <c r="C410" s="47"/>
      <c r="D410" s="47"/>
      <c r="E410" s="47"/>
      <c r="F410" s="47"/>
    </row>
    <row r="411">
      <c r="B411" s="42"/>
      <c r="C411" s="47"/>
      <c r="D411" s="47"/>
      <c r="E411" s="47"/>
      <c r="F411" s="47"/>
    </row>
    <row r="412">
      <c r="B412" s="42"/>
      <c r="C412" s="47"/>
      <c r="D412" s="47"/>
      <c r="E412" s="47"/>
      <c r="F412" s="47"/>
    </row>
    <row r="413">
      <c r="B413" s="42"/>
      <c r="C413" s="47"/>
      <c r="D413" s="47"/>
      <c r="E413" s="47"/>
      <c r="F413" s="47"/>
    </row>
    <row r="414">
      <c r="B414" s="42"/>
      <c r="C414" s="47"/>
      <c r="D414" s="47"/>
      <c r="E414" s="47"/>
      <c r="F414" s="47"/>
    </row>
    <row r="415">
      <c r="B415" s="42"/>
      <c r="C415" s="47"/>
      <c r="D415" s="47"/>
      <c r="E415" s="47"/>
      <c r="F415" s="47"/>
    </row>
    <row r="416">
      <c r="B416" s="42"/>
      <c r="C416" s="47"/>
      <c r="D416" s="47"/>
      <c r="E416" s="47"/>
      <c r="F416" s="47"/>
    </row>
    <row r="417">
      <c r="B417" s="42"/>
      <c r="C417" s="47"/>
      <c r="D417" s="47"/>
      <c r="E417" s="47"/>
      <c r="F417" s="47"/>
    </row>
    <row r="418">
      <c r="B418" s="42"/>
      <c r="C418" s="47"/>
      <c r="D418" s="47"/>
      <c r="E418" s="47"/>
      <c r="F418" s="47"/>
    </row>
    <row r="419">
      <c r="B419" s="42"/>
      <c r="C419" s="47"/>
      <c r="D419" s="47"/>
      <c r="E419" s="47"/>
      <c r="F419" s="47"/>
    </row>
    <row r="420">
      <c r="B420" s="42"/>
      <c r="C420" s="47"/>
      <c r="D420" s="47"/>
      <c r="E420" s="47"/>
      <c r="F420" s="47"/>
    </row>
    <row r="421">
      <c r="B421" s="42"/>
      <c r="C421" s="47"/>
      <c r="D421" s="47"/>
      <c r="E421" s="47"/>
      <c r="F421" s="47"/>
    </row>
    <row r="422">
      <c r="B422" s="42"/>
      <c r="C422" s="47"/>
      <c r="D422" s="47"/>
      <c r="E422" s="47"/>
      <c r="F422" s="47"/>
    </row>
    <row r="423">
      <c r="B423" s="42"/>
      <c r="C423" s="47"/>
      <c r="D423" s="47"/>
      <c r="E423" s="47"/>
      <c r="F423" s="47"/>
    </row>
    <row r="424">
      <c r="B424" s="42"/>
      <c r="C424" s="47"/>
      <c r="D424" s="47"/>
      <c r="E424" s="47"/>
      <c r="F424" s="47"/>
    </row>
    <row r="425">
      <c r="B425" s="42"/>
      <c r="C425" s="47"/>
      <c r="D425" s="47"/>
      <c r="E425" s="47"/>
      <c r="F425" s="47"/>
    </row>
    <row r="426">
      <c r="B426" s="42"/>
      <c r="C426" s="47"/>
      <c r="D426" s="47"/>
      <c r="E426" s="47"/>
      <c r="F426" s="47"/>
    </row>
    <row r="427">
      <c r="B427" s="42"/>
      <c r="C427" s="47"/>
      <c r="D427" s="47"/>
      <c r="E427" s="47"/>
      <c r="F427" s="47"/>
    </row>
    <row r="428">
      <c r="B428" s="42"/>
      <c r="C428" s="47"/>
      <c r="D428" s="47"/>
      <c r="E428" s="47"/>
      <c r="F428" s="47"/>
    </row>
    <row r="429">
      <c r="B429" s="42"/>
      <c r="C429" s="47"/>
      <c r="D429" s="47"/>
      <c r="E429" s="47"/>
      <c r="F429" s="47"/>
    </row>
    <row r="430">
      <c r="B430" s="42"/>
      <c r="C430" s="47"/>
      <c r="D430" s="47"/>
      <c r="E430" s="47"/>
      <c r="F430" s="47"/>
    </row>
    <row r="431">
      <c r="B431" s="42"/>
      <c r="C431" s="47"/>
      <c r="D431" s="47"/>
      <c r="E431" s="47"/>
      <c r="F431" s="47"/>
    </row>
    <row r="432">
      <c r="B432" s="42"/>
      <c r="C432" s="47"/>
      <c r="D432" s="47"/>
      <c r="E432" s="47"/>
      <c r="F432" s="47"/>
    </row>
    <row r="433">
      <c r="B433" s="42"/>
      <c r="C433" s="47"/>
      <c r="D433" s="47"/>
      <c r="E433" s="47"/>
      <c r="F433" s="47"/>
    </row>
    <row r="434">
      <c r="B434" s="42"/>
      <c r="C434" s="47"/>
      <c r="D434" s="47"/>
      <c r="E434" s="47"/>
      <c r="F434" s="47"/>
    </row>
    <row r="435">
      <c r="B435" s="42"/>
      <c r="C435" s="47"/>
      <c r="D435" s="47"/>
      <c r="E435" s="47"/>
      <c r="F435" s="47"/>
    </row>
    <row r="436">
      <c r="B436" s="42"/>
      <c r="C436" s="47"/>
      <c r="D436" s="47"/>
      <c r="E436" s="47"/>
      <c r="F436" s="47"/>
    </row>
    <row r="437">
      <c r="B437" s="42"/>
      <c r="C437" s="47"/>
      <c r="D437" s="47"/>
      <c r="E437" s="47"/>
      <c r="F437" s="47"/>
    </row>
    <row r="438">
      <c r="B438" s="42"/>
      <c r="C438" s="47"/>
      <c r="D438" s="47"/>
      <c r="E438" s="47"/>
      <c r="F438" s="47"/>
    </row>
    <row r="439">
      <c r="B439" s="42"/>
      <c r="C439" s="47"/>
      <c r="D439" s="47"/>
      <c r="E439" s="47"/>
      <c r="F439" s="47"/>
    </row>
    <row r="440">
      <c r="B440" s="42"/>
      <c r="C440" s="47"/>
      <c r="D440" s="47"/>
      <c r="E440" s="47"/>
      <c r="F440" s="47"/>
    </row>
    <row r="441">
      <c r="B441" s="42"/>
      <c r="C441" s="47"/>
      <c r="D441" s="47"/>
      <c r="E441" s="47"/>
      <c r="F441" s="47"/>
    </row>
    <row r="442">
      <c r="B442" s="42"/>
      <c r="C442" s="47"/>
      <c r="D442" s="47"/>
      <c r="E442" s="47"/>
      <c r="F442" s="47"/>
    </row>
    <row r="443">
      <c r="B443" s="42"/>
      <c r="C443" s="47"/>
      <c r="D443" s="47"/>
      <c r="E443" s="47"/>
      <c r="F443" s="47"/>
    </row>
    <row r="444">
      <c r="B444" s="42"/>
      <c r="C444" s="47"/>
      <c r="D444" s="47"/>
      <c r="E444" s="47"/>
      <c r="F444" s="47"/>
    </row>
    <row r="445">
      <c r="B445" s="42"/>
      <c r="C445" s="47"/>
      <c r="D445" s="47"/>
      <c r="E445" s="47"/>
      <c r="F445" s="47"/>
    </row>
    <row r="446">
      <c r="B446" s="42"/>
      <c r="C446" s="47"/>
      <c r="D446" s="47"/>
      <c r="E446" s="47"/>
      <c r="F446" s="47"/>
    </row>
    <row r="447">
      <c r="B447" s="42"/>
      <c r="C447" s="47"/>
      <c r="D447" s="47"/>
      <c r="E447" s="47"/>
      <c r="F447" s="47"/>
    </row>
    <row r="448">
      <c r="B448" s="42"/>
      <c r="C448" s="47"/>
      <c r="D448" s="47"/>
      <c r="E448" s="47"/>
      <c r="F448" s="47"/>
    </row>
    <row r="449">
      <c r="B449" s="42"/>
      <c r="C449" s="47"/>
      <c r="D449" s="47"/>
      <c r="E449" s="47"/>
      <c r="F449" s="47"/>
    </row>
    <row r="450">
      <c r="B450" s="42"/>
      <c r="C450" s="47"/>
      <c r="D450" s="47"/>
      <c r="E450" s="47"/>
      <c r="F450" s="47"/>
    </row>
    <row r="451">
      <c r="B451" s="42"/>
      <c r="C451" s="47"/>
      <c r="D451" s="47"/>
      <c r="E451" s="47"/>
      <c r="F451" s="47"/>
    </row>
    <row r="452">
      <c r="B452" s="42"/>
      <c r="C452" s="47"/>
      <c r="D452" s="47"/>
      <c r="E452" s="47"/>
      <c r="F452" s="47"/>
    </row>
    <row r="453">
      <c r="B453" s="42"/>
      <c r="C453" s="47"/>
      <c r="D453" s="47"/>
      <c r="E453" s="47"/>
      <c r="F453" s="47"/>
    </row>
    <row r="454">
      <c r="B454" s="42"/>
      <c r="C454" s="47"/>
      <c r="D454" s="47"/>
      <c r="E454" s="47"/>
      <c r="F454" s="47"/>
    </row>
    <row r="455">
      <c r="B455" s="42"/>
      <c r="C455" s="47"/>
      <c r="D455" s="47"/>
      <c r="E455" s="47"/>
      <c r="F455" s="47"/>
    </row>
    <row r="456">
      <c r="B456" s="42"/>
      <c r="C456" s="47"/>
      <c r="D456" s="47"/>
      <c r="E456" s="47"/>
      <c r="F456" s="47"/>
    </row>
    <row r="457">
      <c r="B457" s="42"/>
      <c r="C457" s="47"/>
      <c r="D457" s="47"/>
      <c r="E457" s="47"/>
      <c r="F457" s="47"/>
    </row>
    <row r="458">
      <c r="B458" s="42"/>
      <c r="C458" s="47"/>
      <c r="D458" s="47"/>
      <c r="E458" s="47"/>
      <c r="F458" s="47"/>
    </row>
    <row r="459">
      <c r="B459" s="42"/>
      <c r="C459" s="47"/>
      <c r="D459" s="47"/>
      <c r="E459" s="47"/>
      <c r="F459" s="47"/>
    </row>
    <row r="460">
      <c r="B460" s="42"/>
      <c r="C460" s="47"/>
      <c r="D460" s="47"/>
      <c r="E460" s="47"/>
      <c r="F460" s="47"/>
    </row>
    <row r="461">
      <c r="B461" s="42"/>
      <c r="C461" s="47"/>
      <c r="D461" s="47"/>
      <c r="E461" s="47"/>
      <c r="F461" s="47"/>
    </row>
    <row r="462">
      <c r="B462" s="42"/>
      <c r="C462" s="47"/>
      <c r="D462" s="47"/>
      <c r="E462" s="47"/>
      <c r="F462" s="47"/>
    </row>
    <row r="463">
      <c r="B463" s="42"/>
      <c r="C463" s="47"/>
      <c r="D463" s="47"/>
      <c r="E463" s="47"/>
      <c r="F463" s="47"/>
    </row>
    <row r="464">
      <c r="B464" s="42"/>
      <c r="C464" s="47"/>
      <c r="D464" s="47"/>
      <c r="E464" s="47"/>
      <c r="F464" s="47"/>
    </row>
    <row r="465">
      <c r="B465" s="42"/>
      <c r="C465" s="47"/>
      <c r="D465" s="47"/>
      <c r="E465" s="47"/>
      <c r="F465" s="47"/>
    </row>
    <row r="466">
      <c r="B466" s="42"/>
      <c r="C466" s="47"/>
      <c r="D466" s="47"/>
      <c r="E466" s="47"/>
      <c r="F466" s="47"/>
    </row>
    <row r="467">
      <c r="B467" s="42"/>
      <c r="C467" s="47"/>
      <c r="D467" s="47"/>
      <c r="E467" s="47"/>
      <c r="F467" s="47"/>
    </row>
    <row r="468">
      <c r="B468" s="42"/>
      <c r="C468" s="47"/>
      <c r="D468" s="47"/>
      <c r="E468" s="47"/>
      <c r="F468" s="47"/>
    </row>
    <row r="469">
      <c r="B469" s="42"/>
      <c r="C469" s="47"/>
      <c r="D469" s="47"/>
      <c r="E469" s="47"/>
      <c r="F469" s="47"/>
    </row>
    <row r="470">
      <c r="B470" s="42"/>
      <c r="C470" s="47"/>
      <c r="D470" s="47"/>
      <c r="E470" s="47"/>
      <c r="F470" s="47"/>
    </row>
    <row r="471">
      <c r="B471" s="42"/>
      <c r="C471" s="47"/>
      <c r="D471" s="47"/>
      <c r="E471" s="47"/>
      <c r="F471" s="47"/>
    </row>
    <row r="472">
      <c r="B472" s="42"/>
      <c r="C472" s="47"/>
      <c r="D472" s="47"/>
      <c r="E472" s="47"/>
      <c r="F472" s="47"/>
    </row>
    <row r="473">
      <c r="B473" s="42"/>
      <c r="C473" s="47"/>
      <c r="D473" s="47"/>
      <c r="E473" s="47"/>
      <c r="F473" s="47"/>
    </row>
    <row r="474">
      <c r="B474" s="42"/>
      <c r="C474" s="47"/>
      <c r="D474" s="47"/>
      <c r="E474" s="47"/>
      <c r="F474" s="47"/>
    </row>
    <row r="475">
      <c r="B475" s="42"/>
      <c r="C475" s="47"/>
      <c r="D475" s="47"/>
      <c r="E475" s="47"/>
      <c r="F475" s="47"/>
    </row>
    <row r="476">
      <c r="B476" s="42"/>
      <c r="C476" s="47"/>
      <c r="D476" s="47"/>
      <c r="E476" s="47"/>
      <c r="F476" s="47"/>
    </row>
    <row r="477">
      <c r="B477" s="42"/>
      <c r="C477" s="47"/>
      <c r="D477" s="47"/>
      <c r="E477" s="47"/>
      <c r="F477" s="47"/>
    </row>
    <row r="478">
      <c r="B478" s="42"/>
      <c r="C478" s="47"/>
      <c r="D478" s="47"/>
      <c r="E478" s="47"/>
      <c r="F478" s="47"/>
    </row>
    <row r="479">
      <c r="B479" s="42"/>
      <c r="C479" s="47"/>
      <c r="D479" s="47"/>
      <c r="E479" s="47"/>
      <c r="F479" s="47"/>
    </row>
    <row r="480">
      <c r="B480" s="42"/>
      <c r="C480" s="47"/>
      <c r="D480" s="47"/>
      <c r="E480" s="47"/>
      <c r="F480" s="47"/>
    </row>
    <row r="481">
      <c r="B481" s="42"/>
      <c r="C481" s="47"/>
      <c r="D481" s="47"/>
      <c r="E481" s="47"/>
      <c r="F481" s="47"/>
    </row>
    <row r="482">
      <c r="B482" s="42"/>
      <c r="C482" s="47"/>
      <c r="D482" s="47"/>
      <c r="E482" s="47"/>
      <c r="F482" s="47"/>
    </row>
    <row r="483">
      <c r="B483" s="42"/>
      <c r="C483" s="47"/>
      <c r="D483" s="47"/>
      <c r="E483" s="47"/>
      <c r="F483" s="47"/>
    </row>
    <row r="484">
      <c r="B484" s="42"/>
      <c r="C484" s="47"/>
      <c r="D484" s="47"/>
      <c r="E484" s="47"/>
      <c r="F484" s="47"/>
    </row>
    <row r="485">
      <c r="B485" s="42"/>
      <c r="C485" s="47"/>
      <c r="D485" s="47"/>
      <c r="E485" s="47"/>
      <c r="F485" s="47"/>
    </row>
    <row r="486">
      <c r="B486" s="42"/>
      <c r="C486" s="47"/>
      <c r="D486" s="47"/>
      <c r="E486" s="47"/>
      <c r="F486" s="47"/>
    </row>
    <row r="487">
      <c r="B487" s="42"/>
      <c r="C487" s="47"/>
      <c r="D487" s="47"/>
      <c r="E487" s="47"/>
      <c r="F487" s="47"/>
    </row>
    <row r="488">
      <c r="B488" s="42"/>
      <c r="C488" s="47"/>
      <c r="D488" s="47"/>
      <c r="E488" s="47"/>
      <c r="F488" s="47"/>
    </row>
    <row r="489">
      <c r="B489" s="42"/>
      <c r="C489" s="47"/>
      <c r="D489" s="47"/>
      <c r="E489" s="47"/>
      <c r="F489" s="47"/>
    </row>
    <row r="490">
      <c r="B490" s="42"/>
      <c r="C490" s="47"/>
      <c r="D490" s="47"/>
      <c r="E490" s="47"/>
      <c r="F490" s="47"/>
    </row>
    <row r="491">
      <c r="B491" s="42"/>
      <c r="C491" s="47"/>
      <c r="D491" s="47"/>
      <c r="E491" s="47"/>
      <c r="F491" s="47"/>
    </row>
    <row r="492">
      <c r="B492" s="42"/>
      <c r="C492" s="47"/>
      <c r="D492" s="47"/>
      <c r="E492" s="47"/>
      <c r="F492" s="47"/>
    </row>
    <row r="493">
      <c r="B493" s="42"/>
      <c r="C493" s="47"/>
      <c r="D493" s="47"/>
      <c r="E493" s="47"/>
      <c r="F493" s="47"/>
    </row>
    <row r="494">
      <c r="B494" s="42"/>
      <c r="C494" s="47"/>
      <c r="D494" s="47"/>
      <c r="E494" s="47"/>
      <c r="F494" s="47"/>
    </row>
    <row r="495">
      <c r="B495" s="42"/>
      <c r="C495" s="47"/>
      <c r="D495" s="47"/>
      <c r="E495" s="47"/>
      <c r="F495" s="47"/>
    </row>
    <row r="496">
      <c r="B496" s="42"/>
      <c r="C496" s="47"/>
      <c r="D496" s="47"/>
      <c r="E496" s="47"/>
      <c r="F496" s="47"/>
    </row>
    <row r="497">
      <c r="B497" s="42"/>
      <c r="C497" s="47"/>
      <c r="D497" s="47"/>
      <c r="E497" s="47"/>
      <c r="F497" s="47"/>
    </row>
    <row r="498">
      <c r="B498" s="42"/>
      <c r="C498" s="47"/>
      <c r="D498" s="47"/>
      <c r="E498" s="47"/>
      <c r="F498" s="47"/>
    </row>
    <row r="499">
      <c r="B499" s="42"/>
      <c r="C499" s="47"/>
      <c r="D499" s="47"/>
      <c r="E499" s="47"/>
      <c r="F499" s="47"/>
    </row>
    <row r="500">
      <c r="B500" s="42"/>
      <c r="C500" s="47"/>
      <c r="D500" s="47"/>
      <c r="E500" s="47"/>
      <c r="F500" s="47"/>
    </row>
    <row r="501">
      <c r="B501" s="42"/>
      <c r="C501" s="47"/>
      <c r="D501" s="47"/>
      <c r="E501" s="47"/>
      <c r="F501" s="47"/>
    </row>
    <row r="502">
      <c r="B502" s="42"/>
      <c r="C502" s="47"/>
      <c r="D502" s="47"/>
      <c r="E502" s="47"/>
      <c r="F502" s="47"/>
    </row>
    <row r="503">
      <c r="B503" s="42"/>
      <c r="C503" s="47"/>
      <c r="D503" s="47"/>
      <c r="E503" s="47"/>
      <c r="F503" s="47"/>
    </row>
    <row r="504">
      <c r="B504" s="42"/>
      <c r="C504" s="47"/>
      <c r="D504" s="47"/>
      <c r="E504" s="47"/>
      <c r="F504" s="47"/>
    </row>
    <row r="505">
      <c r="B505" s="42"/>
      <c r="C505" s="47"/>
      <c r="D505" s="47"/>
      <c r="E505" s="47"/>
      <c r="F505" s="47"/>
    </row>
    <row r="506">
      <c r="B506" s="42"/>
      <c r="C506" s="47"/>
      <c r="D506" s="47"/>
      <c r="E506" s="47"/>
      <c r="F506" s="47"/>
    </row>
    <row r="507">
      <c r="B507" s="42"/>
      <c r="C507" s="47"/>
      <c r="D507" s="47"/>
      <c r="E507" s="47"/>
      <c r="F507" s="47"/>
    </row>
    <row r="508">
      <c r="B508" s="42"/>
      <c r="C508" s="47"/>
      <c r="D508" s="47"/>
      <c r="E508" s="47"/>
      <c r="F508" s="47"/>
    </row>
    <row r="509">
      <c r="B509" s="42"/>
      <c r="C509" s="47"/>
      <c r="D509" s="47"/>
      <c r="E509" s="47"/>
      <c r="F509" s="47"/>
    </row>
    <row r="510">
      <c r="B510" s="42"/>
      <c r="C510" s="47"/>
      <c r="D510" s="47"/>
      <c r="E510" s="47"/>
      <c r="F510" s="47"/>
    </row>
    <row r="511">
      <c r="B511" s="42"/>
      <c r="C511" s="47"/>
      <c r="D511" s="47"/>
      <c r="E511" s="47"/>
      <c r="F511" s="47"/>
    </row>
    <row r="512">
      <c r="B512" s="42"/>
      <c r="C512" s="47"/>
      <c r="D512" s="47"/>
      <c r="E512" s="47"/>
      <c r="F512" s="47"/>
    </row>
    <row r="513">
      <c r="B513" s="42"/>
      <c r="C513" s="47"/>
      <c r="D513" s="47"/>
      <c r="E513" s="47"/>
      <c r="F513" s="47"/>
    </row>
    <row r="514">
      <c r="B514" s="42"/>
      <c r="C514" s="47"/>
      <c r="D514" s="47"/>
      <c r="E514" s="47"/>
      <c r="F514" s="47"/>
    </row>
    <row r="515">
      <c r="B515" s="42"/>
      <c r="C515" s="47"/>
      <c r="D515" s="47"/>
      <c r="E515" s="47"/>
      <c r="F515" s="47"/>
    </row>
    <row r="516">
      <c r="B516" s="42"/>
      <c r="C516" s="47"/>
      <c r="D516" s="47"/>
      <c r="E516" s="47"/>
      <c r="F516" s="47"/>
    </row>
    <row r="517">
      <c r="B517" s="42"/>
      <c r="C517" s="47"/>
      <c r="D517" s="47"/>
      <c r="E517" s="47"/>
      <c r="F517" s="47"/>
    </row>
    <row r="518">
      <c r="B518" s="42"/>
      <c r="C518" s="47"/>
      <c r="D518" s="47"/>
      <c r="E518" s="47"/>
      <c r="F518" s="47"/>
    </row>
    <row r="519">
      <c r="B519" s="42"/>
      <c r="C519" s="47"/>
      <c r="D519" s="47"/>
      <c r="E519" s="47"/>
      <c r="F519" s="47"/>
    </row>
    <row r="520">
      <c r="B520" s="42"/>
      <c r="C520" s="47"/>
      <c r="D520" s="47"/>
      <c r="E520" s="47"/>
      <c r="F520" s="47"/>
    </row>
    <row r="521">
      <c r="B521" s="42"/>
      <c r="C521" s="47"/>
      <c r="D521" s="47"/>
      <c r="E521" s="47"/>
      <c r="F521" s="47"/>
    </row>
    <row r="522">
      <c r="B522" s="42"/>
      <c r="C522" s="47"/>
      <c r="D522" s="47"/>
      <c r="E522" s="47"/>
      <c r="F522" s="47"/>
    </row>
    <row r="523">
      <c r="B523" s="42"/>
      <c r="C523" s="47"/>
      <c r="D523" s="47"/>
      <c r="E523" s="47"/>
      <c r="F523" s="47"/>
    </row>
    <row r="524">
      <c r="B524" s="42"/>
      <c r="C524" s="47"/>
      <c r="D524" s="47"/>
      <c r="E524" s="47"/>
      <c r="F524" s="47"/>
    </row>
    <row r="525">
      <c r="B525" s="42"/>
      <c r="C525" s="47"/>
      <c r="D525" s="47"/>
      <c r="E525" s="47"/>
      <c r="F525" s="47"/>
    </row>
    <row r="526">
      <c r="B526" s="42"/>
      <c r="C526" s="47"/>
      <c r="D526" s="47"/>
      <c r="E526" s="47"/>
      <c r="F526" s="47"/>
    </row>
    <row r="527">
      <c r="B527" s="42"/>
      <c r="C527" s="47"/>
      <c r="D527" s="47"/>
      <c r="E527" s="47"/>
      <c r="F527" s="47"/>
    </row>
    <row r="528">
      <c r="B528" s="42"/>
      <c r="C528" s="47"/>
      <c r="D528" s="47"/>
      <c r="E528" s="47"/>
      <c r="F528" s="47"/>
    </row>
    <row r="529">
      <c r="B529" s="42"/>
      <c r="C529" s="47"/>
      <c r="D529" s="47"/>
      <c r="E529" s="47"/>
      <c r="F529" s="47"/>
    </row>
    <row r="530">
      <c r="B530" s="42"/>
      <c r="C530" s="47"/>
      <c r="D530" s="47"/>
      <c r="E530" s="47"/>
      <c r="F530" s="47"/>
    </row>
    <row r="531">
      <c r="B531" s="42"/>
      <c r="C531" s="47"/>
      <c r="D531" s="47"/>
      <c r="E531" s="47"/>
      <c r="F531" s="47"/>
    </row>
    <row r="532">
      <c r="B532" s="42"/>
      <c r="C532" s="47"/>
      <c r="D532" s="47"/>
      <c r="E532" s="47"/>
      <c r="F532" s="47"/>
    </row>
    <row r="533">
      <c r="B533" s="42"/>
      <c r="C533" s="47"/>
      <c r="D533" s="47"/>
      <c r="E533" s="47"/>
      <c r="F533" s="47"/>
    </row>
    <row r="534">
      <c r="B534" s="42"/>
      <c r="C534" s="47"/>
      <c r="D534" s="47"/>
      <c r="E534" s="47"/>
      <c r="F534" s="47"/>
    </row>
    <row r="535">
      <c r="B535" s="42"/>
      <c r="C535" s="47"/>
      <c r="D535" s="47"/>
      <c r="E535" s="47"/>
      <c r="F535" s="47"/>
    </row>
    <row r="536">
      <c r="B536" s="42"/>
      <c r="C536" s="47"/>
      <c r="D536" s="47"/>
      <c r="E536" s="47"/>
      <c r="F536" s="47"/>
    </row>
    <row r="537">
      <c r="B537" s="42"/>
      <c r="C537" s="47"/>
      <c r="D537" s="47"/>
      <c r="E537" s="47"/>
      <c r="F537" s="47"/>
    </row>
    <row r="538">
      <c r="B538" s="42"/>
      <c r="C538" s="47"/>
      <c r="D538" s="47"/>
      <c r="E538" s="47"/>
      <c r="F538" s="47"/>
    </row>
    <row r="539">
      <c r="B539" s="42"/>
      <c r="C539" s="47"/>
      <c r="D539" s="47"/>
      <c r="E539" s="47"/>
      <c r="F539" s="47"/>
    </row>
    <row r="540">
      <c r="B540" s="42"/>
      <c r="C540" s="47"/>
      <c r="D540" s="47"/>
      <c r="E540" s="47"/>
      <c r="F540" s="47"/>
    </row>
    <row r="541">
      <c r="B541" s="42"/>
      <c r="C541" s="47"/>
      <c r="D541" s="47"/>
      <c r="E541" s="47"/>
      <c r="F541" s="47"/>
    </row>
    <row r="542">
      <c r="B542" s="42"/>
      <c r="C542" s="47"/>
      <c r="D542" s="47"/>
      <c r="E542" s="47"/>
      <c r="F542" s="47"/>
    </row>
    <row r="543">
      <c r="B543" s="42"/>
      <c r="C543" s="47"/>
      <c r="D543" s="47"/>
      <c r="E543" s="47"/>
      <c r="F543" s="47"/>
    </row>
    <row r="544">
      <c r="B544" s="42"/>
      <c r="C544" s="47"/>
      <c r="D544" s="47"/>
      <c r="E544" s="47"/>
      <c r="F544" s="47"/>
    </row>
    <row r="545">
      <c r="B545" s="42"/>
      <c r="C545" s="47"/>
      <c r="D545" s="47"/>
      <c r="E545" s="47"/>
      <c r="F545" s="47"/>
    </row>
    <row r="546">
      <c r="B546" s="42"/>
      <c r="C546" s="47"/>
      <c r="D546" s="47"/>
      <c r="E546" s="47"/>
      <c r="F546" s="47"/>
    </row>
    <row r="547">
      <c r="B547" s="42"/>
      <c r="C547" s="47"/>
      <c r="D547" s="47"/>
      <c r="E547" s="47"/>
      <c r="F547" s="47"/>
    </row>
    <row r="548">
      <c r="B548" s="42"/>
      <c r="C548" s="47"/>
      <c r="D548" s="47"/>
      <c r="E548" s="47"/>
      <c r="F548" s="47"/>
    </row>
    <row r="549">
      <c r="B549" s="42"/>
      <c r="C549" s="47"/>
      <c r="D549" s="47"/>
      <c r="E549" s="47"/>
      <c r="F549" s="47"/>
    </row>
    <row r="550">
      <c r="B550" s="42"/>
      <c r="C550" s="47"/>
      <c r="D550" s="47"/>
      <c r="E550" s="47"/>
      <c r="F550" s="47"/>
    </row>
    <row r="551">
      <c r="B551" s="42"/>
      <c r="C551" s="47"/>
      <c r="D551" s="47"/>
      <c r="E551" s="47"/>
      <c r="F551" s="47"/>
    </row>
    <row r="552">
      <c r="B552" s="42"/>
      <c r="C552" s="47"/>
      <c r="D552" s="47"/>
      <c r="E552" s="47"/>
      <c r="F552" s="47"/>
    </row>
    <row r="553">
      <c r="B553" s="42"/>
      <c r="C553" s="47"/>
      <c r="D553" s="47"/>
      <c r="E553" s="47"/>
      <c r="F553" s="47"/>
    </row>
    <row r="554">
      <c r="B554" s="42"/>
      <c r="C554" s="47"/>
      <c r="D554" s="47"/>
      <c r="E554" s="47"/>
      <c r="F554" s="47"/>
    </row>
    <row r="555">
      <c r="B555" s="42"/>
      <c r="C555" s="47"/>
      <c r="D555" s="47"/>
      <c r="E555" s="47"/>
      <c r="F555" s="47"/>
    </row>
    <row r="556">
      <c r="B556" s="42"/>
      <c r="C556" s="47"/>
      <c r="D556" s="47"/>
      <c r="E556" s="47"/>
      <c r="F556" s="47"/>
    </row>
    <row r="557">
      <c r="B557" s="42"/>
      <c r="C557" s="47"/>
      <c r="D557" s="47"/>
      <c r="E557" s="47"/>
      <c r="F557" s="47"/>
    </row>
    <row r="558">
      <c r="B558" s="42"/>
      <c r="C558" s="47"/>
      <c r="D558" s="47"/>
      <c r="E558" s="47"/>
      <c r="F558" s="47"/>
    </row>
    <row r="559">
      <c r="B559" s="42"/>
      <c r="C559" s="47"/>
      <c r="D559" s="47"/>
      <c r="E559" s="47"/>
      <c r="F559" s="47"/>
    </row>
    <row r="560">
      <c r="B560" s="42"/>
      <c r="C560" s="47"/>
      <c r="D560" s="47"/>
      <c r="E560" s="47"/>
      <c r="F560" s="47"/>
    </row>
    <row r="561">
      <c r="B561" s="42"/>
      <c r="C561" s="47"/>
      <c r="D561" s="47"/>
      <c r="E561" s="47"/>
      <c r="F561" s="47"/>
    </row>
    <row r="562">
      <c r="B562" s="42"/>
      <c r="C562" s="47"/>
      <c r="D562" s="47"/>
      <c r="E562" s="47"/>
      <c r="F562" s="47"/>
    </row>
    <row r="563">
      <c r="B563" s="42"/>
      <c r="C563" s="47"/>
      <c r="D563" s="47"/>
      <c r="E563" s="47"/>
      <c r="F563" s="47"/>
    </row>
    <row r="564">
      <c r="B564" s="42"/>
      <c r="C564" s="47"/>
      <c r="D564" s="47"/>
      <c r="E564" s="47"/>
      <c r="F564" s="47"/>
    </row>
    <row r="565">
      <c r="B565" s="42"/>
      <c r="C565" s="47"/>
      <c r="D565" s="47"/>
      <c r="E565" s="47"/>
      <c r="F565" s="47"/>
    </row>
    <row r="566">
      <c r="B566" s="42"/>
      <c r="C566" s="47"/>
      <c r="D566" s="47"/>
      <c r="E566" s="47"/>
      <c r="F566" s="47"/>
    </row>
    <row r="567">
      <c r="B567" s="42"/>
      <c r="C567" s="47"/>
      <c r="D567" s="47"/>
      <c r="E567" s="47"/>
      <c r="F567" s="47"/>
    </row>
    <row r="568">
      <c r="B568" s="42"/>
      <c r="C568" s="47"/>
      <c r="D568" s="47"/>
      <c r="E568" s="47"/>
      <c r="F568" s="47"/>
    </row>
    <row r="569">
      <c r="B569" s="42"/>
      <c r="C569" s="47"/>
      <c r="D569" s="47"/>
      <c r="E569" s="47"/>
      <c r="F569" s="47"/>
    </row>
    <row r="570">
      <c r="B570" s="42"/>
      <c r="C570" s="47"/>
      <c r="D570" s="47"/>
      <c r="E570" s="47"/>
      <c r="F570" s="47"/>
    </row>
    <row r="571">
      <c r="B571" s="42"/>
      <c r="C571" s="47"/>
      <c r="D571" s="47"/>
      <c r="E571" s="47"/>
      <c r="F571" s="47"/>
    </row>
    <row r="572">
      <c r="B572" s="42"/>
      <c r="C572" s="47"/>
      <c r="D572" s="47"/>
      <c r="E572" s="47"/>
      <c r="F572" s="47"/>
    </row>
    <row r="573">
      <c r="B573" s="42"/>
      <c r="C573" s="47"/>
      <c r="D573" s="47"/>
      <c r="E573" s="47"/>
      <c r="F573" s="47"/>
    </row>
    <row r="574">
      <c r="B574" s="42"/>
      <c r="C574" s="47"/>
      <c r="D574" s="47"/>
      <c r="E574" s="47"/>
      <c r="F574" s="47"/>
    </row>
    <row r="575">
      <c r="B575" s="42"/>
      <c r="C575" s="47"/>
      <c r="D575" s="47"/>
      <c r="E575" s="47"/>
      <c r="F575" s="47"/>
    </row>
    <row r="576">
      <c r="B576" s="42"/>
      <c r="C576" s="47"/>
      <c r="D576" s="47"/>
      <c r="E576" s="47"/>
      <c r="F576" s="47"/>
    </row>
    <row r="577">
      <c r="B577" s="42"/>
      <c r="C577" s="47"/>
      <c r="D577" s="47"/>
      <c r="E577" s="47"/>
      <c r="F577" s="47"/>
    </row>
    <row r="578">
      <c r="B578" s="42"/>
      <c r="C578" s="47"/>
      <c r="D578" s="47"/>
      <c r="E578" s="47"/>
      <c r="F578" s="47"/>
    </row>
    <row r="579">
      <c r="B579" s="42"/>
      <c r="C579" s="47"/>
      <c r="D579" s="47"/>
      <c r="E579" s="47"/>
      <c r="F579" s="47"/>
    </row>
    <row r="580">
      <c r="B580" s="42"/>
      <c r="C580" s="47"/>
      <c r="D580" s="47"/>
      <c r="E580" s="47"/>
      <c r="F580" s="47"/>
    </row>
    <row r="581">
      <c r="B581" s="42"/>
      <c r="C581" s="47"/>
      <c r="D581" s="47"/>
      <c r="E581" s="47"/>
      <c r="F581" s="47"/>
    </row>
    <row r="582">
      <c r="B582" s="42"/>
      <c r="C582" s="47"/>
      <c r="D582" s="47"/>
      <c r="E582" s="47"/>
      <c r="F582" s="47"/>
    </row>
    <row r="583">
      <c r="B583" s="42"/>
      <c r="C583" s="47"/>
      <c r="D583" s="47"/>
      <c r="E583" s="47"/>
      <c r="F583" s="47"/>
    </row>
    <row r="584">
      <c r="B584" s="42"/>
      <c r="C584" s="47"/>
      <c r="D584" s="47"/>
      <c r="E584" s="47"/>
      <c r="F584" s="47"/>
    </row>
    <row r="585">
      <c r="B585" s="42"/>
      <c r="C585" s="47"/>
      <c r="D585" s="47"/>
      <c r="E585" s="47"/>
      <c r="F585" s="47"/>
    </row>
    <row r="586">
      <c r="B586" s="42"/>
      <c r="C586" s="47"/>
      <c r="D586" s="47"/>
      <c r="E586" s="47"/>
      <c r="F586" s="47"/>
    </row>
    <row r="587">
      <c r="B587" s="42"/>
      <c r="C587" s="47"/>
      <c r="D587" s="47"/>
      <c r="E587" s="47"/>
      <c r="F587" s="47"/>
    </row>
    <row r="588">
      <c r="B588" s="42"/>
      <c r="C588" s="47"/>
      <c r="D588" s="47"/>
      <c r="E588" s="47"/>
      <c r="F588" s="47"/>
    </row>
    <row r="589">
      <c r="B589" s="42"/>
      <c r="C589" s="47"/>
      <c r="D589" s="47"/>
      <c r="E589" s="47"/>
      <c r="F589" s="47"/>
    </row>
    <row r="590">
      <c r="B590" s="42"/>
      <c r="C590" s="47"/>
      <c r="D590" s="47"/>
      <c r="E590" s="47"/>
      <c r="F590" s="47"/>
    </row>
    <row r="591">
      <c r="B591" s="42"/>
      <c r="C591" s="47"/>
      <c r="D591" s="47"/>
      <c r="E591" s="47"/>
      <c r="F591" s="47"/>
    </row>
    <row r="592">
      <c r="B592" s="42"/>
      <c r="C592" s="47"/>
      <c r="D592" s="47"/>
      <c r="E592" s="47"/>
      <c r="F592" s="47"/>
    </row>
    <row r="593">
      <c r="B593" s="42"/>
      <c r="C593" s="47"/>
      <c r="D593" s="47"/>
      <c r="E593" s="47"/>
      <c r="F593" s="47"/>
    </row>
    <row r="594">
      <c r="B594" s="42"/>
      <c r="C594" s="47"/>
      <c r="D594" s="47"/>
      <c r="E594" s="47"/>
      <c r="F594" s="47"/>
    </row>
    <row r="595">
      <c r="B595" s="42"/>
      <c r="C595" s="47"/>
      <c r="D595" s="47"/>
      <c r="E595" s="47"/>
      <c r="F595" s="47"/>
    </row>
    <row r="596">
      <c r="B596" s="42"/>
      <c r="C596" s="47"/>
      <c r="D596" s="47"/>
      <c r="E596" s="47"/>
      <c r="F596" s="47"/>
    </row>
    <row r="597">
      <c r="B597" s="42"/>
      <c r="C597" s="47"/>
      <c r="D597" s="47"/>
      <c r="E597" s="47"/>
      <c r="F597" s="47"/>
    </row>
    <row r="598">
      <c r="B598" s="42"/>
      <c r="C598" s="47"/>
      <c r="D598" s="47"/>
      <c r="E598" s="47"/>
      <c r="F598" s="47"/>
    </row>
    <row r="599">
      <c r="B599" s="42"/>
      <c r="C599" s="47"/>
      <c r="D599" s="47"/>
      <c r="E599" s="47"/>
      <c r="F599" s="47"/>
    </row>
    <row r="600">
      <c r="B600" s="42"/>
      <c r="C600" s="47"/>
      <c r="D600" s="47"/>
      <c r="E600" s="47"/>
      <c r="F600" s="47"/>
    </row>
    <row r="601">
      <c r="B601" s="42"/>
      <c r="C601" s="47"/>
      <c r="D601" s="47"/>
      <c r="E601" s="47"/>
      <c r="F601" s="47"/>
    </row>
    <row r="602">
      <c r="B602" s="42"/>
      <c r="C602" s="47"/>
      <c r="D602" s="47"/>
      <c r="E602" s="47"/>
      <c r="F602" s="47"/>
    </row>
    <row r="603">
      <c r="B603" s="42"/>
      <c r="C603" s="47"/>
      <c r="D603" s="47"/>
      <c r="E603" s="47"/>
      <c r="F603" s="47"/>
    </row>
    <row r="604">
      <c r="B604" s="42"/>
      <c r="C604" s="47"/>
      <c r="D604" s="47"/>
      <c r="E604" s="47"/>
      <c r="F604" s="47"/>
    </row>
    <row r="605">
      <c r="B605" s="42"/>
      <c r="C605" s="47"/>
      <c r="D605" s="47"/>
      <c r="E605" s="47"/>
      <c r="F605" s="47"/>
    </row>
    <row r="606">
      <c r="B606" s="42"/>
      <c r="C606" s="47"/>
      <c r="D606" s="47"/>
      <c r="E606" s="47"/>
      <c r="F606" s="47"/>
    </row>
    <row r="607">
      <c r="B607" s="42"/>
      <c r="C607" s="47"/>
      <c r="D607" s="47"/>
      <c r="E607" s="47"/>
      <c r="F607" s="47"/>
    </row>
    <row r="608">
      <c r="B608" s="42"/>
      <c r="C608" s="47"/>
      <c r="D608" s="47"/>
      <c r="E608" s="47"/>
      <c r="F608" s="47"/>
    </row>
    <row r="609">
      <c r="B609" s="42"/>
      <c r="C609" s="47"/>
      <c r="D609" s="47"/>
      <c r="E609" s="47"/>
      <c r="F609" s="47"/>
    </row>
    <row r="610">
      <c r="B610" s="42"/>
      <c r="C610" s="47"/>
      <c r="D610" s="47"/>
      <c r="E610" s="47"/>
      <c r="F610" s="47"/>
    </row>
    <row r="611">
      <c r="B611" s="42"/>
      <c r="C611" s="47"/>
      <c r="D611" s="47"/>
      <c r="E611" s="47"/>
      <c r="F611" s="47"/>
    </row>
    <row r="612">
      <c r="B612" s="42"/>
      <c r="C612" s="47"/>
      <c r="D612" s="47"/>
      <c r="E612" s="47"/>
      <c r="F612" s="47"/>
    </row>
    <row r="613">
      <c r="B613" s="42"/>
      <c r="C613" s="47"/>
      <c r="D613" s="47"/>
      <c r="E613" s="47"/>
      <c r="F613" s="47"/>
    </row>
    <row r="614">
      <c r="B614" s="42"/>
      <c r="C614" s="47"/>
      <c r="D614" s="47"/>
      <c r="E614" s="47"/>
      <c r="F614" s="47"/>
    </row>
    <row r="615">
      <c r="B615" s="42"/>
      <c r="C615" s="47"/>
      <c r="D615" s="47"/>
      <c r="E615" s="47"/>
      <c r="F615" s="47"/>
    </row>
    <row r="616">
      <c r="B616" s="42"/>
      <c r="C616" s="47"/>
      <c r="D616" s="47"/>
      <c r="E616" s="47"/>
      <c r="F616" s="47"/>
    </row>
    <row r="617">
      <c r="B617" s="42"/>
      <c r="C617" s="47"/>
      <c r="D617" s="47"/>
      <c r="E617" s="47"/>
      <c r="F617" s="47"/>
    </row>
    <row r="618">
      <c r="B618" s="42"/>
      <c r="C618" s="47"/>
      <c r="D618" s="47"/>
      <c r="E618" s="47"/>
      <c r="F618" s="47"/>
    </row>
    <row r="619">
      <c r="B619" s="42"/>
      <c r="C619" s="47"/>
      <c r="D619" s="47"/>
      <c r="E619" s="47"/>
      <c r="F619" s="47"/>
    </row>
    <row r="620">
      <c r="B620" s="42"/>
      <c r="C620" s="47"/>
      <c r="D620" s="47"/>
      <c r="E620" s="47"/>
      <c r="F620" s="47"/>
    </row>
    <row r="621">
      <c r="B621" s="42"/>
      <c r="C621" s="47"/>
      <c r="D621" s="47"/>
      <c r="E621" s="47"/>
      <c r="F621" s="47"/>
    </row>
    <row r="622">
      <c r="B622" s="42"/>
      <c r="C622" s="47"/>
      <c r="D622" s="47"/>
      <c r="E622" s="47"/>
      <c r="F622" s="47"/>
    </row>
    <row r="623">
      <c r="B623" s="42"/>
      <c r="C623" s="47"/>
      <c r="D623" s="47"/>
      <c r="E623" s="47"/>
      <c r="F623" s="47"/>
    </row>
    <row r="624">
      <c r="B624" s="42"/>
      <c r="C624" s="47"/>
      <c r="D624" s="47"/>
      <c r="E624" s="47"/>
      <c r="F624" s="47"/>
    </row>
    <row r="625">
      <c r="B625" s="42"/>
      <c r="C625" s="47"/>
      <c r="D625" s="47"/>
      <c r="E625" s="47"/>
      <c r="F625" s="47"/>
    </row>
    <row r="626">
      <c r="B626" s="42"/>
      <c r="C626" s="47"/>
      <c r="D626" s="47"/>
      <c r="E626" s="47"/>
      <c r="F626" s="47"/>
    </row>
    <row r="627">
      <c r="B627" s="42"/>
      <c r="C627" s="47"/>
      <c r="D627" s="47"/>
      <c r="E627" s="47"/>
      <c r="F627" s="47"/>
    </row>
    <row r="628">
      <c r="B628" s="42"/>
      <c r="C628" s="47"/>
      <c r="D628" s="47"/>
      <c r="E628" s="47"/>
      <c r="F628" s="47"/>
    </row>
    <row r="629">
      <c r="B629" s="42"/>
      <c r="C629" s="47"/>
      <c r="D629" s="47"/>
      <c r="E629" s="47"/>
      <c r="F629" s="47"/>
    </row>
    <row r="630">
      <c r="B630" s="42"/>
      <c r="C630" s="47"/>
      <c r="D630" s="47"/>
      <c r="E630" s="47"/>
      <c r="F630" s="47"/>
    </row>
    <row r="631">
      <c r="B631" s="42"/>
      <c r="C631" s="47"/>
      <c r="D631" s="47"/>
      <c r="E631" s="47"/>
      <c r="F631" s="47"/>
    </row>
    <row r="632">
      <c r="B632" s="42"/>
      <c r="C632" s="47"/>
      <c r="D632" s="47"/>
      <c r="E632" s="47"/>
      <c r="F632" s="47"/>
    </row>
    <row r="633">
      <c r="B633" s="42"/>
      <c r="C633" s="47"/>
      <c r="D633" s="47"/>
      <c r="E633" s="47"/>
      <c r="F633" s="47"/>
    </row>
    <row r="634">
      <c r="B634" s="42"/>
      <c r="C634" s="47"/>
      <c r="D634" s="47"/>
      <c r="E634" s="47"/>
      <c r="F634" s="47"/>
    </row>
    <row r="635">
      <c r="B635" s="42"/>
      <c r="C635" s="47"/>
      <c r="D635" s="47"/>
      <c r="E635" s="47"/>
      <c r="F635" s="47"/>
    </row>
    <row r="636">
      <c r="B636" s="42"/>
      <c r="C636" s="47"/>
      <c r="D636" s="47"/>
      <c r="E636" s="47"/>
      <c r="F636" s="47"/>
    </row>
    <row r="637">
      <c r="B637" s="42"/>
      <c r="C637" s="47"/>
      <c r="D637" s="47"/>
      <c r="E637" s="47"/>
      <c r="F637" s="47"/>
    </row>
    <row r="638">
      <c r="B638" s="42"/>
      <c r="C638" s="47"/>
      <c r="D638" s="47"/>
      <c r="E638" s="47"/>
      <c r="F638" s="47"/>
    </row>
    <row r="639">
      <c r="B639" s="42"/>
      <c r="C639" s="47"/>
      <c r="D639" s="47"/>
      <c r="E639" s="47"/>
      <c r="F639" s="47"/>
    </row>
    <row r="640">
      <c r="B640" s="42"/>
      <c r="C640" s="47"/>
      <c r="D640" s="47"/>
      <c r="E640" s="47"/>
      <c r="F640" s="47"/>
    </row>
    <row r="641">
      <c r="B641" s="42"/>
      <c r="C641" s="47"/>
      <c r="D641" s="47"/>
      <c r="E641" s="47"/>
      <c r="F641" s="47"/>
    </row>
    <row r="642">
      <c r="B642" s="42"/>
      <c r="C642" s="47"/>
      <c r="D642" s="47"/>
      <c r="E642" s="47"/>
      <c r="F642" s="47"/>
    </row>
    <row r="643">
      <c r="B643" s="42"/>
      <c r="C643" s="47"/>
      <c r="D643" s="47"/>
      <c r="E643" s="47"/>
      <c r="F643" s="47"/>
    </row>
    <row r="644">
      <c r="B644" s="42"/>
      <c r="C644" s="47"/>
      <c r="D644" s="47"/>
      <c r="E644" s="47"/>
      <c r="F644" s="47"/>
    </row>
    <row r="645">
      <c r="B645" s="42"/>
      <c r="C645" s="47"/>
      <c r="D645" s="47"/>
      <c r="E645" s="47"/>
      <c r="F645" s="47"/>
    </row>
    <row r="646">
      <c r="B646" s="42"/>
      <c r="C646" s="47"/>
      <c r="D646" s="47"/>
      <c r="E646" s="47"/>
      <c r="F646" s="47"/>
    </row>
    <row r="647">
      <c r="B647" s="42"/>
      <c r="C647" s="47"/>
      <c r="D647" s="47"/>
      <c r="E647" s="47"/>
      <c r="F647" s="47"/>
    </row>
    <row r="648">
      <c r="B648" s="42"/>
      <c r="C648" s="47"/>
      <c r="D648" s="47"/>
      <c r="E648" s="47"/>
      <c r="F648" s="47"/>
    </row>
    <row r="649">
      <c r="B649" s="42"/>
      <c r="C649" s="47"/>
      <c r="D649" s="47"/>
      <c r="E649" s="47"/>
      <c r="F649" s="47"/>
    </row>
    <row r="650">
      <c r="B650" s="42"/>
      <c r="C650" s="47"/>
      <c r="D650" s="47"/>
      <c r="E650" s="47"/>
      <c r="F650" s="47"/>
    </row>
    <row r="651">
      <c r="B651" s="42"/>
      <c r="C651" s="47"/>
      <c r="D651" s="47"/>
      <c r="E651" s="47"/>
      <c r="F651" s="47"/>
    </row>
    <row r="652">
      <c r="B652" s="42"/>
      <c r="C652" s="47"/>
      <c r="D652" s="47"/>
      <c r="E652" s="47"/>
      <c r="F652" s="47"/>
    </row>
    <row r="653">
      <c r="B653" s="42"/>
      <c r="C653" s="47"/>
      <c r="D653" s="47"/>
      <c r="E653" s="47"/>
      <c r="F653" s="47"/>
    </row>
    <row r="654">
      <c r="B654" s="42"/>
      <c r="C654" s="47"/>
      <c r="D654" s="47"/>
      <c r="E654" s="47"/>
      <c r="F654" s="47"/>
    </row>
    <row r="655">
      <c r="B655" s="42"/>
      <c r="C655" s="47"/>
      <c r="D655" s="47"/>
      <c r="E655" s="47"/>
      <c r="F655" s="47"/>
    </row>
    <row r="656">
      <c r="B656" s="42"/>
      <c r="C656" s="47"/>
      <c r="D656" s="47"/>
      <c r="E656" s="47"/>
      <c r="F656" s="47"/>
    </row>
    <row r="657">
      <c r="B657" s="42"/>
      <c r="C657" s="47"/>
      <c r="D657" s="47"/>
      <c r="E657" s="47"/>
      <c r="F657" s="47"/>
    </row>
    <row r="658">
      <c r="B658" s="42"/>
      <c r="C658" s="47"/>
      <c r="D658" s="47"/>
      <c r="E658" s="47"/>
      <c r="F658" s="47"/>
    </row>
    <row r="659">
      <c r="B659" s="42"/>
      <c r="C659" s="47"/>
      <c r="D659" s="47"/>
      <c r="E659" s="47"/>
      <c r="F659" s="47"/>
    </row>
    <row r="660">
      <c r="B660" s="42"/>
      <c r="C660" s="47"/>
      <c r="D660" s="47"/>
      <c r="E660" s="47"/>
      <c r="F660" s="47"/>
    </row>
    <row r="661">
      <c r="B661" s="42"/>
      <c r="C661" s="47"/>
      <c r="D661" s="47"/>
      <c r="E661" s="47"/>
      <c r="F661" s="47"/>
    </row>
    <row r="662">
      <c r="B662" s="42"/>
      <c r="C662" s="47"/>
      <c r="D662" s="47"/>
      <c r="E662" s="47"/>
      <c r="F662" s="47"/>
    </row>
    <row r="663">
      <c r="B663" s="42"/>
      <c r="C663" s="47"/>
      <c r="D663" s="47"/>
      <c r="E663" s="47"/>
      <c r="F663" s="47"/>
    </row>
    <row r="664">
      <c r="B664" s="42"/>
      <c r="C664" s="47"/>
      <c r="D664" s="47"/>
      <c r="E664" s="47"/>
      <c r="F664" s="47"/>
    </row>
    <row r="665">
      <c r="B665" s="42"/>
      <c r="C665" s="47"/>
      <c r="D665" s="47"/>
      <c r="E665" s="47"/>
      <c r="F665" s="47"/>
    </row>
    <row r="666">
      <c r="B666" s="42"/>
      <c r="C666" s="47"/>
      <c r="D666" s="47"/>
      <c r="E666" s="47"/>
      <c r="F666" s="47"/>
    </row>
    <row r="667">
      <c r="B667" s="42"/>
      <c r="C667" s="47"/>
      <c r="D667" s="47"/>
      <c r="E667" s="47"/>
      <c r="F667" s="47"/>
    </row>
    <row r="668">
      <c r="B668" s="42"/>
      <c r="C668" s="47"/>
      <c r="D668" s="47"/>
      <c r="E668" s="47"/>
      <c r="F668" s="47"/>
    </row>
    <row r="669">
      <c r="B669" s="42"/>
      <c r="C669" s="47"/>
      <c r="D669" s="47"/>
      <c r="E669" s="47"/>
      <c r="F669" s="47"/>
    </row>
    <row r="670">
      <c r="B670" s="42"/>
      <c r="C670" s="47"/>
      <c r="D670" s="47"/>
      <c r="E670" s="47"/>
      <c r="F670" s="47"/>
    </row>
    <row r="671">
      <c r="B671" s="42"/>
      <c r="C671" s="47"/>
      <c r="D671" s="47"/>
      <c r="E671" s="47"/>
      <c r="F671" s="47"/>
    </row>
    <row r="672">
      <c r="B672" s="42"/>
      <c r="C672" s="47"/>
      <c r="D672" s="47"/>
      <c r="E672" s="47"/>
      <c r="F672" s="47"/>
    </row>
    <row r="673">
      <c r="B673" s="42"/>
      <c r="C673" s="47"/>
      <c r="D673" s="47"/>
      <c r="E673" s="47"/>
      <c r="F673" s="47"/>
    </row>
    <row r="674">
      <c r="B674" s="42"/>
      <c r="C674" s="47"/>
      <c r="D674" s="47"/>
      <c r="E674" s="47"/>
      <c r="F674" s="47"/>
    </row>
    <row r="675">
      <c r="B675" s="42"/>
      <c r="C675" s="47"/>
      <c r="D675" s="47"/>
      <c r="E675" s="47"/>
      <c r="F675" s="47"/>
    </row>
    <row r="676">
      <c r="B676" s="42"/>
      <c r="C676" s="47"/>
      <c r="D676" s="47"/>
      <c r="E676" s="47"/>
      <c r="F676" s="47"/>
    </row>
    <row r="677">
      <c r="B677" s="42"/>
      <c r="C677" s="47"/>
      <c r="D677" s="47"/>
      <c r="E677" s="47"/>
      <c r="F677" s="47"/>
    </row>
    <row r="678">
      <c r="B678" s="42"/>
      <c r="C678" s="47"/>
      <c r="D678" s="47"/>
      <c r="E678" s="47"/>
      <c r="F678" s="47"/>
    </row>
    <row r="679">
      <c r="B679" s="42"/>
      <c r="C679" s="47"/>
      <c r="D679" s="47"/>
      <c r="E679" s="47"/>
      <c r="F679" s="47"/>
    </row>
    <row r="680">
      <c r="B680" s="42"/>
      <c r="C680" s="47"/>
      <c r="D680" s="47"/>
      <c r="E680" s="47"/>
      <c r="F680" s="47"/>
    </row>
    <row r="681">
      <c r="B681" s="42"/>
      <c r="C681" s="47"/>
      <c r="D681" s="47"/>
      <c r="E681" s="47"/>
      <c r="F681" s="47"/>
    </row>
    <row r="682">
      <c r="B682" s="42"/>
      <c r="C682" s="47"/>
      <c r="D682" s="47"/>
      <c r="E682" s="47"/>
      <c r="F682" s="47"/>
    </row>
    <row r="683">
      <c r="B683" s="42"/>
      <c r="C683" s="47"/>
      <c r="D683" s="47"/>
      <c r="E683" s="47"/>
      <c r="F683" s="47"/>
    </row>
    <row r="684">
      <c r="B684" s="42"/>
      <c r="C684" s="47"/>
      <c r="D684" s="47"/>
      <c r="E684" s="47"/>
      <c r="F684" s="47"/>
    </row>
    <row r="685">
      <c r="B685" s="42"/>
      <c r="C685" s="47"/>
      <c r="D685" s="47"/>
      <c r="E685" s="47"/>
      <c r="F685" s="47"/>
    </row>
    <row r="686">
      <c r="B686" s="42"/>
      <c r="C686" s="47"/>
      <c r="D686" s="47"/>
      <c r="E686" s="47"/>
      <c r="F686" s="47"/>
    </row>
    <row r="687">
      <c r="B687" s="42"/>
      <c r="C687" s="47"/>
      <c r="D687" s="47"/>
      <c r="E687" s="47"/>
      <c r="F687" s="47"/>
    </row>
    <row r="688">
      <c r="B688" s="42"/>
      <c r="C688" s="47"/>
      <c r="D688" s="47"/>
      <c r="E688" s="47"/>
      <c r="F688" s="47"/>
    </row>
    <row r="689">
      <c r="B689" s="42"/>
      <c r="C689" s="47"/>
      <c r="D689" s="47"/>
      <c r="E689" s="47"/>
      <c r="F689" s="47"/>
    </row>
    <row r="690">
      <c r="B690" s="42"/>
      <c r="C690" s="47"/>
      <c r="D690" s="47"/>
      <c r="E690" s="47"/>
      <c r="F690" s="47"/>
    </row>
    <row r="691">
      <c r="B691" s="42"/>
      <c r="C691" s="47"/>
      <c r="D691" s="47"/>
      <c r="E691" s="47"/>
      <c r="F691" s="47"/>
    </row>
    <row r="692">
      <c r="B692" s="42"/>
      <c r="C692" s="47"/>
      <c r="D692" s="47"/>
      <c r="E692" s="47"/>
      <c r="F692" s="47"/>
    </row>
    <row r="693">
      <c r="B693" s="42"/>
      <c r="C693" s="47"/>
      <c r="D693" s="47"/>
      <c r="E693" s="47"/>
      <c r="F693" s="47"/>
    </row>
    <row r="694">
      <c r="B694" s="42"/>
      <c r="C694" s="47"/>
      <c r="D694" s="47"/>
      <c r="E694" s="47"/>
      <c r="F694" s="47"/>
    </row>
    <row r="695">
      <c r="B695" s="42"/>
      <c r="C695" s="47"/>
      <c r="D695" s="47"/>
      <c r="E695" s="47"/>
      <c r="F695" s="47"/>
    </row>
    <row r="696">
      <c r="B696" s="42"/>
      <c r="C696" s="47"/>
      <c r="D696" s="47"/>
      <c r="E696" s="47"/>
      <c r="F696" s="47"/>
    </row>
    <row r="697">
      <c r="B697" s="42"/>
      <c r="C697" s="47"/>
      <c r="D697" s="47"/>
      <c r="E697" s="47"/>
      <c r="F697" s="47"/>
    </row>
    <row r="698">
      <c r="B698" s="42"/>
      <c r="C698" s="47"/>
      <c r="D698" s="47"/>
      <c r="E698" s="47"/>
      <c r="F698" s="47"/>
    </row>
    <row r="699">
      <c r="B699" s="42"/>
      <c r="C699" s="47"/>
      <c r="D699" s="47"/>
      <c r="E699" s="47"/>
      <c r="F699" s="47"/>
    </row>
    <row r="700">
      <c r="B700" s="42"/>
      <c r="C700" s="47"/>
      <c r="D700" s="47"/>
      <c r="E700" s="47"/>
      <c r="F700" s="47"/>
    </row>
    <row r="701">
      <c r="B701" s="42"/>
      <c r="C701" s="47"/>
      <c r="D701" s="47"/>
      <c r="E701" s="47"/>
      <c r="F701" s="47"/>
    </row>
    <row r="702">
      <c r="B702" s="42"/>
      <c r="C702" s="47"/>
      <c r="D702" s="47"/>
      <c r="E702" s="47"/>
      <c r="F702" s="47"/>
    </row>
    <row r="703">
      <c r="B703" s="42"/>
      <c r="C703" s="47"/>
      <c r="D703" s="47"/>
      <c r="E703" s="47"/>
      <c r="F703" s="47"/>
    </row>
    <row r="704">
      <c r="B704" s="42"/>
      <c r="C704" s="47"/>
      <c r="D704" s="47"/>
      <c r="E704" s="47"/>
      <c r="F704" s="47"/>
    </row>
    <row r="705">
      <c r="B705" s="42"/>
      <c r="C705" s="47"/>
      <c r="D705" s="47"/>
      <c r="E705" s="47"/>
      <c r="F705" s="47"/>
    </row>
    <row r="706">
      <c r="B706" s="42"/>
      <c r="C706" s="47"/>
      <c r="D706" s="47"/>
      <c r="E706" s="47"/>
      <c r="F706" s="47"/>
    </row>
    <row r="707">
      <c r="B707" s="42"/>
      <c r="C707" s="47"/>
      <c r="D707" s="47"/>
      <c r="E707" s="47"/>
      <c r="F707" s="47"/>
    </row>
    <row r="708">
      <c r="B708" s="42"/>
      <c r="C708" s="47"/>
      <c r="D708" s="47"/>
      <c r="E708" s="47"/>
      <c r="F708" s="47"/>
    </row>
    <row r="709">
      <c r="B709" s="42"/>
      <c r="C709" s="47"/>
      <c r="D709" s="47"/>
      <c r="E709" s="47"/>
      <c r="F709" s="47"/>
    </row>
    <row r="710">
      <c r="B710" s="42"/>
      <c r="C710" s="47"/>
      <c r="D710" s="47"/>
      <c r="E710" s="47"/>
      <c r="F710" s="47"/>
    </row>
    <row r="711">
      <c r="B711" s="42"/>
      <c r="C711" s="47"/>
      <c r="D711" s="47"/>
      <c r="E711" s="47"/>
      <c r="F711" s="47"/>
    </row>
    <row r="712">
      <c r="B712" s="42"/>
      <c r="C712" s="47"/>
      <c r="D712" s="47"/>
      <c r="E712" s="47"/>
      <c r="F712" s="47"/>
    </row>
    <row r="713">
      <c r="B713" s="42"/>
      <c r="C713" s="47"/>
      <c r="D713" s="47"/>
      <c r="E713" s="47"/>
      <c r="F713" s="47"/>
    </row>
    <row r="714">
      <c r="B714" s="42"/>
      <c r="C714" s="47"/>
      <c r="D714" s="47"/>
      <c r="E714" s="47"/>
      <c r="F714" s="47"/>
    </row>
    <row r="715">
      <c r="B715" s="42"/>
      <c r="C715" s="47"/>
      <c r="D715" s="47"/>
      <c r="E715" s="47"/>
      <c r="F715" s="47"/>
    </row>
    <row r="716">
      <c r="B716" s="42"/>
      <c r="C716" s="47"/>
      <c r="D716" s="47"/>
      <c r="E716" s="47"/>
      <c r="F716" s="47"/>
    </row>
    <row r="717">
      <c r="B717" s="42"/>
      <c r="C717" s="47"/>
      <c r="D717" s="47"/>
      <c r="E717" s="47"/>
      <c r="F717" s="47"/>
    </row>
    <row r="718">
      <c r="B718" s="42"/>
      <c r="C718" s="47"/>
      <c r="D718" s="47"/>
      <c r="E718" s="47"/>
      <c r="F718" s="47"/>
    </row>
    <row r="719">
      <c r="B719" s="42"/>
      <c r="C719" s="47"/>
      <c r="D719" s="47"/>
      <c r="E719" s="47"/>
      <c r="F719" s="47"/>
    </row>
    <row r="720">
      <c r="B720" s="42"/>
      <c r="C720" s="47"/>
      <c r="D720" s="47"/>
      <c r="E720" s="47"/>
      <c r="F720" s="47"/>
    </row>
    <row r="721">
      <c r="B721" s="42"/>
      <c r="C721" s="47"/>
      <c r="D721" s="47"/>
      <c r="E721" s="47"/>
      <c r="F721" s="47"/>
    </row>
    <row r="722">
      <c r="B722" s="42"/>
      <c r="C722" s="47"/>
      <c r="D722" s="47"/>
      <c r="E722" s="47"/>
      <c r="F722" s="47"/>
    </row>
    <row r="723">
      <c r="B723" s="42"/>
      <c r="C723" s="47"/>
      <c r="D723" s="47"/>
      <c r="E723" s="47"/>
      <c r="F723" s="47"/>
    </row>
    <row r="724">
      <c r="B724" s="42"/>
      <c r="C724" s="47"/>
      <c r="D724" s="47"/>
      <c r="E724" s="47"/>
      <c r="F724" s="47"/>
    </row>
    <row r="725">
      <c r="B725" s="42"/>
      <c r="C725" s="47"/>
      <c r="D725" s="47"/>
      <c r="E725" s="47"/>
      <c r="F725" s="47"/>
    </row>
    <row r="726">
      <c r="B726" s="42"/>
      <c r="C726" s="47"/>
      <c r="D726" s="47"/>
      <c r="E726" s="47"/>
      <c r="F726" s="47"/>
    </row>
    <row r="727">
      <c r="B727" s="42"/>
      <c r="C727" s="47"/>
      <c r="D727" s="47"/>
      <c r="E727" s="47"/>
      <c r="F727" s="47"/>
    </row>
    <row r="728">
      <c r="B728" s="42"/>
      <c r="C728" s="47"/>
      <c r="D728" s="47"/>
      <c r="E728" s="47"/>
      <c r="F728" s="47"/>
    </row>
    <row r="729">
      <c r="B729" s="42"/>
      <c r="C729" s="47"/>
      <c r="D729" s="47"/>
      <c r="E729" s="47"/>
      <c r="F729" s="47"/>
    </row>
    <row r="730">
      <c r="B730" s="42"/>
      <c r="C730" s="47"/>
      <c r="D730" s="47"/>
      <c r="E730" s="47"/>
      <c r="F730" s="47"/>
    </row>
    <row r="731">
      <c r="B731" s="42"/>
      <c r="C731" s="47"/>
      <c r="D731" s="47"/>
      <c r="E731" s="47"/>
      <c r="F731" s="47"/>
    </row>
    <row r="732">
      <c r="B732" s="42"/>
      <c r="C732" s="47"/>
      <c r="D732" s="47"/>
      <c r="E732" s="47"/>
      <c r="F732" s="47"/>
    </row>
    <row r="733">
      <c r="B733" s="42"/>
      <c r="C733" s="47"/>
      <c r="D733" s="47"/>
      <c r="E733" s="47"/>
      <c r="F733" s="47"/>
    </row>
    <row r="734">
      <c r="B734" s="42"/>
      <c r="C734" s="47"/>
      <c r="D734" s="47"/>
      <c r="E734" s="47"/>
      <c r="F734" s="47"/>
    </row>
    <row r="735">
      <c r="B735" s="42"/>
      <c r="C735" s="47"/>
      <c r="D735" s="47"/>
      <c r="E735" s="47"/>
      <c r="F735" s="47"/>
    </row>
    <row r="736">
      <c r="B736" s="42"/>
      <c r="C736" s="47"/>
      <c r="D736" s="47"/>
      <c r="E736" s="47"/>
      <c r="F736" s="47"/>
    </row>
    <row r="737">
      <c r="B737" s="42"/>
      <c r="C737" s="47"/>
      <c r="D737" s="47"/>
      <c r="E737" s="47"/>
      <c r="F737" s="47"/>
    </row>
    <row r="738">
      <c r="B738" s="42"/>
      <c r="C738" s="47"/>
      <c r="D738" s="47"/>
      <c r="E738" s="47"/>
      <c r="F738" s="47"/>
    </row>
    <row r="739">
      <c r="B739" s="42"/>
      <c r="C739" s="47"/>
      <c r="D739" s="47"/>
      <c r="E739" s="47"/>
      <c r="F739" s="47"/>
    </row>
    <row r="740">
      <c r="B740" s="42"/>
      <c r="C740" s="47"/>
      <c r="D740" s="47"/>
      <c r="E740" s="47"/>
      <c r="F740" s="47"/>
    </row>
    <row r="741">
      <c r="B741" s="42"/>
      <c r="C741" s="47"/>
      <c r="D741" s="47"/>
      <c r="E741" s="47"/>
      <c r="F741" s="47"/>
    </row>
    <row r="742">
      <c r="B742" s="42"/>
      <c r="C742" s="47"/>
      <c r="D742" s="47"/>
      <c r="E742" s="47"/>
      <c r="F742" s="47"/>
    </row>
    <row r="743">
      <c r="B743" s="42"/>
      <c r="C743" s="47"/>
      <c r="D743" s="47"/>
      <c r="E743" s="47"/>
      <c r="F743" s="47"/>
    </row>
    <row r="744">
      <c r="B744" s="42"/>
      <c r="C744" s="47"/>
      <c r="D744" s="47"/>
      <c r="E744" s="47"/>
      <c r="F744" s="47"/>
    </row>
    <row r="745">
      <c r="B745" s="42"/>
      <c r="C745" s="47"/>
      <c r="D745" s="47"/>
      <c r="E745" s="47"/>
      <c r="F745" s="47"/>
    </row>
    <row r="746">
      <c r="B746" s="42"/>
      <c r="C746" s="47"/>
      <c r="D746" s="47"/>
      <c r="E746" s="47"/>
      <c r="F746" s="47"/>
    </row>
    <row r="747">
      <c r="B747" s="42"/>
      <c r="C747" s="47"/>
      <c r="D747" s="47"/>
      <c r="E747" s="47"/>
      <c r="F747" s="47"/>
    </row>
    <row r="748">
      <c r="B748" s="42"/>
      <c r="C748" s="47"/>
      <c r="D748" s="47"/>
      <c r="E748" s="47"/>
      <c r="F748" s="47"/>
    </row>
    <row r="749">
      <c r="B749" s="42"/>
      <c r="C749" s="47"/>
      <c r="D749" s="47"/>
      <c r="E749" s="47"/>
      <c r="F749" s="47"/>
    </row>
    <row r="750">
      <c r="B750" s="42"/>
      <c r="C750" s="47"/>
      <c r="D750" s="47"/>
      <c r="E750" s="47"/>
      <c r="F750" s="47"/>
    </row>
    <row r="751">
      <c r="B751" s="42"/>
      <c r="C751" s="47"/>
      <c r="D751" s="47"/>
      <c r="E751" s="47"/>
      <c r="F751" s="47"/>
    </row>
    <row r="752">
      <c r="B752" s="42"/>
      <c r="C752" s="47"/>
      <c r="D752" s="47"/>
      <c r="E752" s="47"/>
      <c r="F752" s="47"/>
    </row>
    <row r="753">
      <c r="B753" s="42"/>
      <c r="C753" s="47"/>
      <c r="D753" s="47"/>
      <c r="E753" s="47"/>
      <c r="F753" s="47"/>
    </row>
    <row r="754">
      <c r="B754" s="42"/>
      <c r="C754" s="47"/>
      <c r="D754" s="47"/>
      <c r="E754" s="47"/>
      <c r="F754" s="47"/>
    </row>
    <row r="755">
      <c r="B755" s="42"/>
      <c r="C755" s="47"/>
      <c r="D755" s="47"/>
      <c r="E755" s="47"/>
      <c r="F755" s="47"/>
    </row>
    <row r="756">
      <c r="B756" s="42"/>
      <c r="C756" s="47"/>
      <c r="D756" s="47"/>
      <c r="E756" s="47"/>
      <c r="F756" s="47"/>
    </row>
    <row r="757">
      <c r="B757" s="42"/>
      <c r="C757" s="47"/>
      <c r="D757" s="47"/>
      <c r="E757" s="47"/>
      <c r="F757" s="47"/>
    </row>
    <row r="758">
      <c r="B758" s="42"/>
      <c r="C758" s="47"/>
      <c r="D758" s="47"/>
      <c r="E758" s="47"/>
      <c r="F758" s="47"/>
    </row>
    <row r="759">
      <c r="B759" s="42"/>
      <c r="C759" s="47"/>
      <c r="D759" s="47"/>
      <c r="E759" s="47"/>
      <c r="F759" s="47"/>
    </row>
    <row r="760">
      <c r="B760" s="42"/>
      <c r="C760" s="47"/>
      <c r="D760" s="47"/>
      <c r="E760" s="47"/>
      <c r="F760" s="47"/>
    </row>
    <row r="761">
      <c r="B761" s="42"/>
      <c r="C761" s="47"/>
      <c r="D761" s="47"/>
      <c r="E761" s="47"/>
      <c r="F761" s="47"/>
    </row>
    <row r="762">
      <c r="B762" s="42"/>
      <c r="C762" s="47"/>
      <c r="D762" s="47"/>
      <c r="E762" s="47"/>
      <c r="F762" s="47"/>
    </row>
    <row r="763">
      <c r="B763" s="42"/>
      <c r="C763" s="47"/>
      <c r="D763" s="47"/>
      <c r="E763" s="47"/>
      <c r="F763" s="47"/>
    </row>
    <row r="764">
      <c r="B764" s="42"/>
      <c r="C764" s="47"/>
      <c r="D764" s="47"/>
      <c r="E764" s="47"/>
      <c r="F764" s="47"/>
    </row>
    <row r="765">
      <c r="B765" s="42"/>
      <c r="C765" s="47"/>
      <c r="D765" s="47"/>
      <c r="E765" s="47"/>
      <c r="F765" s="47"/>
    </row>
    <row r="766">
      <c r="B766" s="42"/>
      <c r="C766" s="47"/>
      <c r="D766" s="47"/>
      <c r="E766" s="47"/>
      <c r="F766" s="47"/>
    </row>
    <row r="767">
      <c r="B767" s="42"/>
      <c r="C767" s="47"/>
      <c r="D767" s="47"/>
      <c r="E767" s="47"/>
      <c r="F767" s="47"/>
    </row>
    <row r="768">
      <c r="B768" s="42"/>
      <c r="C768" s="47"/>
      <c r="D768" s="47"/>
      <c r="E768" s="47"/>
      <c r="F768" s="47"/>
    </row>
    <row r="769">
      <c r="B769" s="42"/>
      <c r="C769" s="47"/>
      <c r="D769" s="47"/>
      <c r="E769" s="47"/>
      <c r="F769" s="47"/>
    </row>
    <row r="770">
      <c r="B770" s="42"/>
      <c r="C770" s="47"/>
      <c r="D770" s="47"/>
      <c r="E770" s="47"/>
      <c r="F770" s="47"/>
    </row>
    <row r="771">
      <c r="B771" s="42"/>
      <c r="C771" s="47"/>
      <c r="D771" s="47"/>
      <c r="E771" s="47"/>
      <c r="F771" s="47"/>
    </row>
    <row r="772">
      <c r="B772" s="42"/>
      <c r="C772" s="47"/>
      <c r="D772" s="47"/>
      <c r="E772" s="47"/>
      <c r="F772" s="47"/>
    </row>
    <row r="773">
      <c r="B773" s="42"/>
      <c r="C773" s="47"/>
      <c r="D773" s="47"/>
      <c r="E773" s="47"/>
      <c r="F773" s="47"/>
    </row>
    <row r="774">
      <c r="B774" s="42"/>
      <c r="C774" s="47"/>
      <c r="D774" s="47"/>
      <c r="E774" s="47"/>
      <c r="F774" s="47"/>
    </row>
    <row r="775">
      <c r="B775" s="42"/>
      <c r="C775" s="47"/>
      <c r="D775" s="47"/>
      <c r="E775" s="47"/>
      <c r="F775" s="47"/>
    </row>
    <row r="776">
      <c r="B776" s="42"/>
      <c r="C776" s="47"/>
      <c r="D776" s="47"/>
      <c r="E776" s="47"/>
      <c r="F776" s="47"/>
    </row>
    <row r="777">
      <c r="B777" s="42"/>
      <c r="C777" s="47"/>
      <c r="D777" s="47"/>
      <c r="E777" s="47"/>
      <c r="F777" s="47"/>
    </row>
    <row r="778">
      <c r="B778" s="42"/>
      <c r="C778" s="47"/>
      <c r="D778" s="47"/>
      <c r="E778" s="47"/>
      <c r="F778" s="47"/>
    </row>
    <row r="779">
      <c r="B779" s="42"/>
      <c r="C779" s="47"/>
      <c r="D779" s="47"/>
      <c r="E779" s="47"/>
      <c r="F779" s="47"/>
    </row>
    <row r="780">
      <c r="B780" s="42"/>
      <c r="C780" s="47"/>
      <c r="D780" s="47"/>
      <c r="E780" s="47"/>
      <c r="F780" s="47"/>
    </row>
    <row r="781">
      <c r="B781" s="42"/>
      <c r="C781" s="47"/>
      <c r="D781" s="47"/>
      <c r="E781" s="47"/>
      <c r="F781" s="47"/>
    </row>
    <row r="782">
      <c r="B782" s="42"/>
      <c r="C782" s="47"/>
      <c r="D782" s="47"/>
      <c r="E782" s="47"/>
      <c r="F782" s="47"/>
    </row>
    <row r="783">
      <c r="B783" s="42"/>
      <c r="C783" s="47"/>
      <c r="D783" s="47"/>
      <c r="E783" s="47"/>
      <c r="F783" s="47"/>
    </row>
    <row r="784">
      <c r="B784" s="42"/>
      <c r="C784" s="47"/>
      <c r="D784" s="47"/>
      <c r="E784" s="47"/>
      <c r="F784" s="47"/>
    </row>
    <row r="785">
      <c r="B785" s="42"/>
      <c r="C785" s="47"/>
      <c r="D785" s="47"/>
      <c r="E785" s="47"/>
      <c r="F785" s="47"/>
    </row>
    <row r="786">
      <c r="B786" s="42"/>
      <c r="C786" s="47"/>
      <c r="D786" s="47"/>
      <c r="E786" s="47"/>
      <c r="F786" s="47"/>
    </row>
    <row r="787">
      <c r="B787" s="42"/>
      <c r="C787" s="47"/>
      <c r="D787" s="47"/>
      <c r="E787" s="47"/>
      <c r="F787" s="47"/>
    </row>
    <row r="788">
      <c r="B788" s="42"/>
      <c r="C788" s="47"/>
      <c r="D788" s="47"/>
      <c r="E788" s="47"/>
      <c r="F788" s="47"/>
    </row>
    <row r="789">
      <c r="B789" s="42"/>
      <c r="C789" s="47"/>
      <c r="D789" s="47"/>
      <c r="E789" s="47"/>
      <c r="F789" s="47"/>
    </row>
    <row r="790">
      <c r="B790" s="42"/>
      <c r="C790" s="47"/>
      <c r="D790" s="47"/>
      <c r="E790" s="47"/>
      <c r="F790" s="47"/>
    </row>
    <row r="791">
      <c r="B791" s="42"/>
      <c r="C791" s="47"/>
      <c r="D791" s="47"/>
      <c r="E791" s="47"/>
      <c r="F791" s="47"/>
    </row>
    <row r="792">
      <c r="B792" s="42"/>
      <c r="C792" s="47"/>
      <c r="D792" s="47"/>
      <c r="E792" s="47"/>
      <c r="F792" s="47"/>
    </row>
    <row r="793">
      <c r="B793" s="42"/>
      <c r="C793" s="47"/>
      <c r="D793" s="47"/>
      <c r="E793" s="47"/>
      <c r="F793" s="47"/>
    </row>
    <row r="794">
      <c r="B794" s="42"/>
      <c r="C794" s="47"/>
      <c r="D794" s="47"/>
      <c r="E794" s="47"/>
      <c r="F794" s="47"/>
    </row>
    <row r="795">
      <c r="B795" s="42"/>
      <c r="C795" s="47"/>
      <c r="D795" s="47"/>
      <c r="E795" s="47"/>
      <c r="F795" s="47"/>
    </row>
    <row r="796">
      <c r="B796" s="42"/>
      <c r="C796" s="47"/>
      <c r="D796" s="47"/>
      <c r="E796" s="47"/>
      <c r="F796" s="47"/>
    </row>
    <row r="797">
      <c r="B797" s="42"/>
      <c r="C797" s="47"/>
      <c r="D797" s="47"/>
      <c r="E797" s="47"/>
      <c r="F797" s="47"/>
    </row>
    <row r="798">
      <c r="B798" s="42"/>
      <c r="C798" s="47"/>
      <c r="D798" s="47"/>
      <c r="E798" s="47"/>
      <c r="F798" s="47"/>
    </row>
    <row r="799">
      <c r="B799" s="42"/>
      <c r="C799" s="47"/>
      <c r="D799" s="47"/>
      <c r="E799" s="47"/>
      <c r="F799" s="47"/>
    </row>
    <row r="800">
      <c r="B800" s="42"/>
      <c r="C800" s="47"/>
      <c r="D800" s="47"/>
      <c r="E800" s="47"/>
      <c r="F800" s="47"/>
    </row>
    <row r="801">
      <c r="B801" s="42"/>
      <c r="C801" s="47"/>
      <c r="D801" s="47"/>
      <c r="E801" s="47"/>
      <c r="F801" s="47"/>
    </row>
    <row r="802">
      <c r="B802" s="42"/>
      <c r="C802" s="47"/>
      <c r="D802" s="47"/>
      <c r="E802" s="47"/>
      <c r="F802" s="47"/>
    </row>
    <row r="803">
      <c r="B803" s="42"/>
      <c r="C803" s="47"/>
      <c r="D803" s="47"/>
      <c r="E803" s="47"/>
      <c r="F803" s="47"/>
    </row>
    <row r="804">
      <c r="B804" s="42"/>
      <c r="C804" s="47"/>
      <c r="D804" s="47"/>
      <c r="E804" s="47"/>
      <c r="F804" s="47"/>
    </row>
    <row r="805">
      <c r="B805" s="42"/>
      <c r="C805" s="47"/>
      <c r="D805" s="47"/>
      <c r="E805" s="47"/>
      <c r="F805" s="47"/>
    </row>
    <row r="806">
      <c r="B806" s="42"/>
      <c r="C806" s="47"/>
      <c r="D806" s="47"/>
      <c r="E806" s="47"/>
      <c r="F806" s="47"/>
    </row>
    <row r="807">
      <c r="B807" s="42"/>
      <c r="C807" s="47"/>
      <c r="D807" s="47"/>
      <c r="E807" s="47"/>
      <c r="F807" s="47"/>
    </row>
    <row r="808">
      <c r="B808" s="42"/>
      <c r="C808" s="47"/>
      <c r="D808" s="47"/>
      <c r="E808" s="47"/>
      <c r="F808" s="47"/>
    </row>
    <row r="809">
      <c r="B809" s="42"/>
      <c r="C809" s="47"/>
      <c r="D809" s="47"/>
      <c r="E809" s="47"/>
      <c r="F809" s="47"/>
    </row>
    <row r="810">
      <c r="B810" s="42"/>
      <c r="C810" s="47"/>
      <c r="D810" s="47"/>
      <c r="E810" s="47"/>
      <c r="F810" s="47"/>
    </row>
    <row r="811">
      <c r="B811" s="42"/>
      <c r="C811" s="47"/>
      <c r="D811" s="47"/>
      <c r="E811" s="47"/>
      <c r="F811" s="47"/>
    </row>
    <row r="812">
      <c r="B812" s="42"/>
      <c r="C812" s="47"/>
      <c r="D812" s="47"/>
      <c r="E812" s="47"/>
      <c r="F812" s="47"/>
    </row>
    <row r="813">
      <c r="B813" s="42"/>
      <c r="C813" s="47"/>
      <c r="D813" s="47"/>
      <c r="E813" s="47"/>
      <c r="F813" s="47"/>
    </row>
    <row r="814">
      <c r="B814" s="42"/>
      <c r="C814" s="47"/>
      <c r="D814" s="47"/>
      <c r="E814" s="47"/>
      <c r="F814" s="47"/>
    </row>
    <row r="815">
      <c r="B815" s="42"/>
      <c r="C815" s="47"/>
      <c r="D815" s="47"/>
      <c r="E815" s="47"/>
      <c r="F815" s="47"/>
    </row>
    <row r="816">
      <c r="B816" s="42"/>
      <c r="C816" s="47"/>
      <c r="D816" s="47"/>
      <c r="E816" s="47"/>
      <c r="F816" s="47"/>
    </row>
    <row r="817">
      <c r="B817" s="42"/>
      <c r="C817" s="47"/>
      <c r="D817" s="47"/>
      <c r="E817" s="47"/>
      <c r="F817" s="47"/>
    </row>
    <row r="818">
      <c r="B818" s="42"/>
      <c r="C818" s="47"/>
      <c r="D818" s="47"/>
      <c r="E818" s="47"/>
      <c r="F818" s="47"/>
    </row>
    <row r="819">
      <c r="B819" s="42"/>
      <c r="C819" s="47"/>
      <c r="D819" s="47"/>
      <c r="E819" s="47"/>
      <c r="F819" s="47"/>
    </row>
    <row r="820">
      <c r="B820" s="42"/>
      <c r="C820" s="47"/>
      <c r="D820" s="47"/>
      <c r="E820" s="47"/>
      <c r="F820" s="47"/>
    </row>
    <row r="821">
      <c r="B821" s="42"/>
      <c r="C821" s="47"/>
      <c r="D821" s="47"/>
      <c r="E821" s="47"/>
      <c r="F821" s="47"/>
    </row>
    <row r="822">
      <c r="B822" s="42"/>
      <c r="C822" s="47"/>
      <c r="D822" s="47"/>
      <c r="E822" s="47"/>
      <c r="F822" s="47"/>
    </row>
    <row r="823">
      <c r="B823" s="42"/>
      <c r="C823" s="47"/>
      <c r="D823" s="47"/>
      <c r="E823" s="47"/>
      <c r="F823" s="47"/>
    </row>
    <row r="824">
      <c r="B824" s="42"/>
      <c r="C824" s="47"/>
      <c r="D824" s="47"/>
      <c r="E824" s="47"/>
      <c r="F824" s="47"/>
    </row>
    <row r="825">
      <c r="B825" s="42"/>
      <c r="C825" s="47"/>
      <c r="D825" s="47"/>
      <c r="E825" s="47"/>
      <c r="F825" s="47"/>
    </row>
    <row r="826">
      <c r="B826" s="42"/>
      <c r="C826" s="47"/>
      <c r="D826" s="47"/>
      <c r="E826" s="47"/>
      <c r="F826" s="47"/>
    </row>
    <row r="827">
      <c r="B827" s="42"/>
      <c r="C827" s="47"/>
      <c r="D827" s="47"/>
      <c r="E827" s="47"/>
      <c r="F827" s="47"/>
    </row>
    <row r="828">
      <c r="B828" s="42"/>
      <c r="C828" s="47"/>
      <c r="D828" s="47"/>
      <c r="E828" s="47"/>
      <c r="F828" s="47"/>
    </row>
    <row r="829">
      <c r="B829" s="42"/>
      <c r="C829" s="47"/>
      <c r="D829" s="47"/>
      <c r="E829" s="47"/>
      <c r="F829" s="47"/>
    </row>
    <row r="830">
      <c r="B830" s="42"/>
      <c r="C830" s="47"/>
      <c r="D830" s="47"/>
      <c r="E830" s="47"/>
      <c r="F830" s="47"/>
    </row>
    <row r="831">
      <c r="B831" s="42"/>
      <c r="C831" s="47"/>
      <c r="D831" s="47"/>
      <c r="E831" s="47"/>
      <c r="F831" s="47"/>
    </row>
    <row r="832">
      <c r="B832" s="42"/>
      <c r="C832" s="47"/>
      <c r="D832" s="47"/>
      <c r="E832" s="47"/>
      <c r="F832" s="47"/>
    </row>
    <row r="833">
      <c r="B833" s="42"/>
      <c r="C833" s="47"/>
      <c r="D833" s="47"/>
      <c r="E833" s="47"/>
      <c r="F833" s="47"/>
    </row>
    <row r="834">
      <c r="B834" s="42"/>
      <c r="C834" s="47"/>
      <c r="D834" s="47"/>
      <c r="E834" s="47"/>
      <c r="F834" s="47"/>
    </row>
    <row r="835">
      <c r="B835" s="42"/>
      <c r="C835" s="47"/>
      <c r="D835" s="47"/>
      <c r="E835" s="47"/>
      <c r="F835" s="47"/>
    </row>
    <row r="836">
      <c r="B836" s="42"/>
      <c r="C836" s="47"/>
      <c r="D836" s="47"/>
      <c r="E836" s="47"/>
      <c r="F836" s="47"/>
    </row>
    <row r="837">
      <c r="B837" s="42"/>
      <c r="C837" s="47"/>
      <c r="D837" s="47"/>
      <c r="E837" s="47"/>
      <c r="F837" s="47"/>
    </row>
    <row r="838">
      <c r="B838" s="42"/>
      <c r="C838" s="47"/>
      <c r="D838" s="47"/>
      <c r="E838" s="47"/>
      <c r="F838" s="47"/>
    </row>
    <row r="839">
      <c r="B839" s="42"/>
      <c r="C839" s="47"/>
      <c r="D839" s="47"/>
      <c r="E839" s="47"/>
      <c r="F839" s="47"/>
    </row>
    <row r="840">
      <c r="B840" s="42"/>
      <c r="C840" s="47"/>
      <c r="D840" s="47"/>
      <c r="E840" s="47"/>
      <c r="F840" s="47"/>
    </row>
    <row r="841">
      <c r="B841" s="42"/>
      <c r="C841" s="47"/>
      <c r="D841" s="47"/>
      <c r="E841" s="47"/>
      <c r="F841" s="47"/>
    </row>
    <row r="842">
      <c r="B842" s="42"/>
      <c r="C842" s="47"/>
      <c r="D842" s="47"/>
      <c r="E842" s="47"/>
      <c r="F842" s="47"/>
    </row>
    <row r="843">
      <c r="B843" s="42"/>
      <c r="C843" s="47"/>
      <c r="D843" s="47"/>
      <c r="E843" s="47"/>
      <c r="F843" s="47"/>
    </row>
    <row r="844">
      <c r="B844" s="42"/>
      <c r="C844" s="47"/>
      <c r="D844" s="47"/>
      <c r="E844" s="47"/>
      <c r="F844" s="47"/>
    </row>
    <row r="845">
      <c r="B845" s="42"/>
      <c r="C845" s="47"/>
      <c r="D845" s="47"/>
      <c r="E845" s="47"/>
      <c r="F845" s="47"/>
    </row>
    <row r="846">
      <c r="B846" s="42"/>
      <c r="C846" s="47"/>
      <c r="D846" s="47"/>
      <c r="E846" s="47"/>
      <c r="F846" s="47"/>
    </row>
    <row r="847">
      <c r="B847" s="42"/>
      <c r="C847" s="47"/>
      <c r="D847" s="47"/>
      <c r="E847" s="47"/>
      <c r="F847" s="47"/>
    </row>
    <row r="848">
      <c r="B848" s="42"/>
      <c r="C848" s="47"/>
      <c r="D848" s="47"/>
      <c r="E848" s="47"/>
      <c r="F848" s="47"/>
    </row>
    <row r="849">
      <c r="B849" s="42"/>
      <c r="C849" s="47"/>
      <c r="D849" s="47"/>
      <c r="E849" s="47"/>
      <c r="F849" s="47"/>
    </row>
    <row r="850">
      <c r="B850" s="42"/>
      <c r="C850" s="47"/>
      <c r="D850" s="47"/>
      <c r="E850" s="47"/>
      <c r="F850" s="47"/>
    </row>
    <row r="851">
      <c r="B851" s="42"/>
      <c r="C851" s="47"/>
      <c r="D851" s="47"/>
      <c r="E851" s="47"/>
      <c r="F851" s="47"/>
    </row>
    <row r="852">
      <c r="B852" s="42"/>
      <c r="C852" s="47"/>
      <c r="D852" s="47"/>
      <c r="E852" s="47"/>
      <c r="F852" s="47"/>
    </row>
    <row r="853">
      <c r="B853" s="42"/>
      <c r="C853" s="47"/>
      <c r="D853" s="47"/>
      <c r="E853" s="47"/>
      <c r="F853" s="47"/>
    </row>
    <row r="854">
      <c r="B854" s="42"/>
      <c r="C854" s="47"/>
      <c r="D854" s="47"/>
      <c r="E854" s="47"/>
      <c r="F854" s="47"/>
    </row>
    <row r="855">
      <c r="B855" s="42"/>
      <c r="C855" s="47"/>
      <c r="D855" s="47"/>
      <c r="E855" s="47"/>
      <c r="F855" s="47"/>
    </row>
    <row r="856">
      <c r="B856" s="42"/>
      <c r="C856" s="47"/>
      <c r="D856" s="47"/>
      <c r="E856" s="47"/>
      <c r="F856" s="47"/>
    </row>
    <row r="857">
      <c r="B857" s="42"/>
      <c r="C857" s="47"/>
      <c r="D857" s="47"/>
      <c r="E857" s="47"/>
      <c r="F857" s="47"/>
    </row>
    <row r="858">
      <c r="B858" s="42"/>
      <c r="C858" s="47"/>
      <c r="D858" s="47"/>
      <c r="E858" s="47"/>
      <c r="F858" s="47"/>
    </row>
    <row r="859">
      <c r="B859" s="42"/>
      <c r="C859" s="47"/>
      <c r="D859" s="47"/>
      <c r="E859" s="47"/>
      <c r="F859" s="47"/>
    </row>
    <row r="860">
      <c r="B860" s="42"/>
      <c r="C860" s="47"/>
      <c r="D860" s="47"/>
      <c r="E860" s="47"/>
      <c r="F860" s="47"/>
    </row>
    <row r="861">
      <c r="B861" s="42"/>
      <c r="C861" s="47"/>
      <c r="D861" s="47"/>
      <c r="E861" s="47"/>
      <c r="F861" s="47"/>
    </row>
    <row r="862">
      <c r="B862" s="42"/>
      <c r="C862" s="47"/>
      <c r="D862" s="47"/>
      <c r="E862" s="47"/>
      <c r="F862" s="47"/>
    </row>
    <row r="863">
      <c r="B863" s="42"/>
      <c r="C863" s="47"/>
      <c r="D863" s="47"/>
      <c r="E863" s="47"/>
      <c r="F863" s="47"/>
    </row>
    <row r="864">
      <c r="B864" s="42"/>
      <c r="C864" s="47"/>
      <c r="D864" s="47"/>
      <c r="E864" s="47"/>
      <c r="F864" s="47"/>
    </row>
    <row r="865">
      <c r="B865" s="42"/>
      <c r="C865" s="47"/>
      <c r="D865" s="47"/>
      <c r="E865" s="47"/>
      <c r="F865" s="47"/>
    </row>
    <row r="866">
      <c r="B866" s="42"/>
      <c r="C866" s="47"/>
      <c r="D866" s="47"/>
      <c r="E866" s="47"/>
      <c r="F866" s="47"/>
    </row>
    <row r="867">
      <c r="B867" s="42"/>
      <c r="C867" s="47"/>
      <c r="D867" s="47"/>
      <c r="E867" s="47"/>
      <c r="F867" s="47"/>
    </row>
    <row r="868">
      <c r="B868" s="42"/>
      <c r="C868" s="47"/>
      <c r="D868" s="47"/>
      <c r="E868" s="47"/>
      <c r="F868" s="47"/>
    </row>
    <row r="869">
      <c r="B869" s="42"/>
      <c r="C869" s="47"/>
      <c r="D869" s="47"/>
      <c r="E869" s="47"/>
      <c r="F869" s="47"/>
    </row>
    <row r="870">
      <c r="B870" s="42"/>
      <c r="C870" s="47"/>
      <c r="D870" s="47"/>
      <c r="E870" s="47"/>
      <c r="F870" s="47"/>
    </row>
    <row r="871">
      <c r="B871" s="42"/>
      <c r="C871" s="47"/>
      <c r="D871" s="47"/>
      <c r="E871" s="47"/>
      <c r="F871" s="47"/>
    </row>
    <row r="872">
      <c r="B872" s="42"/>
      <c r="C872" s="47"/>
      <c r="D872" s="47"/>
      <c r="E872" s="47"/>
      <c r="F872" s="47"/>
    </row>
    <row r="873">
      <c r="B873" s="42"/>
      <c r="C873" s="47"/>
      <c r="D873" s="47"/>
      <c r="E873" s="47"/>
      <c r="F873" s="47"/>
    </row>
    <row r="874">
      <c r="B874" s="42"/>
      <c r="C874" s="47"/>
      <c r="D874" s="47"/>
      <c r="E874" s="47"/>
      <c r="F874" s="47"/>
    </row>
    <row r="875">
      <c r="B875" s="42"/>
      <c r="C875" s="47"/>
      <c r="D875" s="47"/>
      <c r="E875" s="47"/>
      <c r="F875" s="47"/>
    </row>
    <row r="876">
      <c r="B876" s="42"/>
      <c r="C876" s="47"/>
      <c r="D876" s="47"/>
      <c r="E876" s="47"/>
      <c r="F876" s="47"/>
    </row>
    <row r="877">
      <c r="B877" s="42"/>
      <c r="C877" s="47"/>
      <c r="D877" s="47"/>
      <c r="E877" s="47"/>
      <c r="F877" s="47"/>
    </row>
    <row r="878">
      <c r="B878" s="42"/>
      <c r="C878" s="47"/>
      <c r="D878" s="47"/>
      <c r="E878" s="47"/>
      <c r="F878" s="47"/>
    </row>
    <row r="879">
      <c r="B879" s="42"/>
      <c r="C879" s="47"/>
      <c r="D879" s="47"/>
      <c r="E879" s="47"/>
      <c r="F879" s="47"/>
    </row>
    <row r="880">
      <c r="B880" s="42"/>
      <c r="C880" s="47"/>
      <c r="D880" s="47"/>
      <c r="E880" s="47"/>
      <c r="F880" s="47"/>
    </row>
    <row r="881">
      <c r="B881" s="42"/>
      <c r="C881" s="47"/>
      <c r="D881" s="47"/>
      <c r="E881" s="47"/>
      <c r="F881" s="47"/>
    </row>
    <row r="882">
      <c r="B882" s="42"/>
      <c r="C882" s="47"/>
      <c r="D882" s="47"/>
      <c r="E882" s="47"/>
      <c r="F882" s="47"/>
    </row>
    <row r="883">
      <c r="B883" s="42"/>
      <c r="C883" s="47"/>
      <c r="D883" s="47"/>
      <c r="E883" s="47"/>
      <c r="F883" s="47"/>
    </row>
    <row r="884">
      <c r="B884" s="42"/>
      <c r="C884" s="47"/>
      <c r="D884" s="47"/>
      <c r="E884" s="47"/>
      <c r="F884" s="47"/>
    </row>
    <row r="885">
      <c r="B885" s="42"/>
      <c r="C885" s="47"/>
      <c r="D885" s="47"/>
      <c r="E885" s="47"/>
      <c r="F885" s="47"/>
    </row>
    <row r="886">
      <c r="B886" s="42"/>
      <c r="C886" s="47"/>
      <c r="D886" s="47"/>
      <c r="E886" s="47"/>
      <c r="F886" s="47"/>
    </row>
    <row r="887">
      <c r="B887" s="42"/>
      <c r="C887" s="47"/>
      <c r="D887" s="47"/>
      <c r="E887" s="47"/>
      <c r="F887" s="47"/>
    </row>
    <row r="888">
      <c r="B888" s="42"/>
      <c r="C888" s="47"/>
      <c r="D888" s="47"/>
      <c r="E888" s="47"/>
      <c r="F888" s="47"/>
    </row>
    <row r="889">
      <c r="B889" s="42"/>
      <c r="C889" s="47"/>
      <c r="D889" s="47"/>
      <c r="E889" s="47"/>
      <c r="F889" s="47"/>
    </row>
    <row r="890">
      <c r="B890" s="42"/>
      <c r="C890" s="47"/>
      <c r="D890" s="47"/>
      <c r="E890" s="47"/>
      <c r="F890" s="47"/>
    </row>
    <row r="891">
      <c r="B891" s="42"/>
      <c r="C891" s="47"/>
      <c r="D891" s="47"/>
      <c r="E891" s="47"/>
      <c r="F891" s="47"/>
    </row>
    <row r="892">
      <c r="B892" s="42"/>
      <c r="C892" s="47"/>
      <c r="D892" s="47"/>
      <c r="E892" s="47"/>
      <c r="F892" s="47"/>
    </row>
    <row r="893">
      <c r="B893" s="42"/>
      <c r="C893" s="47"/>
      <c r="D893" s="47"/>
      <c r="E893" s="47"/>
      <c r="F893" s="47"/>
    </row>
    <row r="894">
      <c r="B894" s="42"/>
      <c r="C894" s="47"/>
      <c r="D894" s="47"/>
      <c r="E894" s="47"/>
      <c r="F894" s="47"/>
    </row>
    <row r="895">
      <c r="B895" s="42"/>
      <c r="C895" s="47"/>
      <c r="D895" s="47"/>
      <c r="E895" s="47"/>
      <c r="F895" s="47"/>
    </row>
    <row r="896">
      <c r="B896" s="42"/>
      <c r="C896" s="47"/>
      <c r="D896" s="47"/>
      <c r="E896" s="47"/>
      <c r="F896" s="47"/>
    </row>
    <row r="897">
      <c r="B897" s="42"/>
      <c r="C897" s="47"/>
      <c r="D897" s="47"/>
      <c r="E897" s="47"/>
      <c r="F897" s="47"/>
    </row>
    <row r="898">
      <c r="B898" s="42"/>
      <c r="C898" s="47"/>
      <c r="D898" s="47"/>
      <c r="E898" s="47"/>
      <c r="F898" s="47"/>
    </row>
    <row r="899">
      <c r="B899" s="42"/>
      <c r="C899" s="47"/>
      <c r="D899" s="47"/>
      <c r="E899" s="47"/>
      <c r="F899" s="47"/>
    </row>
    <row r="900">
      <c r="B900" s="42"/>
      <c r="C900" s="47"/>
      <c r="D900" s="47"/>
      <c r="E900" s="47"/>
      <c r="F900" s="47"/>
    </row>
    <row r="901">
      <c r="B901" s="42"/>
      <c r="C901" s="47"/>
      <c r="D901" s="47"/>
      <c r="E901" s="47"/>
      <c r="F901" s="47"/>
    </row>
    <row r="902">
      <c r="B902" s="42"/>
      <c r="C902" s="47"/>
      <c r="D902" s="47"/>
      <c r="E902" s="47"/>
      <c r="F902" s="47"/>
    </row>
    <row r="903">
      <c r="B903" s="42"/>
      <c r="C903" s="47"/>
      <c r="D903" s="47"/>
      <c r="E903" s="47"/>
      <c r="F903" s="47"/>
    </row>
    <row r="904">
      <c r="B904" s="42"/>
      <c r="C904" s="47"/>
      <c r="D904" s="47"/>
      <c r="E904" s="47"/>
      <c r="F904" s="47"/>
    </row>
    <row r="905">
      <c r="B905" s="42"/>
      <c r="C905" s="47"/>
      <c r="D905" s="47"/>
      <c r="E905" s="47"/>
      <c r="F905" s="47"/>
    </row>
    <row r="906">
      <c r="B906" s="42"/>
      <c r="C906" s="47"/>
      <c r="D906" s="47"/>
      <c r="E906" s="47"/>
      <c r="F906" s="47"/>
    </row>
    <row r="907">
      <c r="B907" s="42"/>
      <c r="C907" s="47"/>
      <c r="D907" s="47"/>
      <c r="E907" s="47"/>
      <c r="F907" s="47"/>
    </row>
    <row r="908">
      <c r="B908" s="42"/>
      <c r="C908" s="47"/>
      <c r="D908" s="47"/>
      <c r="E908" s="47"/>
      <c r="F908" s="47"/>
    </row>
    <row r="909">
      <c r="B909" s="42"/>
      <c r="C909" s="47"/>
      <c r="D909" s="47"/>
      <c r="E909" s="47"/>
      <c r="F909" s="47"/>
    </row>
    <row r="910">
      <c r="B910" s="42"/>
      <c r="C910" s="47"/>
      <c r="D910" s="47"/>
      <c r="E910" s="47"/>
      <c r="F910" s="47"/>
    </row>
    <row r="911">
      <c r="B911" s="42"/>
      <c r="C911" s="47"/>
      <c r="D911" s="47"/>
      <c r="E911" s="47"/>
      <c r="F911" s="47"/>
    </row>
    <row r="912">
      <c r="B912" s="42"/>
      <c r="C912" s="47"/>
      <c r="D912" s="47"/>
      <c r="E912" s="47"/>
      <c r="F912" s="47"/>
    </row>
    <row r="913">
      <c r="B913" s="42"/>
      <c r="C913" s="47"/>
      <c r="D913" s="47"/>
      <c r="E913" s="47"/>
      <c r="F913" s="47"/>
    </row>
    <row r="914">
      <c r="B914" s="42"/>
      <c r="C914" s="47"/>
      <c r="D914" s="47"/>
      <c r="E914" s="47"/>
      <c r="F914" s="47"/>
    </row>
    <row r="915">
      <c r="B915" s="42"/>
      <c r="C915" s="47"/>
      <c r="D915" s="47"/>
      <c r="E915" s="47"/>
      <c r="F915" s="47"/>
    </row>
    <row r="916">
      <c r="B916" s="42"/>
      <c r="C916" s="47"/>
      <c r="D916" s="47"/>
      <c r="E916" s="47"/>
      <c r="F916" s="47"/>
    </row>
    <row r="917">
      <c r="B917" s="42"/>
      <c r="C917" s="47"/>
      <c r="D917" s="47"/>
      <c r="E917" s="47"/>
      <c r="F917" s="47"/>
    </row>
    <row r="918">
      <c r="B918" s="42"/>
      <c r="C918" s="47"/>
      <c r="D918" s="47"/>
      <c r="E918" s="47"/>
      <c r="F918" s="47"/>
    </row>
    <row r="919">
      <c r="B919" s="42"/>
      <c r="C919" s="47"/>
      <c r="D919" s="47"/>
      <c r="E919" s="47"/>
      <c r="F919" s="47"/>
    </row>
    <row r="920">
      <c r="B920" s="42"/>
      <c r="C920" s="47"/>
      <c r="D920" s="47"/>
      <c r="E920" s="47"/>
      <c r="F920" s="47"/>
    </row>
    <row r="921">
      <c r="B921" s="42"/>
      <c r="C921" s="47"/>
      <c r="D921" s="47"/>
      <c r="E921" s="47"/>
      <c r="F921" s="47"/>
    </row>
    <row r="922">
      <c r="B922" s="42"/>
      <c r="C922" s="47"/>
      <c r="D922" s="47"/>
      <c r="E922" s="47"/>
      <c r="F922" s="47"/>
    </row>
    <row r="923">
      <c r="B923" s="42"/>
      <c r="C923" s="47"/>
      <c r="D923" s="47"/>
      <c r="E923" s="47"/>
      <c r="F923" s="47"/>
    </row>
    <row r="924">
      <c r="B924" s="42"/>
      <c r="C924" s="47"/>
      <c r="D924" s="47"/>
      <c r="E924" s="47"/>
      <c r="F924" s="47"/>
    </row>
    <row r="925">
      <c r="B925" s="42"/>
      <c r="C925" s="47"/>
      <c r="D925" s="47"/>
      <c r="E925" s="47"/>
      <c r="F925" s="47"/>
    </row>
    <row r="926">
      <c r="B926" s="42"/>
      <c r="C926" s="47"/>
      <c r="D926" s="47"/>
      <c r="E926" s="47"/>
      <c r="F926" s="47"/>
    </row>
    <row r="927">
      <c r="B927" s="42"/>
      <c r="C927" s="47"/>
      <c r="D927" s="47"/>
      <c r="E927" s="47"/>
      <c r="F927" s="47"/>
    </row>
    <row r="928">
      <c r="B928" s="42"/>
      <c r="C928" s="47"/>
      <c r="D928" s="47"/>
      <c r="E928" s="47"/>
      <c r="F928" s="47"/>
    </row>
    <row r="929">
      <c r="B929" s="42"/>
      <c r="C929" s="47"/>
      <c r="D929" s="47"/>
      <c r="E929" s="47"/>
      <c r="F929" s="47"/>
    </row>
    <row r="930">
      <c r="B930" s="42"/>
      <c r="C930" s="47"/>
      <c r="D930" s="47"/>
      <c r="E930" s="47"/>
      <c r="F930" s="47"/>
    </row>
    <row r="931">
      <c r="B931" s="42"/>
      <c r="C931" s="47"/>
      <c r="D931" s="47"/>
      <c r="E931" s="47"/>
      <c r="F931" s="47"/>
    </row>
    <row r="932">
      <c r="B932" s="42"/>
      <c r="C932" s="47"/>
      <c r="D932" s="47"/>
      <c r="E932" s="47"/>
      <c r="F932" s="47"/>
    </row>
    <row r="933">
      <c r="B933" s="42"/>
      <c r="C933" s="47"/>
      <c r="D933" s="47"/>
      <c r="E933" s="47"/>
      <c r="F933" s="47"/>
    </row>
    <row r="934">
      <c r="B934" s="42"/>
      <c r="C934" s="47"/>
      <c r="D934" s="47"/>
      <c r="E934" s="47"/>
      <c r="F934" s="47"/>
    </row>
    <row r="935">
      <c r="B935" s="42"/>
      <c r="C935" s="47"/>
      <c r="D935" s="47"/>
      <c r="E935" s="47"/>
      <c r="F935" s="47"/>
    </row>
    <row r="936">
      <c r="B936" s="42"/>
      <c r="C936" s="47"/>
      <c r="D936" s="47"/>
      <c r="E936" s="47"/>
      <c r="F936" s="47"/>
    </row>
    <row r="937">
      <c r="B937" s="42"/>
      <c r="C937" s="47"/>
      <c r="D937" s="47"/>
      <c r="E937" s="47"/>
      <c r="F937" s="47"/>
    </row>
    <row r="938">
      <c r="B938" s="42"/>
      <c r="C938" s="47"/>
      <c r="D938" s="47"/>
      <c r="E938" s="47"/>
      <c r="F938" s="47"/>
    </row>
    <row r="939">
      <c r="B939" s="42"/>
      <c r="C939" s="47"/>
      <c r="D939" s="47"/>
      <c r="E939" s="47"/>
      <c r="F939" s="47"/>
    </row>
    <row r="940">
      <c r="B940" s="42"/>
      <c r="C940" s="47"/>
      <c r="D940" s="47"/>
      <c r="E940" s="47"/>
      <c r="F940" s="47"/>
    </row>
    <row r="941">
      <c r="B941" s="42"/>
      <c r="C941" s="47"/>
      <c r="D941" s="47"/>
      <c r="E941" s="47"/>
      <c r="F941" s="47"/>
    </row>
    <row r="942">
      <c r="B942" s="42"/>
      <c r="C942" s="47"/>
      <c r="D942" s="47"/>
      <c r="E942" s="47"/>
      <c r="F942" s="47"/>
    </row>
    <row r="943">
      <c r="B943" s="42"/>
      <c r="C943" s="47"/>
      <c r="D943" s="47"/>
      <c r="E943" s="47"/>
      <c r="F943" s="47"/>
    </row>
    <row r="944">
      <c r="B944" s="42"/>
      <c r="C944" s="47"/>
      <c r="D944" s="47"/>
      <c r="E944" s="47"/>
      <c r="F944" s="47"/>
    </row>
    <row r="945">
      <c r="B945" s="42"/>
      <c r="C945" s="47"/>
      <c r="D945" s="47"/>
      <c r="E945" s="47"/>
      <c r="F945" s="47"/>
    </row>
    <row r="946">
      <c r="B946" s="42"/>
      <c r="C946" s="47"/>
      <c r="D946" s="47"/>
      <c r="E946" s="47"/>
      <c r="F946" s="47"/>
    </row>
    <row r="947">
      <c r="B947" s="42"/>
      <c r="C947" s="47"/>
      <c r="D947" s="47"/>
      <c r="E947" s="47"/>
      <c r="F947" s="47"/>
    </row>
    <row r="948">
      <c r="B948" s="42"/>
      <c r="C948" s="47"/>
      <c r="D948" s="47"/>
      <c r="E948" s="47"/>
      <c r="F948" s="47"/>
    </row>
    <row r="949">
      <c r="B949" s="42"/>
      <c r="C949" s="47"/>
      <c r="D949" s="47"/>
      <c r="E949" s="47"/>
      <c r="F949" s="47"/>
    </row>
    <row r="950">
      <c r="B950" s="42"/>
      <c r="C950" s="47"/>
      <c r="D950" s="47"/>
      <c r="E950" s="47"/>
      <c r="F950" s="47"/>
    </row>
    <row r="951">
      <c r="B951" s="42"/>
      <c r="C951" s="47"/>
      <c r="D951" s="47"/>
      <c r="E951" s="47"/>
      <c r="F951" s="47"/>
    </row>
    <row r="952">
      <c r="B952" s="42"/>
      <c r="C952" s="47"/>
      <c r="D952" s="47"/>
      <c r="E952" s="47"/>
      <c r="F952" s="47"/>
    </row>
    <row r="953">
      <c r="B953" s="42"/>
      <c r="C953" s="47"/>
      <c r="D953" s="47"/>
      <c r="E953" s="47"/>
      <c r="F953" s="47"/>
    </row>
    <row r="954">
      <c r="B954" s="42"/>
      <c r="C954" s="47"/>
      <c r="D954" s="47"/>
      <c r="E954" s="47"/>
      <c r="F954" s="47"/>
    </row>
    <row r="955">
      <c r="B955" s="42"/>
      <c r="C955" s="47"/>
      <c r="D955" s="47"/>
      <c r="E955" s="47"/>
      <c r="F955" s="47"/>
    </row>
    <row r="956">
      <c r="B956" s="42"/>
      <c r="C956" s="47"/>
      <c r="D956" s="47"/>
      <c r="E956" s="47"/>
      <c r="F956" s="47"/>
    </row>
    <row r="957">
      <c r="B957" s="42"/>
      <c r="C957" s="47"/>
      <c r="D957" s="47"/>
      <c r="E957" s="47"/>
      <c r="F957" s="47"/>
    </row>
    <row r="958">
      <c r="B958" s="42"/>
      <c r="C958" s="47"/>
      <c r="D958" s="47"/>
      <c r="E958" s="47"/>
      <c r="F958" s="47"/>
    </row>
    <row r="959">
      <c r="B959" s="42"/>
      <c r="C959" s="47"/>
      <c r="D959" s="47"/>
      <c r="E959" s="47"/>
      <c r="F959" s="47"/>
    </row>
    <row r="960">
      <c r="B960" s="42"/>
      <c r="C960" s="47"/>
      <c r="D960" s="47"/>
      <c r="E960" s="47"/>
      <c r="F960" s="47"/>
    </row>
    <row r="961">
      <c r="B961" s="42"/>
      <c r="C961" s="47"/>
      <c r="D961" s="47"/>
      <c r="E961" s="47"/>
      <c r="F961" s="47"/>
    </row>
    <row r="962">
      <c r="B962" s="42"/>
      <c r="C962" s="47"/>
      <c r="D962" s="47"/>
      <c r="E962" s="47"/>
      <c r="F962" s="47"/>
    </row>
    <row r="963">
      <c r="B963" s="42"/>
      <c r="C963" s="47"/>
      <c r="D963" s="47"/>
      <c r="E963" s="47"/>
      <c r="F963" s="47"/>
    </row>
    <row r="964">
      <c r="B964" s="42"/>
      <c r="C964" s="47"/>
      <c r="D964" s="47"/>
      <c r="E964" s="47"/>
      <c r="F964" s="47"/>
    </row>
    <row r="965">
      <c r="B965" s="42"/>
      <c r="C965" s="47"/>
      <c r="D965" s="47"/>
      <c r="E965" s="47"/>
      <c r="F965" s="47"/>
    </row>
    <row r="966">
      <c r="B966" s="42"/>
      <c r="C966" s="47"/>
      <c r="D966" s="47"/>
      <c r="E966" s="47"/>
      <c r="F966" s="47"/>
    </row>
    <row r="967">
      <c r="B967" s="42"/>
      <c r="C967" s="47"/>
      <c r="D967" s="47"/>
      <c r="E967" s="47"/>
      <c r="F967" s="47"/>
    </row>
    <row r="968">
      <c r="B968" s="42"/>
      <c r="C968" s="47"/>
      <c r="D968" s="47"/>
      <c r="E968" s="47"/>
      <c r="F968" s="47"/>
    </row>
    <row r="969">
      <c r="B969" s="42"/>
      <c r="C969" s="47"/>
      <c r="D969" s="47"/>
      <c r="E969" s="47"/>
      <c r="F969" s="47"/>
    </row>
    <row r="970">
      <c r="B970" s="42"/>
      <c r="C970" s="47"/>
      <c r="D970" s="47"/>
      <c r="E970" s="47"/>
      <c r="F970" s="47"/>
    </row>
    <row r="971">
      <c r="B971" s="42"/>
      <c r="C971" s="47"/>
      <c r="D971" s="47"/>
      <c r="E971" s="47"/>
      <c r="F971" s="47"/>
    </row>
    <row r="972">
      <c r="B972" s="42"/>
      <c r="C972" s="47"/>
      <c r="D972" s="47"/>
      <c r="E972" s="47"/>
      <c r="F972" s="47"/>
    </row>
    <row r="973">
      <c r="B973" s="42"/>
      <c r="C973" s="47"/>
      <c r="D973" s="47"/>
      <c r="E973" s="47"/>
      <c r="F973" s="47"/>
    </row>
    <row r="974">
      <c r="B974" s="42"/>
      <c r="C974" s="47"/>
      <c r="D974" s="47"/>
      <c r="E974" s="47"/>
      <c r="F974" s="47"/>
    </row>
    <row r="975">
      <c r="B975" s="42"/>
      <c r="C975" s="47"/>
      <c r="D975" s="47"/>
      <c r="E975" s="47"/>
      <c r="F975" s="47"/>
    </row>
    <row r="976">
      <c r="B976" s="42"/>
      <c r="C976" s="47"/>
      <c r="D976" s="47"/>
      <c r="E976" s="47"/>
      <c r="F976" s="47"/>
    </row>
    <row r="977">
      <c r="B977" s="42"/>
      <c r="C977" s="47"/>
      <c r="D977" s="47"/>
      <c r="E977" s="47"/>
      <c r="F977" s="47"/>
    </row>
    <row r="978">
      <c r="B978" s="42"/>
      <c r="C978" s="47"/>
      <c r="D978" s="47"/>
      <c r="E978" s="47"/>
      <c r="F978" s="47"/>
    </row>
    <row r="979">
      <c r="B979" s="42"/>
      <c r="C979" s="47"/>
      <c r="D979" s="47"/>
      <c r="E979" s="47"/>
      <c r="F979" s="47"/>
    </row>
    <row r="980">
      <c r="B980" s="42"/>
      <c r="C980" s="47"/>
      <c r="D980" s="47"/>
      <c r="E980" s="47"/>
      <c r="F980" s="47"/>
    </row>
    <row r="981">
      <c r="B981" s="42"/>
      <c r="C981" s="47"/>
      <c r="D981" s="47"/>
      <c r="E981" s="47"/>
      <c r="F981" s="47"/>
    </row>
    <row r="982">
      <c r="B982" s="42"/>
      <c r="C982" s="47"/>
      <c r="D982" s="47"/>
      <c r="E982" s="47"/>
      <c r="F982" s="47"/>
    </row>
    <row r="983">
      <c r="B983" s="42"/>
      <c r="C983" s="47"/>
      <c r="D983" s="47"/>
      <c r="E983" s="47"/>
      <c r="F983" s="47"/>
    </row>
    <row r="984">
      <c r="B984" s="42"/>
      <c r="C984" s="47"/>
      <c r="D984" s="47"/>
      <c r="E984" s="47"/>
      <c r="F984" s="47"/>
    </row>
    <row r="985">
      <c r="B985" s="42"/>
      <c r="C985" s="47"/>
      <c r="D985" s="47"/>
      <c r="E985" s="47"/>
      <c r="F985" s="47"/>
    </row>
    <row r="986">
      <c r="B986" s="42"/>
      <c r="C986" s="47"/>
      <c r="D986" s="47"/>
      <c r="E986" s="47"/>
      <c r="F986" s="47"/>
    </row>
    <row r="987">
      <c r="B987" s="42"/>
      <c r="C987" s="47"/>
      <c r="D987" s="47"/>
      <c r="E987" s="47"/>
      <c r="F987" s="47"/>
    </row>
    <row r="988">
      <c r="B988" s="42"/>
      <c r="C988" s="47"/>
      <c r="D988" s="47"/>
      <c r="E988" s="47"/>
      <c r="F988" s="47"/>
    </row>
    <row r="989">
      <c r="B989" s="42"/>
      <c r="C989" s="47"/>
      <c r="D989" s="47"/>
      <c r="E989" s="47"/>
      <c r="F989" s="47"/>
    </row>
    <row r="990">
      <c r="B990" s="42"/>
      <c r="C990" s="47"/>
      <c r="D990" s="47"/>
      <c r="E990" s="47"/>
      <c r="F990" s="47"/>
    </row>
    <row r="991">
      <c r="B991" s="42"/>
      <c r="C991" s="47"/>
      <c r="D991" s="47"/>
      <c r="E991" s="47"/>
      <c r="F991" s="47"/>
    </row>
    <row r="992">
      <c r="B992" s="42"/>
      <c r="C992" s="47"/>
      <c r="D992" s="47"/>
      <c r="E992" s="47"/>
      <c r="F992" s="47"/>
    </row>
    <row r="993">
      <c r="B993" s="42"/>
      <c r="C993" s="47"/>
      <c r="D993" s="47"/>
      <c r="E993" s="47"/>
      <c r="F993" s="47"/>
    </row>
    <row r="994">
      <c r="B994" s="42"/>
      <c r="C994" s="47"/>
      <c r="D994" s="47"/>
      <c r="E994" s="47"/>
      <c r="F994" s="47"/>
    </row>
    <row r="995">
      <c r="B995" s="42"/>
      <c r="C995" s="47"/>
      <c r="D995" s="47"/>
      <c r="E995" s="47"/>
      <c r="F995" s="47"/>
    </row>
    <row r="996">
      <c r="B996" s="42"/>
      <c r="C996" s="47"/>
      <c r="D996" s="47"/>
      <c r="E996" s="47"/>
      <c r="F996" s="47"/>
    </row>
    <row r="997">
      <c r="B997" s="42"/>
      <c r="C997" s="47"/>
      <c r="D997" s="47"/>
      <c r="E997" s="47"/>
      <c r="F997" s="47"/>
    </row>
    <row r="998">
      <c r="B998" s="42"/>
      <c r="C998" s="47"/>
      <c r="D998" s="47"/>
      <c r="E998" s="47"/>
      <c r="F998" s="47"/>
    </row>
    <row r="999">
      <c r="B999" s="42"/>
      <c r="C999" s="47"/>
      <c r="D999" s="47"/>
      <c r="E999" s="47"/>
      <c r="F999" s="47"/>
    </row>
    <row r="1000">
      <c r="B1000" s="49"/>
      <c r="C1000" s="47"/>
      <c r="D1000" s="47"/>
      <c r="E1000" s="47"/>
      <c r="F1000" s="47"/>
    </row>
  </sheetData>
  <mergeCells count="5">
    <mergeCell ref="B1:B1000"/>
    <mergeCell ref="G1:G6"/>
    <mergeCell ref="A2:A3"/>
    <mergeCell ref="A4:A1000"/>
    <mergeCell ref="G7:G1000"/>
  </mergeCells>
  <dataValidations>
    <dataValidation type="list" allowBlank="1" showErrorMessage="1" sqref="A2">
      <formula1>DgItems!$A$2:$A$52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99.88"/>
  </cols>
  <sheetData>
    <row r="1">
      <c r="A1" s="194" t="s">
        <v>2124</v>
      </c>
      <c r="B1" s="195" t="s">
        <v>2125</v>
      </c>
    </row>
    <row r="2">
      <c r="A2" s="194" t="s">
        <v>2126</v>
      </c>
      <c r="B2" s="195" t="s">
        <v>2127</v>
      </c>
    </row>
    <row r="3">
      <c r="A3" s="194" t="s">
        <v>2128</v>
      </c>
      <c r="B3" s="195" t="s">
        <v>2129</v>
      </c>
    </row>
    <row r="4">
      <c r="A4" s="194" t="s">
        <v>2130</v>
      </c>
      <c r="B4" s="195" t="s">
        <v>2131</v>
      </c>
    </row>
    <row r="5">
      <c r="A5" s="196"/>
    </row>
    <row r="6">
      <c r="A6" s="196"/>
      <c r="B6" s="197"/>
    </row>
    <row r="7">
      <c r="A7" s="196"/>
      <c r="B7" s="197"/>
    </row>
    <row r="8">
      <c r="A8" s="196"/>
      <c r="B8" s="197"/>
    </row>
    <row r="9">
      <c r="A9" s="196"/>
      <c r="B9" s="197"/>
    </row>
    <row r="10">
      <c r="A10" s="196"/>
      <c r="B10" s="197"/>
    </row>
    <row r="11">
      <c r="A11" s="196"/>
      <c r="B11" s="197"/>
    </row>
    <row r="12">
      <c r="A12" s="196"/>
      <c r="B12" s="197"/>
    </row>
    <row r="13">
      <c r="A13" s="196"/>
      <c r="B13" s="197"/>
    </row>
    <row r="14">
      <c r="A14" s="196"/>
      <c r="B14" s="197"/>
    </row>
    <row r="15">
      <c r="A15" s="196"/>
      <c r="B15" s="197"/>
    </row>
    <row r="16">
      <c r="A16" s="196"/>
      <c r="B16" s="197"/>
    </row>
    <row r="17">
      <c r="A17" s="196"/>
      <c r="B17" s="197"/>
    </row>
    <row r="18">
      <c r="A18" s="196"/>
      <c r="B18" s="197"/>
    </row>
    <row r="19">
      <c r="A19" s="196"/>
      <c r="B19" s="197"/>
    </row>
    <row r="20">
      <c r="A20" s="196"/>
      <c r="B20" s="197"/>
    </row>
    <row r="21">
      <c r="A21" s="196"/>
      <c r="B21" s="197"/>
    </row>
    <row r="22">
      <c r="A22" s="196"/>
      <c r="B22" s="197"/>
    </row>
    <row r="23">
      <c r="A23" s="196"/>
      <c r="B23" s="197"/>
    </row>
    <row r="24">
      <c r="A24" s="196"/>
      <c r="B24" s="197"/>
    </row>
    <row r="25">
      <c r="A25" s="196"/>
      <c r="B25" s="197"/>
    </row>
    <row r="26">
      <c r="A26" s="196"/>
      <c r="B26" s="197"/>
    </row>
    <row r="27">
      <c r="A27" s="196"/>
      <c r="B27" s="197"/>
    </row>
    <row r="28">
      <c r="A28" s="196"/>
      <c r="B28" s="197"/>
    </row>
    <row r="29">
      <c r="A29" s="196"/>
      <c r="B29" s="197"/>
    </row>
    <row r="30">
      <c r="A30" s="196"/>
      <c r="B30" s="197"/>
    </row>
    <row r="31">
      <c r="A31" s="196"/>
      <c r="B31" s="197"/>
    </row>
    <row r="32">
      <c r="A32" s="196"/>
      <c r="B32" s="197"/>
    </row>
    <row r="33">
      <c r="A33" s="196"/>
      <c r="B33" s="197"/>
    </row>
    <row r="34">
      <c r="A34" s="196"/>
      <c r="B34" s="197"/>
    </row>
    <row r="35">
      <c r="A35" s="196"/>
      <c r="B35" s="197"/>
    </row>
    <row r="36">
      <c r="A36" s="196"/>
      <c r="B36" s="197"/>
    </row>
    <row r="37">
      <c r="A37" s="196"/>
      <c r="B37" s="197"/>
    </row>
    <row r="38">
      <c r="A38" s="196"/>
      <c r="B38" s="197"/>
    </row>
    <row r="39">
      <c r="A39" s="196"/>
      <c r="B39" s="197"/>
    </row>
    <row r="40">
      <c r="A40" s="196"/>
      <c r="B40" s="197"/>
    </row>
    <row r="41">
      <c r="A41" s="196"/>
      <c r="B41" s="197"/>
    </row>
    <row r="42">
      <c r="A42" s="196"/>
      <c r="B42" s="197"/>
    </row>
    <row r="43">
      <c r="A43" s="196"/>
      <c r="B43" s="197"/>
    </row>
    <row r="44">
      <c r="A44" s="196"/>
      <c r="B44" s="197"/>
    </row>
    <row r="45">
      <c r="A45" s="196"/>
      <c r="B45" s="197"/>
    </row>
    <row r="46">
      <c r="A46" s="196"/>
      <c r="B46" s="197"/>
    </row>
    <row r="47">
      <c r="A47" s="196"/>
      <c r="B47" s="197"/>
    </row>
    <row r="48">
      <c r="A48" s="196"/>
      <c r="B48" s="197"/>
    </row>
    <row r="49">
      <c r="A49" s="196"/>
      <c r="B49" s="197"/>
    </row>
    <row r="50">
      <c r="A50" s="196"/>
      <c r="B50" s="197"/>
    </row>
    <row r="51">
      <c r="A51" s="196"/>
      <c r="B51" s="197"/>
    </row>
    <row r="52">
      <c r="A52" s="196"/>
      <c r="B52" s="197"/>
    </row>
    <row r="53">
      <c r="A53" s="196"/>
      <c r="B53" s="197"/>
    </row>
    <row r="54">
      <c r="A54" s="196"/>
      <c r="B54" s="197"/>
    </row>
    <row r="55">
      <c r="A55" s="196"/>
      <c r="B55" s="197"/>
    </row>
    <row r="56">
      <c r="A56" s="196"/>
      <c r="B56" s="197"/>
    </row>
    <row r="57">
      <c r="A57" s="196"/>
      <c r="B57" s="197"/>
    </row>
    <row r="58">
      <c r="A58" s="196"/>
      <c r="B58" s="197"/>
    </row>
    <row r="59">
      <c r="A59" s="196"/>
      <c r="B59" s="197"/>
    </row>
    <row r="60">
      <c r="A60" s="196"/>
      <c r="B60" s="197"/>
    </row>
    <row r="61">
      <c r="A61" s="196"/>
      <c r="B61" s="197"/>
    </row>
    <row r="62">
      <c r="A62" s="196"/>
      <c r="B62" s="197"/>
    </row>
    <row r="63">
      <c r="A63" s="196"/>
      <c r="B63" s="197"/>
    </row>
    <row r="64">
      <c r="A64" s="196"/>
      <c r="B64" s="197"/>
    </row>
    <row r="65">
      <c r="A65" s="196"/>
      <c r="B65" s="197"/>
    </row>
    <row r="66">
      <c r="A66" s="196"/>
      <c r="B66" s="197"/>
    </row>
    <row r="67">
      <c r="A67" s="196"/>
      <c r="B67" s="197"/>
    </row>
    <row r="68">
      <c r="A68" s="196"/>
      <c r="B68" s="197"/>
    </row>
    <row r="69">
      <c r="A69" s="196"/>
      <c r="B69" s="197"/>
    </row>
    <row r="70">
      <c r="A70" s="196"/>
      <c r="B70" s="197"/>
    </row>
    <row r="71">
      <c r="A71" s="196"/>
      <c r="B71" s="197"/>
    </row>
    <row r="72">
      <c r="A72" s="196"/>
      <c r="B72" s="197"/>
    </row>
    <row r="73">
      <c r="A73" s="196"/>
      <c r="B73" s="197"/>
    </row>
    <row r="74">
      <c r="A74" s="196"/>
      <c r="B74" s="197"/>
    </row>
    <row r="75">
      <c r="A75" s="196"/>
      <c r="B75" s="197"/>
    </row>
    <row r="76">
      <c r="A76" s="196"/>
      <c r="B76" s="197"/>
    </row>
    <row r="77">
      <c r="A77" s="196"/>
      <c r="B77" s="197"/>
    </row>
    <row r="78">
      <c r="A78" s="196"/>
      <c r="B78" s="197"/>
    </row>
    <row r="79">
      <c r="A79" s="196"/>
      <c r="B79" s="197"/>
    </row>
    <row r="80">
      <c r="A80" s="196"/>
      <c r="B80" s="197"/>
    </row>
    <row r="81">
      <c r="A81" s="196"/>
      <c r="B81" s="197"/>
    </row>
    <row r="82">
      <c r="A82" s="196"/>
      <c r="B82" s="197"/>
    </row>
    <row r="83">
      <c r="A83" s="196"/>
      <c r="B83" s="197"/>
    </row>
    <row r="84">
      <c r="A84" s="196"/>
      <c r="B84" s="197"/>
    </row>
    <row r="85">
      <c r="A85" s="196"/>
      <c r="B85" s="197"/>
    </row>
    <row r="86">
      <c r="A86" s="196"/>
      <c r="B86" s="197"/>
    </row>
    <row r="87">
      <c r="A87" s="196"/>
      <c r="B87" s="197"/>
    </row>
    <row r="88">
      <c r="A88" s="196"/>
      <c r="B88" s="197"/>
    </row>
    <row r="89">
      <c r="A89" s="196"/>
      <c r="B89" s="197"/>
    </row>
    <row r="90">
      <c r="A90" s="196"/>
      <c r="B90" s="197"/>
    </row>
    <row r="91">
      <c r="A91" s="196"/>
      <c r="B91" s="197"/>
    </row>
    <row r="92">
      <c r="A92" s="196"/>
      <c r="B92" s="197"/>
    </row>
    <row r="93">
      <c r="A93" s="196"/>
      <c r="B93" s="197"/>
    </row>
    <row r="94">
      <c r="A94" s="196"/>
      <c r="B94" s="197"/>
    </row>
    <row r="95">
      <c r="A95" s="196"/>
      <c r="B95" s="197"/>
    </row>
    <row r="96">
      <c r="A96" s="196"/>
      <c r="B96" s="197"/>
    </row>
    <row r="97">
      <c r="A97" s="196"/>
      <c r="B97" s="197"/>
    </row>
    <row r="98">
      <c r="A98" s="196"/>
      <c r="B98" s="197"/>
    </row>
    <row r="99">
      <c r="A99" s="196"/>
      <c r="B99" s="197"/>
    </row>
    <row r="100">
      <c r="A100" s="196"/>
      <c r="B100" s="197"/>
    </row>
    <row r="101">
      <c r="A101" s="196"/>
      <c r="B101" s="197"/>
    </row>
    <row r="102">
      <c r="A102" s="196"/>
      <c r="B102" s="197"/>
    </row>
    <row r="103">
      <c r="A103" s="196"/>
      <c r="B103" s="197"/>
    </row>
    <row r="104">
      <c r="A104" s="196"/>
      <c r="B104" s="197"/>
    </row>
    <row r="105">
      <c r="A105" s="196"/>
      <c r="B105" s="197"/>
    </row>
    <row r="106">
      <c r="A106" s="196"/>
      <c r="B106" s="197"/>
    </row>
    <row r="107">
      <c r="A107" s="196"/>
      <c r="B107" s="197"/>
    </row>
    <row r="108">
      <c r="A108" s="196"/>
      <c r="B108" s="197"/>
    </row>
    <row r="109">
      <c r="A109" s="196"/>
      <c r="B109" s="197"/>
    </row>
    <row r="110">
      <c r="A110" s="196"/>
      <c r="B110" s="197"/>
    </row>
    <row r="111">
      <c r="A111" s="196"/>
      <c r="B111" s="197"/>
    </row>
    <row r="112">
      <c r="A112" s="196"/>
      <c r="B112" s="197"/>
    </row>
    <row r="113">
      <c r="A113" s="196"/>
      <c r="B113" s="197"/>
    </row>
    <row r="114">
      <c r="A114" s="196"/>
      <c r="B114" s="197"/>
    </row>
    <row r="115">
      <c r="A115" s="196"/>
      <c r="B115" s="197"/>
    </row>
    <row r="116">
      <c r="A116" s="196"/>
      <c r="B116" s="197"/>
    </row>
    <row r="117">
      <c r="A117" s="196"/>
      <c r="B117" s="197"/>
    </row>
    <row r="118">
      <c r="A118" s="196"/>
      <c r="B118" s="197"/>
    </row>
    <row r="119">
      <c r="A119" s="196"/>
      <c r="B119" s="197"/>
    </row>
    <row r="120">
      <c r="A120" s="196"/>
      <c r="B120" s="197"/>
    </row>
    <row r="121">
      <c r="A121" s="196"/>
      <c r="B121" s="197"/>
    </row>
    <row r="122">
      <c r="A122" s="196"/>
      <c r="B122" s="197"/>
    </row>
    <row r="123">
      <c r="A123" s="196"/>
      <c r="B123" s="197"/>
    </row>
    <row r="124">
      <c r="A124" s="196"/>
      <c r="B124" s="197"/>
    </row>
    <row r="125">
      <c r="A125" s="196"/>
      <c r="B125" s="197"/>
    </row>
    <row r="126">
      <c r="A126" s="196"/>
      <c r="B126" s="197"/>
    </row>
    <row r="127">
      <c r="A127" s="196"/>
      <c r="B127" s="197"/>
    </row>
    <row r="128">
      <c r="A128" s="196"/>
      <c r="B128" s="197"/>
    </row>
    <row r="129">
      <c r="A129" s="196"/>
      <c r="B129" s="197"/>
    </row>
    <row r="130">
      <c r="A130" s="196"/>
      <c r="B130" s="197"/>
    </row>
    <row r="131">
      <c r="A131" s="196"/>
      <c r="B131" s="197"/>
    </row>
    <row r="132">
      <c r="A132" s="196"/>
      <c r="B132" s="197"/>
    </row>
    <row r="133">
      <c r="A133" s="196"/>
      <c r="B133" s="197"/>
    </row>
    <row r="134">
      <c r="A134" s="196"/>
      <c r="B134" s="197"/>
    </row>
    <row r="135">
      <c r="A135" s="196"/>
      <c r="B135" s="197"/>
    </row>
    <row r="136">
      <c r="A136" s="196"/>
      <c r="B136" s="197"/>
    </row>
    <row r="137">
      <c r="A137" s="196"/>
      <c r="B137" s="197"/>
    </row>
    <row r="138">
      <c r="A138" s="196"/>
      <c r="B138" s="197"/>
    </row>
    <row r="139">
      <c r="A139" s="196"/>
      <c r="B139" s="197"/>
    </row>
    <row r="140">
      <c r="A140" s="196"/>
      <c r="B140" s="197"/>
    </row>
    <row r="141">
      <c r="A141" s="196"/>
      <c r="B141" s="197"/>
    </row>
    <row r="142">
      <c r="A142" s="196"/>
      <c r="B142" s="197"/>
    </row>
    <row r="143">
      <c r="A143" s="196"/>
      <c r="B143" s="197"/>
    </row>
    <row r="144">
      <c r="A144" s="196"/>
      <c r="B144" s="197"/>
    </row>
    <row r="145">
      <c r="A145" s="196"/>
      <c r="B145" s="197"/>
    </row>
    <row r="146">
      <c r="A146" s="196"/>
      <c r="B146" s="197"/>
    </row>
    <row r="147">
      <c r="A147" s="196"/>
      <c r="B147" s="197"/>
    </row>
    <row r="148">
      <c r="A148" s="196"/>
      <c r="B148" s="197"/>
    </row>
    <row r="149">
      <c r="A149" s="196"/>
      <c r="B149" s="197"/>
    </row>
    <row r="150">
      <c r="A150" s="196"/>
      <c r="B150" s="197"/>
    </row>
    <row r="151">
      <c r="A151" s="196"/>
      <c r="B151" s="197"/>
    </row>
    <row r="152">
      <c r="A152" s="196"/>
      <c r="B152" s="197"/>
    </row>
    <row r="153">
      <c r="A153" s="196"/>
      <c r="B153" s="197"/>
    </row>
    <row r="154">
      <c r="A154" s="196"/>
      <c r="B154" s="197"/>
    </row>
    <row r="155">
      <c r="A155" s="196"/>
      <c r="B155" s="197"/>
    </row>
    <row r="156">
      <c r="A156" s="196"/>
      <c r="B156" s="197"/>
    </row>
    <row r="157">
      <c r="A157" s="196"/>
      <c r="B157" s="197"/>
    </row>
    <row r="158">
      <c r="A158" s="196"/>
      <c r="B158" s="197"/>
    </row>
    <row r="159">
      <c r="A159" s="196"/>
      <c r="B159" s="197"/>
    </row>
    <row r="160">
      <c r="A160" s="196"/>
      <c r="B160" s="197"/>
    </row>
    <row r="161">
      <c r="A161" s="196"/>
      <c r="B161" s="197"/>
    </row>
    <row r="162">
      <c r="A162" s="196"/>
      <c r="B162" s="197"/>
    </row>
    <row r="163">
      <c r="A163" s="196"/>
      <c r="B163" s="197"/>
    </row>
    <row r="164">
      <c r="A164" s="196"/>
      <c r="B164" s="197"/>
    </row>
    <row r="165">
      <c r="A165" s="196"/>
      <c r="B165" s="197"/>
    </row>
    <row r="166">
      <c r="A166" s="196"/>
      <c r="B166" s="197"/>
    </row>
    <row r="167">
      <c r="A167" s="196"/>
      <c r="B167" s="197"/>
    </row>
    <row r="168">
      <c r="A168" s="196"/>
      <c r="B168" s="197"/>
    </row>
    <row r="169">
      <c r="A169" s="196"/>
      <c r="B169" s="197"/>
    </row>
    <row r="170">
      <c r="A170" s="196"/>
      <c r="B170" s="197"/>
    </row>
    <row r="171">
      <c r="A171" s="196"/>
      <c r="B171" s="197"/>
    </row>
    <row r="172">
      <c r="A172" s="196"/>
      <c r="B172" s="197"/>
    </row>
    <row r="173">
      <c r="A173" s="196"/>
      <c r="B173" s="197"/>
    </row>
    <row r="174">
      <c r="A174" s="196"/>
      <c r="B174" s="197"/>
    </row>
    <row r="175">
      <c r="A175" s="196"/>
      <c r="B175" s="197"/>
    </row>
    <row r="176">
      <c r="A176" s="196"/>
      <c r="B176" s="197"/>
    </row>
    <row r="177">
      <c r="A177" s="196"/>
      <c r="B177" s="197"/>
    </row>
    <row r="178">
      <c r="A178" s="196"/>
      <c r="B178" s="197"/>
    </row>
    <row r="179">
      <c r="A179" s="196"/>
      <c r="B179" s="197"/>
    </row>
    <row r="180">
      <c r="A180" s="196"/>
      <c r="B180" s="197"/>
    </row>
    <row r="181">
      <c r="A181" s="196"/>
      <c r="B181" s="197"/>
    </row>
    <row r="182">
      <c r="A182" s="196"/>
      <c r="B182" s="197"/>
    </row>
    <row r="183">
      <c r="A183" s="196"/>
      <c r="B183" s="197"/>
    </row>
    <row r="184">
      <c r="A184" s="196"/>
      <c r="B184" s="197"/>
    </row>
    <row r="185">
      <c r="A185" s="196"/>
      <c r="B185" s="197"/>
    </row>
    <row r="186">
      <c r="A186" s="196"/>
      <c r="B186" s="197"/>
    </row>
    <row r="187">
      <c r="A187" s="196"/>
      <c r="B187" s="197"/>
    </row>
    <row r="188">
      <c r="A188" s="196"/>
      <c r="B188" s="197"/>
    </row>
    <row r="189">
      <c r="A189" s="196"/>
      <c r="B189" s="197"/>
    </row>
    <row r="190">
      <c r="A190" s="196"/>
      <c r="B190" s="197"/>
    </row>
    <row r="191">
      <c r="A191" s="196"/>
      <c r="B191" s="197"/>
    </row>
    <row r="192">
      <c r="A192" s="196"/>
      <c r="B192" s="197"/>
    </row>
    <row r="193">
      <c r="A193" s="196"/>
      <c r="B193" s="197"/>
    </row>
    <row r="194">
      <c r="A194" s="196"/>
      <c r="B194" s="197"/>
    </row>
    <row r="195">
      <c r="A195" s="196"/>
      <c r="B195" s="197"/>
    </row>
    <row r="196">
      <c r="A196" s="196"/>
      <c r="B196" s="197"/>
    </row>
    <row r="197">
      <c r="A197" s="196"/>
      <c r="B197" s="197"/>
    </row>
    <row r="198">
      <c r="A198" s="196"/>
      <c r="B198" s="197"/>
    </row>
    <row r="199">
      <c r="A199" s="196"/>
      <c r="B199" s="197"/>
    </row>
    <row r="200">
      <c r="A200" s="196"/>
      <c r="B200" s="197"/>
    </row>
    <row r="201">
      <c r="A201" s="196"/>
      <c r="B201" s="197"/>
    </row>
    <row r="202">
      <c r="A202" s="196"/>
      <c r="B202" s="197"/>
    </row>
    <row r="203">
      <c r="A203" s="196"/>
      <c r="B203" s="197"/>
    </row>
    <row r="204">
      <c r="A204" s="196"/>
      <c r="B204" s="197"/>
    </row>
    <row r="205">
      <c r="A205" s="196"/>
      <c r="B205" s="197"/>
    </row>
    <row r="206">
      <c r="A206" s="196"/>
      <c r="B206" s="197"/>
    </row>
    <row r="207">
      <c r="A207" s="196"/>
      <c r="B207" s="197"/>
    </row>
    <row r="208">
      <c r="A208" s="196"/>
      <c r="B208" s="197"/>
    </row>
    <row r="209">
      <c r="A209" s="196"/>
      <c r="B209" s="197"/>
    </row>
    <row r="210">
      <c r="A210" s="196"/>
      <c r="B210" s="197"/>
    </row>
    <row r="211">
      <c r="A211" s="196"/>
      <c r="B211" s="197"/>
    </row>
    <row r="212">
      <c r="A212" s="196"/>
      <c r="B212" s="197"/>
    </row>
    <row r="213">
      <c r="A213" s="196"/>
      <c r="B213" s="197"/>
    </row>
    <row r="214">
      <c r="A214" s="196"/>
      <c r="B214" s="197"/>
    </row>
    <row r="215">
      <c r="A215" s="196"/>
      <c r="B215" s="197"/>
    </row>
    <row r="216">
      <c r="A216" s="196"/>
      <c r="B216" s="197"/>
    </row>
    <row r="217">
      <c r="A217" s="196"/>
      <c r="B217" s="197"/>
    </row>
    <row r="218">
      <c r="A218" s="196"/>
      <c r="B218" s="197"/>
    </row>
    <row r="219">
      <c r="A219" s="196"/>
      <c r="B219" s="197"/>
    </row>
    <row r="220">
      <c r="A220" s="196"/>
      <c r="B220" s="197"/>
    </row>
    <row r="221">
      <c r="A221" s="196"/>
      <c r="B221" s="197"/>
    </row>
    <row r="222">
      <c r="A222" s="196"/>
      <c r="B222" s="197"/>
    </row>
    <row r="223">
      <c r="A223" s="196"/>
      <c r="B223" s="197"/>
    </row>
    <row r="224">
      <c r="A224" s="196"/>
      <c r="B224" s="197"/>
    </row>
    <row r="225">
      <c r="A225" s="196"/>
      <c r="B225" s="197"/>
    </row>
    <row r="226">
      <c r="A226" s="196"/>
      <c r="B226" s="197"/>
    </row>
    <row r="227">
      <c r="A227" s="196"/>
      <c r="B227" s="197"/>
    </row>
    <row r="228">
      <c r="A228" s="196"/>
      <c r="B228" s="197"/>
    </row>
    <row r="229">
      <c r="A229" s="196"/>
      <c r="B229" s="197"/>
    </row>
    <row r="230">
      <c r="A230" s="196"/>
      <c r="B230" s="197"/>
    </row>
    <row r="231">
      <c r="A231" s="196"/>
      <c r="B231" s="197"/>
    </row>
    <row r="232">
      <c r="A232" s="196"/>
      <c r="B232" s="197"/>
    </row>
    <row r="233">
      <c r="A233" s="196"/>
      <c r="B233" s="197"/>
    </row>
    <row r="234">
      <c r="A234" s="196"/>
      <c r="B234" s="197"/>
    </row>
    <row r="235">
      <c r="A235" s="196"/>
      <c r="B235" s="197"/>
    </row>
    <row r="236">
      <c r="A236" s="196"/>
      <c r="B236" s="197"/>
    </row>
    <row r="237">
      <c r="A237" s="196"/>
      <c r="B237" s="197"/>
    </row>
    <row r="238">
      <c r="A238" s="196"/>
      <c r="B238" s="197"/>
    </row>
    <row r="239">
      <c r="A239" s="196"/>
      <c r="B239" s="197"/>
    </row>
    <row r="240">
      <c r="A240" s="196"/>
      <c r="B240" s="197"/>
    </row>
    <row r="241">
      <c r="A241" s="196"/>
      <c r="B241" s="197"/>
    </row>
    <row r="242">
      <c r="A242" s="196"/>
      <c r="B242" s="197"/>
    </row>
    <row r="243">
      <c r="A243" s="196"/>
      <c r="B243" s="197"/>
    </row>
    <row r="244">
      <c r="A244" s="196"/>
      <c r="B244" s="197"/>
    </row>
    <row r="245">
      <c r="A245" s="196"/>
      <c r="B245" s="197"/>
    </row>
    <row r="246">
      <c r="A246" s="196"/>
      <c r="B246" s="197"/>
    </row>
    <row r="247">
      <c r="A247" s="196"/>
      <c r="B247" s="197"/>
    </row>
    <row r="248">
      <c r="A248" s="196"/>
      <c r="B248" s="197"/>
    </row>
    <row r="249">
      <c r="A249" s="196"/>
      <c r="B249" s="197"/>
    </row>
    <row r="250">
      <c r="A250" s="196"/>
      <c r="B250" s="197"/>
    </row>
    <row r="251">
      <c r="A251" s="196"/>
      <c r="B251" s="197"/>
    </row>
    <row r="252">
      <c r="A252" s="196"/>
      <c r="B252" s="197"/>
    </row>
    <row r="253">
      <c r="A253" s="196"/>
      <c r="B253" s="197"/>
    </row>
    <row r="254">
      <c r="A254" s="196"/>
      <c r="B254" s="197"/>
    </row>
    <row r="255">
      <c r="A255" s="196"/>
      <c r="B255" s="197"/>
    </row>
    <row r="256">
      <c r="A256" s="196"/>
      <c r="B256" s="197"/>
    </row>
    <row r="257">
      <c r="A257" s="196"/>
      <c r="B257" s="197"/>
    </row>
    <row r="258">
      <c r="A258" s="196"/>
      <c r="B258" s="197"/>
    </row>
    <row r="259">
      <c r="A259" s="196"/>
      <c r="B259" s="197"/>
    </row>
    <row r="260">
      <c r="A260" s="196"/>
      <c r="B260" s="197"/>
    </row>
    <row r="261">
      <c r="A261" s="196"/>
      <c r="B261" s="197"/>
    </row>
    <row r="262">
      <c r="A262" s="196"/>
      <c r="B262" s="197"/>
    </row>
    <row r="263">
      <c r="A263" s="196"/>
      <c r="B263" s="197"/>
    </row>
    <row r="264">
      <c r="A264" s="196"/>
      <c r="B264" s="197"/>
    </row>
    <row r="265">
      <c r="A265" s="196"/>
      <c r="B265" s="197"/>
    </row>
    <row r="266">
      <c r="A266" s="196"/>
      <c r="B266" s="197"/>
    </row>
    <row r="267">
      <c r="A267" s="196"/>
      <c r="B267" s="197"/>
    </row>
    <row r="268">
      <c r="A268" s="196"/>
      <c r="B268" s="197"/>
    </row>
    <row r="269">
      <c r="A269" s="196"/>
      <c r="B269" s="197"/>
    </row>
    <row r="270">
      <c r="A270" s="196"/>
      <c r="B270" s="197"/>
    </row>
    <row r="271">
      <c r="A271" s="196"/>
      <c r="B271" s="197"/>
    </row>
    <row r="272">
      <c r="A272" s="196"/>
      <c r="B272" s="197"/>
    </row>
    <row r="273">
      <c r="A273" s="196"/>
      <c r="B273" s="197"/>
    </row>
    <row r="274">
      <c r="A274" s="196"/>
      <c r="B274" s="197"/>
    </row>
    <row r="275">
      <c r="A275" s="196"/>
      <c r="B275" s="197"/>
    </row>
    <row r="276">
      <c r="A276" s="196"/>
      <c r="B276" s="197"/>
    </row>
    <row r="277">
      <c r="A277" s="196"/>
      <c r="B277" s="197"/>
    </row>
    <row r="278">
      <c r="A278" s="196"/>
      <c r="B278" s="197"/>
    </row>
    <row r="279">
      <c r="A279" s="196"/>
      <c r="B279" s="197"/>
    </row>
    <row r="280">
      <c r="A280" s="196"/>
      <c r="B280" s="197"/>
    </row>
    <row r="281">
      <c r="A281" s="196"/>
      <c r="B281" s="197"/>
    </row>
    <row r="282">
      <c r="A282" s="196"/>
      <c r="B282" s="197"/>
    </row>
    <row r="283">
      <c r="A283" s="196"/>
      <c r="B283" s="197"/>
    </row>
    <row r="284">
      <c r="A284" s="196"/>
      <c r="B284" s="197"/>
    </row>
    <row r="285">
      <c r="A285" s="196"/>
      <c r="B285" s="197"/>
    </row>
    <row r="286">
      <c r="A286" s="196"/>
      <c r="B286" s="197"/>
    </row>
    <row r="287">
      <c r="A287" s="196"/>
      <c r="B287" s="197"/>
    </row>
    <row r="288">
      <c r="A288" s="196"/>
      <c r="B288" s="197"/>
    </row>
    <row r="289">
      <c r="A289" s="196"/>
      <c r="B289" s="197"/>
    </row>
    <row r="290">
      <c r="A290" s="196"/>
      <c r="B290" s="197"/>
    </row>
    <row r="291">
      <c r="A291" s="196"/>
      <c r="B291" s="197"/>
    </row>
    <row r="292">
      <c r="A292" s="196"/>
      <c r="B292" s="197"/>
    </row>
    <row r="293">
      <c r="A293" s="196"/>
      <c r="B293" s="197"/>
    </row>
    <row r="294">
      <c r="A294" s="196"/>
      <c r="B294" s="197"/>
    </row>
    <row r="295">
      <c r="A295" s="196"/>
      <c r="B295" s="197"/>
    </row>
    <row r="296">
      <c r="A296" s="196"/>
      <c r="B296" s="197"/>
    </row>
    <row r="297">
      <c r="A297" s="196"/>
      <c r="B297" s="197"/>
    </row>
    <row r="298">
      <c r="A298" s="196"/>
      <c r="B298" s="197"/>
    </row>
    <row r="299">
      <c r="A299" s="196"/>
      <c r="B299" s="197"/>
    </row>
    <row r="300">
      <c r="A300" s="196"/>
      <c r="B300" s="197"/>
    </row>
    <row r="301">
      <c r="A301" s="196"/>
      <c r="B301" s="197"/>
    </row>
    <row r="302">
      <c r="A302" s="196"/>
      <c r="B302" s="197"/>
    </row>
    <row r="303">
      <c r="A303" s="196"/>
      <c r="B303" s="197"/>
    </row>
    <row r="304">
      <c r="A304" s="196"/>
      <c r="B304" s="197"/>
    </row>
    <row r="305">
      <c r="A305" s="196"/>
      <c r="B305" s="197"/>
    </row>
    <row r="306">
      <c r="A306" s="196"/>
      <c r="B306" s="197"/>
    </row>
    <row r="307">
      <c r="A307" s="196"/>
      <c r="B307" s="197"/>
    </row>
    <row r="308">
      <c r="A308" s="196"/>
      <c r="B308" s="197"/>
    </row>
    <row r="309">
      <c r="A309" s="196"/>
      <c r="B309" s="197"/>
    </row>
    <row r="310">
      <c r="A310" s="196"/>
      <c r="B310" s="197"/>
    </row>
    <row r="311">
      <c r="A311" s="196"/>
      <c r="B311" s="197"/>
    </row>
    <row r="312">
      <c r="A312" s="196"/>
      <c r="B312" s="197"/>
    </row>
    <row r="313">
      <c r="A313" s="196"/>
      <c r="B313" s="197"/>
    </row>
    <row r="314">
      <c r="A314" s="196"/>
      <c r="B314" s="197"/>
    </row>
    <row r="315">
      <c r="A315" s="196"/>
      <c r="B315" s="197"/>
    </row>
    <row r="316">
      <c r="A316" s="196"/>
      <c r="B316" s="197"/>
    </row>
    <row r="317">
      <c r="A317" s="196"/>
      <c r="B317" s="197"/>
    </row>
    <row r="318">
      <c r="A318" s="196"/>
      <c r="B318" s="197"/>
    </row>
    <row r="319">
      <c r="A319" s="196"/>
      <c r="B319" s="197"/>
    </row>
    <row r="320">
      <c r="A320" s="196"/>
      <c r="B320" s="197"/>
    </row>
    <row r="321">
      <c r="A321" s="196"/>
      <c r="B321" s="197"/>
    </row>
    <row r="322">
      <c r="A322" s="196"/>
      <c r="B322" s="197"/>
    </row>
    <row r="323">
      <c r="A323" s="196"/>
      <c r="B323" s="197"/>
    </row>
    <row r="324">
      <c r="A324" s="196"/>
      <c r="B324" s="197"/>
    </row>
    <row r="325">
      <c r="A325" s="196"/>
      <c r="B325" s="197"/>
    </row>
    <row r="326">
      <c r="A326" s="196"/>
      <c r="B326" s="197"/>
    </row>
    <row r="327">
      <c r="A327" s="196"/>
      <c r="B327" s="197"/>
    </row>
    <row r="328">
      <c r="A328" s="196"/>
      <c r="B328" s="197"/>
    </row>
    <row r="329">
      <c r="A329" s="196"/>
      <c r="B329" s="197"/>
    </row>
    <row r="330">
      <c r="A330" s="196"/>
      <c r="B330" s="197"/>
    </row>
    <row r="331">
      <c r="A331" s="196"/>
      <c r="B331" s="197"/>
    </row>
    <row r="332">
      <c r="A332" s="196"/>
      <c r="B332" s="197"/>
    </row>
    <row r="333">
      <c r="A333" s="196"/>
      <c r="B333" s="197"/>
    </row>
    <row r="334">
      <c r="A334" s="196"/>
      <c r="B334" s="197"/>
    </row>
    <row r="335">
      <c r="A335" s="196"/>
      <c r="B335" s="197"/>
    </row>
    <row r="336">
      <c r="A336" s="196"/>
      <c r="B336" s="197"/>
    </row>
    <row r="337">
      <c r="A337" s="196"/>
      <c r="B337" s="197"/>
    </row>
    <row r="338">
      <c r="A338" s="196"/>
      <c r="B338" s="197"/>
    </row>
    <row r="339">
      <c r="A339" s="196"/>
      <c r="B339" s="197"/>
    </row>
    <row r="340">
      <c r="A340" s="196"/>
      <c r="B340" s="197"/>
    </row>
    <row r="341">
      <c r="A341" s="196"/>
      <c r="B341" s="197"/>
    </row>
    <row r="342">
      <c r="A342" s="196"/>
      <c r="B342" s="197"/>
    </row>
    <row r="343">
      <c r="A343" s="196"/>
      <c r="B343" s="197"/>
    </row>
    <row r="344">
      <c r="A344" s="196"/>
      <c r="B344" s="197"/>
    </row>
    <row r="345">
      <c r="A345" s="196"/>
      <c r="B345" s="197"/>
    </row>
    <row r="346">
      <c r="A346" s="196"/>
      <c r="B346" s="197"/>
    </row>
    <row r="347">
      <c r="A347" s="196"/>
      <c r="B347" s="197"/>
    </row>
    <row r="348">
      <c r="A348" s="196"/>
      <c r="B348" s="197"/>
    </row>
    <row r="349">
      <c r="A349" s="196"/>
      <c r="B349" s="197"/>
    </row>
    <row r="350">
      <c r="A350" s="196"/>
      <c r="B350" s="197"/>
    </row>
    <row r="351">
      <c r="A351" s="196"/>
      <c r="B351" s="197"/>
    </row>
    <row r="352">
      <c r="A352" s="196"/>
      <c r="B352" s="197"/>
    </row>
    <row r="353">
      <c r="A353" s="196"/>
      <c r="B353" s="197"/>
    </row>
    <row r="354">
      <c r="A354" s="196"/>
      <c r="B354" s="197"/>
    </row>
    <row r="355">
      <c r="A355" s="196"/>
      <c r="B355" s="197"/>
    </row>
    <row r="356">
      <c r="A356" s="196"/>
      <c r="B356" s="197"/>
    </row>
    <row r="357">
      <c r="A357" s="196"/>
      <c r="B357" s="197"/>
    </row>
    <row r="358">
      <c r="A358" s="196"/>
      <c r="B358" s="197"/>
    </row>
    <row r="359">
      <c r="A359" s="196"/>
      <c r="B359" s="197"/>
    </row>
    <row r="360">
      <c r="A360" s="196"/>
      <c r="B360" s="197"/>
    </row>
    <row r="361">
      <c r="A361" s="196"/>
      <c r="B361" s="197"/>
    </row>
    <row r="362">
      <c r="A362" s="196"/>
      <c r="B362" s="197"/>
    </row>
    <row r="363">
      <c r="A363" s="196"/>
      <c r="B363" s="197"/>
    </row>
    <row r="364">
      <c r="A364" s="196"/>
      <c r="B364" s="197"/>
    </row>
    <row r="365">
      <c r="A365" s="196"/>
      <c r="B365" s="197"/>
    </row>
    <row r="366">
      <c r="A366" s="196"/>
      <c r="B366" s="197"/>
    </row>
    <row r="367">
      <c r="A367" s="196"/>
      <c r="B367" s="197"/>
    </row>
    <row r="368">
      <c r="A368" s="196"/>
      <c r="B368" s="197"/>
    </row>
    <row r="369">
      <c r="A369" s="196"/>
      <c r="B369" s="197"/>
    </row>
    <row r="370">
      <c r="A370" s="196"/>
      <c r="B370" s="197"/>
    </row>
    <row r="371">
      <c r="A371" s="196"/>
      <c r="B371" s="197"/>
    </row>
    <row r="372">
      <c r="A372" s="196"/>
      <c r="B372" s="197"/>
    </row>
    <row r="373">
      <c r="A373" s="196"/>
      <c r="B373" s="197"/>
    </row>
    <row r="374">
      <c r="A374" s="196"/>
      <c r="B374" s="197"/>
    </row>
    <row r="375">
      <c r="A375" s="196"/>
      <c r="B375" s="197"/>
    </row>
    <row r="376">
      <c r="A376" s="196"/>
      <c r="B376" s="197"/>
    </row>
    <row r="377">
      <c r="A377" s="196"/>
      <c r="B377" s="197"/>
    </row>
    <row r="378">
      <c r="A378" s="196"/>
      <c r="B378" s="197"/>
    </row>
    <row r="379">
      <c r="A379" s="196"/>
      <c r="B379" s="197"/>
    </row>
    <row r="380">
      <c r="A380" s="196"/>
      <c r="B380" s="197"/>
    </row>
    <row r="381">
      <c r="A381" s="196"/>
      <c r="B381" s="197"/>
    </row>
    <row r="382">
      <c r="A382" s="196"/>
      <c r="B382" s="197"/>
    </row>
    <row r="383">
      <c r="A383" s="196"/>
      <c r="B383" s="197"/>
    </row>
    <row r="384">
      <c r="A384" s="196"/>
      <c r="B384" s="197"/>
    </row>
    <row r="385">
      <c r="A385" s="196"/>
      <c r="B385" s="197"/>
    </row>
    <row r="386">
      <c r="A386" s="196"/>
      <c r="B386" s="197"/>
    </row>
    <row r="387">
      <c r="A387" s="196"/>
      <c r="B387" s="197"/>
    </row>
    <row r="388">
      <c r="A388" s="196"/>
      <c r="B388" s="197"/>
    </row>
    <row r="389">
      <c r="A389" s="196"/>
      <c r="B389" s="197"/>
    </row>
    <row r="390">
      <c r="A390" s="196"/>
      <c r="B390" s="197"/>
    </row>
    <row r="391">
      <c r="A391" s="196"/>
      <c r="B391" s="197"/>
    </row>
    <row r="392">
      <c r="A392" s="196"/>
      <c r="B392" s="197"/>
    </row>
    <row r="393">
      <c r="A393" s="196"/>
      <c r="B393" s="197"/>
    </row>
    <row r="394">
      <c r="A394" s="196"/>
      <c r="B394" s="197"/>
    </row>
    <row r="395">
      <c r="A395" s="196"/>
      <c r="B395" s="197"/>
    </row>
    <row r="396">
      <c r="A396" s="196"/>
      <c r="B396" s="197"/>
    </row>
    <row r="397">
      <c r="A397" s="196"/>
      <c r="B397" s="197"/>
    </row>
    <row r="398">
      <c r="A398" s="196"/>
      <c r="B398" s="197"/>
    </row>
    <row r="399">
      <c r="A399" s="196"/>
      <c r="B399" s="197"/>
    </row>
    <row r="400">
      <c r="A400" s="196"/>
      <c r="B400" s="197"/>
    </row>
    <row r="401">
      <c r="A401" s="196"/>
      <c r="B401" s="197"/>
    </row>
    <row r="402">
      <c r="A402" s="196"/>
      <c r="B402" s="197"/>
    </row>
    <row r="403">
      <c r="A403" s="196"/>
      <c r="B403" s="197"/>
    </row>
    <row r="404">
      <c r="A404" s="196"/>
      <c r="B404" s="197"/>
    </row>
    <row r="405">
      <c r="A405" s="196"/>
      <c r="B405" s="197"/>
    </row>
    <row r="406">
      <c r="A406" s="196"/>
      <c r="B406" s="197"/>
    </row>
    <row r="407">
      <c r="A407" s="196"/>
      <c r="B407" s="197"/>
    </row>
    <row r="408">
      <c r="A408" s="196"/>
      <c r="B408" s="197"/>
    </row>
    <row r="409">
      <c r="A409" s="196"/>
      <c r="B409" s="197"/>
    </row>
    <row r="410">
      <c r="A410" s="196"/>
      <c r="B410" s="197"/>
    </row>
    <row r="411">
      <c r="A411" s="196"/>
      <c r="B411" s="197"/>
    </row>
    <row r="412">
      <c r="A412" s="196"/>
      <c r="B412" s="197"/>
    </row>
    <row r="413">
      <c r="A413" s="196"/>
      <c r="B413" s="197"/>
    </row>
    <row r="414">
      <c r="A414" s="196"/>
      <c r="B414" s="197"/>
    </row>
    <row r="415">
      <c r="A415" s="196"/>
      <c r="B415" s="197"/>
    </row>
    <row r="416">
      <c r="A416" s="196"/>
      <c r="B416" s="197"/>
    </row>
    <row r="417">
      <c r="A417" s="196"/>
      <c r="B417" s="197"/>
    </row>
    <row r="418">
      <c r="A418" s="196"/>
      <c r="B418" s="197"/>
    </row>
    <row r="419">
      <c r="A419" s="196"/>
      <c r="B419" s="197"/>
    </row>
    <row r="420">
      <c r="A420" s="196"/>
      <c r="B420" s="197"/>
    </row>
    <row r="421">
      <c r="A421" s="196"/>
      <c r="B421" s="197"/>
    </row>
    <row r="422">
      <c r="A422" s="196"/>
      <c r="B422" s="197"/>
    </row>
    <row r="423">
      <c r="A423" s="196"/>
      <c r="B423" s="197"/>
    </row>
    <row r="424">
      <c r="A424" s="196"/>
      <c r="B424" s="197"/>
    </row>
    <row r="425">
      <c r="A425" s="196"/>
      <c r="B425" s="197"/>
    </row>
    <row r="426">
      <c r="A426" s="196"/>
      <c r="B426" s="197"/>
    </row>
    <row r="427">
      <c r="A427" s="196"/>
      <c r="B427" s="197"/>
    </row>
    <row r="428">
      <c r="A428" s="196"/>
      <c r="B428" s="197"/>
    </row>
    <row r="429">
      <c r="A429" s="196"/>
      <c r="B429" s="197"/>
    </row>
    <row r="430">
      <c r="A430" s="196"/>
      <c r="B430" s="197"/>
    </row>
    <row r="431">
      <c r="A431" s="196"/>
      <c r="B431" s="197"/>
    </row>
    <row r="432">
      <c r="A432" s="196"/>
      <c r="B432" s="197"/>
    </row>
    <row r="433">
      <c r="A433" s="196"/>
      <c r="B433" s="197"/>
    </row>
    <row r="434">
      <c r="A434" s="196"/>
      <c r="B434" s="197"/>
    </row>
    <row r="435">
      <c r="A435" s="196"/>
      <c r="B435" s="197"/>
    </row>
    <row r="436">
      <c r="A436" s="196"/>
      <c r="B436" s="197"/>
    </row>
    <row r="437">
      <c r="A437" s="196"/>
      <c r="B437" s="197"/>
    </row>
    <row r="438">
      <c r="A438" s="196"/>
      <c r="B438" s="197"/>
    </row>
    <row r="439">
      <c r="A439" s="196"/>
      <c r="B439" s="197"/>
    </row>
    <row r="440">
      <c r="A440" s="196"/>
      <c r="B440" s="197"/>
    </row>
    <row r="441">
      <c r="A441" s="196"/>
      <c r="B441" s="197"/>
    </row>
    <row r="442">
      <c r="A442" s="196"/>
      <c r="B442" s="197"/>
    </row>
    <row r="443">
      <c r="A443" s="196"/>
      <c r="B443" s="197"/>
    </row>
    <row r="444">
      <c r="A444" s="196"/>
      <c r="B444" s="197"/>
    </row>
    <row r="445">
      <c r="A445" s="196"/>
      <c r="B445" s="197"/>
    </row>
    <row r="446">
      <c r="A446" s="196"/>
      <c r="B446" s="197"/>
    </row>
    <row r="447">
      <c r="A447" s="196"/>
      <c r="B447" s="197"/>
    </row>
    <row r="448">
      <c r="A448" s="196"/>
      <c r="B448" s="197"/>
    </row>
    <row r="449">
      <c r="A449" s="196"/>
      <c r="B449" s="197"/>
    </row>
    <row r="450">
      <c r="A450" s="196"/>
      <c r="B450" s="197"/>
    </row>
    <row r="451">
      <c r="A451" s="196"/>
      <c r="B451" s="197"/>
    </row>
    <row r="452">
      <c r="A452" s="196"/>
      <c r="B452" s="197"/>
    </row>
    <row r="453">
      <c r="A453" s="196"/>
      <c r="B453" s="197"/>
    </row>
    <row r="454">
      <c r="A454" s="196"/>
      <c r="B454" s="197"/>
    </row>
    <row r="455">
      <c r="A455" s="196"/>
      <c r="B455" s="197"/>
    </row>
    <row r="456">
      <c r="A456" s="196"/>
      <c r="B456" s="197"/>
    </row>
    <row r="457">
      <c r="A457" s="196"/>
      <c r="B457" s="197"/>
    </row>
    <row r="458">
      <c r="A458" s="196"/>
      <c r="B458" s="197"/>
    </row>
    <row r="459">
      <c r="A459" s="196"/>
      <c r="B459" s="197"/>
    </row>
    <row r="460">
      <c r="A460" s="196"/>
      <c r="B460" s="197"/>
    </row>
    <row r="461">
      <c r="A461" s="196"/>
      <c r="B461" s="197"/>
    </row>
    <row r="462">
      <c r="A462" s="196"/>
      <c r="B462" s="197"/>
    </row>
    <row r="463">
      <c r="A463" s="196"/>
      <c r="B463" s="197"/>
    </row>
    <row r="464">
      <c r="A464" s="196"/>
      <c r="B464" s="197"/>
    </row>
    <row r="465">
      <c r="A465" s="196"/>
      <c r="B465" s="197"/>
    </row>
    <row r="466">
      <c r="A466" s="196"/>
      <c r="B466" s="197"/>
    </row>
    <row r="467">
      <c r="A467" s="196"/>
      <c r="B467" s="197"/>
    </row>
    <row r="468">
      <c r="A468" s="196"/>
      <c r="B468" s="197"/>
    </row>
    <row r="469">
      <c r="A469" s="196"/>
      <c r="B469" s="197"/>
    </row>
    <row r="470">
      <c r="A470" s="196"/>
      <c r="B470" s="197"/>
    </row>
    <row r="471">
      <c r="A471" s="196"/>
      <c r="B471" s="197"/>
    </row>
    <row r="472">
      <c r="A472" s="196"/>
      <c r="B472" s="197"/>
    </row>
    <row r="473">
      <c r="A473" s="196"/>
      <c r="B473" s="197"/>
    </row>
    <row r="474">
      <c r="A474" s="196"/>
      <c r="B474" s="197"/>
    </row>
    <row r="475">
      <c r="A475" s="196"/>
      <c r="B475" s="197"/>
    </row>
    <row r="476">
      <c r="A476" s="196"/>
      <c r="B476" s="197"/>
    </row>
    <row r="477">
      <c r="A477" s="196"/>
      <c r="B477" s="197"/>
    </row>
    <row r="478">
      <c r="A478" s="196"/>
      <c r="B478" s="197"/>
    </row>
    <row r="479">
      <c r="A479" s="196"/>
      <c r="B479" s="197"/>
    </row>
    <row r="480">
      <c r="A480" s="196"/>
      <c r="B480" s="197"/>
    </row>
    <row r="481">
      <c r="A481" s="196"/>
      <c r="B481" s="197"/>
    </row>
    <row r="482">
      <c r="A482" s="196"/>
      <c r="B482" s="197"/>
    </row>
    <row r="483">
      <c r="A483" s="196"/>
      <c r="B483" s="197"/>
    </row>
    <row r="484">
      <c r="A484" s="196"/>
      <c r="B484" s="197"/>
    </row>
    <row r="485">
      <c r="A485" s="196"/>
      <c r="B485" s="197"/>
    </row>
    <row r="486">
      <c r="A486" s="196"/>
      <c r="B486" s="197"/>
    </row>
    <row r="487">
      <c r="A487" s="196"/>
      <c r="B487" s="197"/>
    </row>
    <row r="488">
      <c r="A488" s="196"/>
      <c r="B488" s="197"/>
    </row>
    <row r="489">
      <c r="A489" s="196"/>
      <c r="B489" s="197"/>
    </row>
    <row r="490">
      <c r="A490" s="196"/>
      <c r="B490" s="197"/>
    </row>
    <row r="491">
      <c r="A491" s="196"/>
      <c r="B491" s="197"/>
    </row>
    <row r="492">
      <c r="A492" s="196"/>
      <c r="B492" s="197"/>
    </row>
    <row r="493">
      <c r="A493" s="196"/>
      <c r="B493" s="197"/>
    </row>
    <row r="494">
      <c r="A494" s="196"/>
      <c r="B494" s="197"/>
    </row>
    <row r="495">
      <c r="A495" s="196"/>
      <c r="B495" s="197"/>
    </row>
    <row r="496">
      <c r="A496" s="196"/>
      <c r="B496" s="197"/>
    </row>
    <row r="497">
      <c r="A497" s="196"/>
      <c r="B497" s="197"/>
    </row>
    <row r="498">
      <c r="A498" s="196"/>
      <c r="B498" s="197"/>
    </row>
    <row r="499">
      <c r="A499" s="196"/>
      <c r="B499" s="197"/>
    </row>
    <row r="500">
      <c r="A500" s="196"/>
      <c r="B500" s="197"/>
    </row>
    <row r="501">
      <c r="A501" s="196"/>
      <c r="B501" s="197"/>
    </row>
    <row r="502">
      <c r="A502" s="196"/>
      <c r="B502" s="197"/>
    </row>
    <row r="503">
      <c r="A503" s="196"/>
      <c r="B503" s="197"/>
    </row>
    <row r="504">
      <c r="A504" s="196"/>
      <c r="B504" s="197"/>
    </row>
    <row r="505">
      <c r="A505" s="196"/>
      <c r="B505" s="197"/>
    </row>
    <row r="506">
      <c r="A506" s="196"/>
      <c r="B506" s="197"/>
    </row>
    <row r="507">
      <c r="A507" s="196"/>
      <c r="B507" s="197"/>
    </row>
    <row r="508">
      <c r="A508" s="196"/>
      <c r="B508" s="197"/>
    </row>
    <row r="509">
      <c r="A509" s="196"/>
      <c r="B509" s="197"/>
    </row>
    <row r="510">
      <c r="A510" s="196"/>
      <c r="B510" s="197"/>
    </row>
    <row r="511">
      <c r="A511" s="196"/>
      <c r="B511" s="197"/>
    </row>
    <row r="512">
      <c r="A512" s="196"/>
      <c r="B512" s="197"/>
    </row>
    <row r="513">
      <c r="A513" s="196"/>
      <c r="B513" s="197"/>
    </row>
    <row r="514">
      <c r="A514" s="196"/>
      <c r="B514" s="197"/>
    </row>
    <row r="515">
      <c r="A515" s="196"/>
      <c r="B515" s="197"/>
    </row>
    <row r="516">
      <c r="A516" s="196"/>
      <c r="B516" s="197"/>
    </row>
    <row r="517">
      <c r="A517" s="196"/>
      <c r="B517" s="197"/>
    </row>
    <row r="518">
      <c r="A518" s="196"/>
      <c r="B518" s="197"/>
    </row>
    <row r="519">
      <c r="A519" s="196"/>
      <c r="B519" s="197"/>
    </row>
    <row r="520">
      <c r="A520" s="196"/>
      <c r="B520" s="197"/>
    </row>
    <row r="521">
      <c r="A521" s="196"/>
      <c r="B521" s="197"/>
    </row>
    <row r="522">
      <c r="A522" s="196"/>
      <c r="B522" s="197"/>
    </row>
    <row r="523">
      <c r="A523" s="196"/>
      <c r="B523" s="197"/>
    </row>
    <row r="524">
      <c r="A524" s="196"/>
      <c r="B524" s="197"/>
    </row>
    <row r="525">
      <c r="A525" s="196"/>
      <c r="B525" s="197"/>
    </row>
    <row r="526">
      <c r="A526" s="196"/>
      <c r="B526" s="197"/>
    </row>
    <row r="527">
      <c r="A527" s="196"/>
      <c r="B527" s="197"/>
    </row>
    <row r="528">
      <c r="A528" s="196"/>
      <c r="B528" s="197"/>
    </row>
    <row r="529">
      <c r="A529" s="196"/>
      <c r="B529" s="197"/>
    </row>
    <row r="530">
      <c r="A530" s="196"/>
      <c r="B530" s="197"/>
    </row>
    <row r="531">
      <c r="A531" s="196"/>
      <c r="B531" s="197"/>
    </row>
    <row r="532">
      <c r="A532" s="196"/>
      <c r="B532" s="197"/>
    </row>
    <row r="533">
      <c r="A533" s="196"/>
      <c r="B533" s="197"/>
    </row>
    <row r="534">
      <c r="A534" s="196"/>
      <c r="B534" s="197"/>
    </row>
    <row r="535">
      <c r="A535" s="196"/>
      <c r="B535" s="197"/>
    </row>
    <row r="536">
      <c r="A536" s="196"/>
      <c r="B536" s="197"/>
    </row>
    <row r="537">
      <c r="A537" s="196"/>
      <c r="B537" s="197"/>
    </row>
    <row r="538">
      <c r="A538" s="196"/>
      <c r="B538" s="197"/>
    </row>
    <row r="539">
      <c r="A539" s="196"/>
      <c r="B539" s="197"/>
    </row>
    <row r="540">
      <c r="A540" s="196"/>
      <c r="B540" s="197"/>
    </row>
    <row r="541">
      <c r="A541" s="196"/>
      <c r="B541" s="197"/>
    </row>
    <row r="542">
      <c r="A542" s="196"/>
      <c r="B542" s="197"/>
    </row>
    <row r="543">
      <c r="A543" s="196"/>
      <c r="B543" s="197"/>
    </row>
    <row r="544">
      <c r="A544" s="196"/>
      <c r="B544" s="197"/>
    </row>
    <row r="545">
      <c r="A545" s="196"/>
      <c r="B545" s="197"/>
    </row>
    <row r="546">
      <c r="A546" s="196"/>
      <c r="B546" s="197"/>
    </row>
    <row r="547">
      <c r="A547" s="196"/>
      <c r="B547" s="197"/>
    </row>
    <row r="548">
      <c r="A548" s="196"/>
      <c r="B548" s="197"/>
    </row>
    <row r="549">
      <c r="A549" s="196"/>
      <c r="B549" s="197"/>
    </row>
    <row r="550">
      <c r="A550" s="196"/>
      <c r="B550" s="197"/>
    </row>
    <row r="551">
      <c r="A551" s="196"/>
      <c r="B551" s="197"/>
    </row>
    <row r="552">
      <c r="A552" s="196"/>
      <c r="B552" s="197"/>
    </row>
    <row r="553">
      <c r="A553" s="196"/>
      <c r="B553" s="197"/>
    </row>
    <row r="554">
      <c r="A554" s="196"/>
      <c r="B554" s="197"/>
    </row>
    <row r="555">
      <c r="A555" s="196"/>
      <c r="B555" s="197"/>
    </row>
    <row r="556">
      <c r="A556" s="196"/>
      <c r="B556" s="197"/>
    </row>
    <row r="557">
      <c r="A557" s="196"/>
      <c r="B557" s="197"/>
    </row>
    <row r="558">
      <c r="A558" s="196"/>
      <c r="B558" s="197"/>
    </row>
    <row r="559">
      <c r="A559" s="196"/>
      <c r="B559" s="197"/>
    </row>
    <row r="560">
      <c r="A560" s="196"/>
      <c r="B560" s="197"/>
    </row>
    <row r="561">
      <c r="A561" s="196"/>
      <c r="B561" s="197"/>
    </row>
    <row r="562">
      <c r="A562" s="196"/>
      <c r="B562" s="197"/>
    </row>
    <row r="563">
      <c r="A563" s="196"/>
      <c r="B563" s="197"/>
    </row>
    <row r="564">
      <c r="A564" s="196"/>
      <c r="B564" s="197"/>
    </row>
    <row r="565">
      <c r="A565" s="196"/>
      <c r="B565" s="197"/>
    </row>
    <row r="566">
      <c r="A566" s="196"/>
      <c r="B566" s="197"/>
    </row>
    <row r="567">
      <c r="A567" s="196"/>
      <c r="B567" s="197"/>
    </row>
    <row r="568">
      <c r="A568" s="196"/>
      <c r="B568" s="197"/>
    </row>
    <row r="569">
      <c r="A569" s="196"/>
      <c r="B569" s="197"/>
    </row>
    <row r="570">
      <c r="A570" s="196"/>
      <c r="B570" s="197"/>
    </row>
    <row r="571">
      <c r="A571" s="196"/>
      <c r="B571" s="197"/>
    </row>
    <row r="572">
      <c r="A572" s="196"/>
      <c r="B572" s="197"/>
    </row>
    <row r="573">
      <c r="A573" s="196"/>
      <c r="B573" s="197"/>
    </row>
    <row r="574">
      <c r="A574" s="196"/>
      <c r="B574" s="197"/>
    </row>
    <row r="575">
      <c r="A575" s="196"/>
      <c r="B575" s="197"/>
    </row>
    <row r="576">
      <c r="A576" s="196"/>
      <c r="B576" s="197"/>
    </row>
    <row r="577">
      <c r="A577" s="196"/>
      <c r="B577" s="197"/>
    </row>
    <row r="578">
      <c r="A578" s="196"/>
      <c r="B578" s="197"/>
    </row>
    <row r="579">
      <c r="A579" s="196"/>
      <c r="B579" s="197"/>
    </row>
    <row r="580">
      <c r="A580" s="196"/>
      <c r="B580" s="197"/>
    </row>
    <row r="581">
      <c r="A581" s="196"/>
      <c r="B581" s="197"/>
    </row>
    <row r="582">
      <c r="A582" s="196"/>
      <c r="B582" s="197"/>
    </row>
    <row r="583">
      <c r="A583" s="196"/>
      <c r="B583" s="197"/>
    </row>
    <row r="584">
      <c r="A584" s="196"/>
      <c r="B584" s="197"/>
    </row>
    <row r="585">
      <c r="A585" s="196"/>
      <c r="B585" s="197"/>
    </row>
    <row r="586">
      <c r="A586" s="196"/>
      <c r="B586" s="197"/>
    </row>
    <row r="587">
      <c r="A587" s="196"/>
      <c r="B587" s="197"/>
    </row>
    <row r="588">
      <c r="A588" s="196"/>
      <c r="B588" s="197"/>
    </row>
    <row r="589">
      <c r="A589" s="196"/>
      <c r="B589" s="197"/>
    </row>
    <row r="590">
      <c r="A590" s="196"/>
      <c r="B590" s="197"/>
    </row>
    <row r="591">
      <c r="A591" s="196"/>
      <c r="B591" s="197"/>
    </row>
    <row r="592">
      <c r="A592" s="196"/>
      <c r="B592" s="197"/>
    </row>
    <row r="593">
      <c r="A593" s="196"/>
      <c r="B593" s="197"/>
    </row>
    <row r="594">
      <c r="A594" s="196"/>
      <c r="B594" s="197"/>
    </row>
    <row r="595">
      <c r="A595" s="196"/>
      <c r="B595" s="197"/>
    </row>
    <row r="596">
      <c r="A596" s="196"/>
      <c r="B596" s="197"/>
    </row>
    <row r="597">
      <c r="A597" s="196"/>
      <c r="B597" s="197"/>
    </row>
    <row r="598">
      <c r="A598" s="196"/>
      <c r="B598" s="197"/>
    </row>
    <row r="599">
      <c r="A599" s="196"/>
      <c r="B599" s="197"/>
    </row>
    <row r="600">
      <c r="A600" s="196"/>
      <c r="B600" s="197"/>
    </row>
    <row r="601">
      <c r="A601" s="196"/>
      <c r="B601" s="197"/>
    </row>
    <row r="602">
      <c r="A602" s="196"/>
      <c r="B602" s="197"/>
    </row>
    <row r="603">
      <c r="A603" s="196"/>
      <c r="B603" s="197"/>
    </row>
    <row r="604">
      <c r="A604" s="196"/>
      <c r="B604" s="197"/>
    </row>
    <row r="605">
      <c r="A605" s="196"/>
      <c r="B605" s="197"/>
    </row>
    <row r="606">
      <c r="A606" s="196"/>
      <c r="B606" s="197"/>
    </row>
    <row r="607">
      <c r="A607" s="196"/>
      <c r="B607" s="197"/>
    </row>
    <row r="608">
      <c r="A608" s="196"/>
      <c r="B608" s="197"/>
    </row>
    <row r="609">
      <c r="A609" s="196"/>
      <c r="B609" s="197"/>
    </row>
    <row r="610">
      <c r="A610" s="196"/>
      <c r="B610" s="197"/>
    </row>
    <row r="611">
      <c r="A611" s="196"/>
      <c r="B611" s="197"/>
    </row>
    <row r="612">
      <c r="A612" s="196"/>
      <c r="B612" s="197"/>
    </row>
    <row r="613">
      <c r="A613" s="196"/>
      <c r="B613" s="197"/>
    </row>
    <row r="614">
      <c r="A614" s="196"/>
      <c r="B614" s="197"/>
    </row>
    <row r="615">
      <c r="A615" s="196"/>
      <c r="B615" s="197"/>
    </row>
    <row r="616">
      <c r="A616" s="196"/>
      <c r="B616" s="197"/>
    </row>
    <row r="617">
      <c r="A617" s="196"/>
      <c r="B617" s="197"/>
    </row>
    <row r="618">
      <c r="A618" s="196"/>
      <c r="B618" s="197"/>
    </row>
    <row r="619">
      <c r="A619" s="196"/>
      <c r="B619" s="197"/>
    </row>
    <row r="620">
      <c r="A620" s="196"/>
      <c r="B620" s="197"/>
    </row>
    <row r="621">
      <c r="A621" s="196"/>
      <c r="B621" s="197"/>
    </row>
    <row r="622">
      <c r="A622" s="196"/>
      <c r="B622" s="197"/>
    </row>
    <row r="623">
      <c r="A623" s="196"/>
      <c r="B623" s="197"/>
    </row>
    <row r="624">
      <c r="A624" s="196"/>
      <c r="B624" s="197"/>
    </row>
    <row r="625">
      <c r="A625" s="196"/>
      <c r="B625" s="197"/>
    </row>
    <row r="626">
      <c r="A626" s="196"/>
      <c r="B626" s="197"/>
    </row>
    <row r="627">
      <c r="A627" s="196"/>
      <c r="B627" s="197"/>
    </row>
    <row r="628">
      <c r="A628" s="196"/>
      <c r="B628" s="197"/>
    </row>
    <row r="629">
      <c r="A629" s="196"/>
      <c r="B629" s="197"/>
    </row>
    <row r="630">
      <c r="A630" s="196"/>
      <c r="B630" s="197"/>
    </row>
    <row r="631">
      <c r="A631" s="196"/>
      <c r="B631" s="197"/>
    </row>
    <row r="632">
      <c r="A632" s="196"/>
      <c r="B632" s="197"/>
    </row>
    <row r="633">
      <c r="A633" s="196"/>
      <c r="B633" s="197"/>
    </row>
    <row r="634">
      <c r="A634" s="196"/>
      <c r="B634" s="197"/>
    </row>
    <row r="635">
      <c r="A635" s="196"/>
      <c r="B635" s="197"/>
    </row>
    <row r="636">
      <c r="A636" s="196"/>
      <c r="B636" s="197"/>
    </row>
    <row r="637">
      <c r="A637" s="196"/>
      <c r="B637" s="197"/>
    </row>
    <row r="638">
      <c r="A638" s="196"/>
      <c r="B638" s="197"/>
    </row>
    <row r="639">
      <c r="A639" s="196"/>
      <c r="B639" s="197"/>
    </row>
    <row r="640">
      <c r="A640" s="196"/>
      <c r="B640" s="197"/>
    </row>
    <row r="641">
      <c r="A641" s="196"/>
      <c r="B641" s="197"/>
    </row>
    <row r="642">
      <c r="A642" s="196"/>
      <c r="B642" s="197"/>
    </row>
    <row r="643">
      <c r="A643" s="196"/>
      <c r="B643" s="197"/>
    </row>
    <row r="644">
      <c r="A644" s="196"/>
      <c r="B644" s="197"/>
    </row>
    <row r="645">
      <c r="A645" s="196"/>
      <c r="B645" s="197"/>
    </row>
    <row r="646">
      <c r="A646" s="196"/>
      <c r="B646" s="197"/>
    </row>
    <row r="647">
      <c r="A647" s="196"/>
      <c r="B647" s="197"/>
    </row>
    <row r="648">
      <c r="A648" s="196"/>
      <c r="B648" s="197"/>
    </row>
    <row r="649">
      <c r="A649" s="196"/>
      <c r="B649" s="197"/>
    </row>
    <row r="650">
      <c r="A650" s="196"/>
      <c r="B650" s="197"/>
    </row>
    <row r="651">
      <c r="A651" s="196"/>
      <c r="B651" s="197"/>
    </row>
    <row r="652">
      <c r="A652" s="196"/>
      <c r="B652" s="197"/>
    </row>
    <row r="653">
      <c r="A653" s="196"/>
      <c r="B653" s="197"/>
    </row>
    <row r="654">
      <c r="A654" s="196"/>
      <c r="B654" s="197"/>
    </row>
    <row r="655">
      <c r="A655" s="196"/>
      <c r="B655" s="197"/>
    </row>
    <row r="656">
      <c r="A656" s="196"/>
      <c r="B656" s="197"/>
    </row>
    <row r="657">
      <c r="A657" s="196"/>
      <c r="B657" s="197"/>
    </row>
    <row r="658">
      <c r="A658" s="196"/>
      <c r="B658" s="197"/>
    </row>
    <row r="659">
      <c r="A659" s="196"/>
      <c r="B659" s="197"/>
    </row>
    <row r="660">
      <c r="A660" s="196"/>
      <c r="B660" s="197"/>
    </row>
    <row r="661">
      <c r="A661" s="196"/>
      <c r="B661" s="197"/>
    </row>
    <row r="662">
      <c r="A662" s="196"/>
      <c r="B662" s="197"/>
    </row>
    <row r="663">
      <c r="A663" s="196"/>
      <c r="B663" s="197"/>
    </row>
    <row r="664">
      <c r="A664" s="196"/>
      <c r="B664" s="197"/>
    </row>
    <row r="665">
      <c r="A665" s="196"/>
      <c r="B665" s="197"/>
    </row>
    <row r="666">
      <c r="A666" s="196"/>
      <c r="B666" s="197"/>
    </row>
    <row r="667">
      <c r="A667" s="196"/>
      <c r="B667" s="197"/>
    </row>
    <row r="668">
      <c r="A668" s="196"/>
      <c r="B668" s="197"/>
    </row>
    <row r="669">
      <c r="A669" s="196"/>
      <c r="B669" s="197"/>
    </row>
    <row r="670">
      <c r="A670" s="196"/>
      <c r="B670" s="197"/>
    </row>
    <row r="671">
      <c r="A671" s="196"/>
      <c r="B671" s="197"/>
    </row>
    <row r="672">
      <c r="A672" s="196"/>
      <c r="B672" s="197"/>
    </row>
    <row r="673">
      <c r="A673" s="196"/>
      <c r="B673" s="197"/>
    </row>
    <row r="674">
      <c r="A674" s="196"/>
      <c r="B674" s="197"/>
    </row>
    <row r="675">
      <c r="A675" s="196"/>
      <c r="B675" s="197"/>
    </row>
    <row r="676">
      <c r="A676" s="196"/>
      <c r="B676" s="197"/>
    </row>
    <row r="677">
      <c r="A677" s="196"/>
      <c r="B677" s="197"/>
    </row>
    <row r="678">
      <c r="A678" s="196"/>
      <c r="B678" s="197"/>
    </row>
    <row r="679">
      <c r="A679" s="196"/>
      <c r="B679" s="197"/>
    </row>
    <row r="680">
      <c r="A680" s="196"/>
      <c r="B680" s="197"/>
    </row>
    <row r="681">
      <c r="A681" s="196"/>
      <c r="B681" s="197"/>
    </row>
    <row r="682">
      <c r="A682" s="196"/>
      <c r="B682" s="197"/>
    </row>
    <row r="683">
      <c r="A683" s="196"/>
      <c r="B683" s="197"/>
    </row>
    <row r="684">
      <c r="A684" s="196"/>
      <c r="B684" s="197"/>
    </row>
    <row r="685">
      <c r="A685" s="196"/>
      <c r="B685" s="197"/>
    </row>
    <row r="686">
      <c r="A686" s="196"/>
      <c r="B686" s="197"/>
    </row>
    <row r="687">
      <c r="A687" s="196"/>
      <c r="B687" s="197"/>
    </row>
    <row r="688">
      <c r="A688" s="196"/>
      <c r="B688" s="197"/>
    </row>
    <row r="689">
      <c r="A689" s="196"/>
      <c r="B689" s="197"/>
    </row>
    <row r="690">
      <c r="A690" s="196"/>
      <c r="B690" s="197"/>
    </row>
    <row r="691">
      <c r="A691" s="196"/>
      <c r="B691" s="197"/>
    </row>
    <row r="692">
      <c r="A692" s="196"/>
      <c r="B692" s="197"/>
    </row>
    <row r="693">
      <c r="A693" s="196"/>
      <c r="B693" s="197"/>
    </row>
    <row r="694">
      <c r="A694" s="196"/>
      <c r="B694" s="197"/>
    </row>
    <row r="695">
      <c r="A695" s="196"/>
      <c r="B695" s="197"/>
    </row>
    <row r="696">
      <c r="A696" s="196"/>
      <c r="B696" s="197"/>
    </row>
    <row r="697">
      <c r="A697" s="196"/>
      <c r="B697" s="197"/>
    </row>
    <row r="698">
      <c r="A698" s="196"/>
      <c r="B698" s="197"/>
    </row>
    <row r="699">
      <c r="A699" s="196"/>
      <c r="B699" s="197"/>
    </row>
    <row r="700">
      <c r="A700" s="196"/>
      <c r="B700" s="197"/>
    </row>
    <row r="701">
      <c r="A701" s="196"/>
      <c r="B701" s="197"/>
    </row>
    <row r="702">
      <c r="A702" s="196"/>
      <c r="B702" s="197"/>
    </row>
    <row r="703">
      <c r="A703" s="196"/>
      <c r="B703" s="197"/>
    </row>
    <row r="704">
      <c r="A704" s="196"/>
      <c r="B704" s="197"/>
    </row>
    <row r="705">
      <c r="A705" s="196"/>
      <c r="B705" s="197"/>
    </row>
    <row r="706">
      <c r="A706" s="196"/>
      <c r="B706" s="197"/>
    </row>
    <row r="707">
      <c r="A707" s="196"/>
      <c r="B707" s="197"/>
    </row>
    <row r="708">
      <c r="A708" s="196"/>
      <c r="B708" s="197"/>
    </row>
    <row r="709">
      <c r="A709" s="196"/>
      <c r="B709" s="197"/>
    </row>
    <row r="710">
      <c r="A710" s="196"/>
      <c r="B710" s="197"/>
    </row>
    <row r="711">
      <c r="A711" s="196"/>
      <c r="B711" s="197"/>
    </row>
    <row r="712">
      <c r="A712" s="196"/>
      <c r="B712" s="197"/>
    </row>
    <row r="713">
      <c r="A713" s="196"/>
      <c r="B713" s="197"/>
    </row>
    <row r="714">
      <c r="A714" s="196"/>
      <c r="B714" s="197"/>
    </row>
    <row r="715">
      <c r="A715" s="196"/>
      <c r="B715" s="197"/>
    </row>
    <row r="716">
      <c r="A716" s="196"/>
      <c r="B716" s="197"/>
    </row>
    <row r="717">
      <c r="A717" s="196"/>
      <c r="B717" s="197"/>
    </row>
    <row r="718">
      <c r="A718" s="196"/>
      <c r="B718" s="197"/>
    </row>
    <row r="719">
      <c r="A719" s="196"/>
      <c r="B719" s="197"/>
    </row>
    <row r="720">
      <c r="A720" s="196"/>
      <c r="B720" s="197"/>
    </row>
    <row r="721">
      <c r="A721" s="196"/>
      <c r="B721" s="197"/>
    </row>
    <row r="722">
      <c r="A722" s="196"/>
      <c r="B722" s="197"/>
    </row>
    <row r="723">
      <c r="A723" s="196"/>
      <c r="B723" s="197"/>
    </row>
    <row r="724">
      <c r="A724" s="196"/>
      <c r="B724" s="197"/>
    </row>
    <row r="725">
      <c r="A725" s="196"/>
      <c r="B725" s="197"/>
    </row>
    <row r="726">
      <c r="A726" s="196"/>
      <c r="B726" s="197"/>
    </row>
    <row r="727">
      <c r="A727" s="196"/>
      <c r="B727" s="197"/>
    </row>
    <row r="728">
      <c r="A728" s="196"/>
      <c r="B728" s="197"/>
    </row>
    <row r="729">
      <c r="A729" s="196"/>
      <c r="B729" s="197"/>
    </row>
    <row r="730">
      <c r="A730" s="196"/>
      <c r="B730" s="197"/>
    </row>
    <row r="731">
      <c r="A731" s="196"/>
      <c r="B731" s="197"/>
    </row>
    <row r="732">
      <c r="A732" s="196"/>
      <c r="B732" s="197"/>
    </row>
    <row r="733">
      <c r="A733" s="196"/>
      <c r="B733" s="197"/>
    </row>
    <row r="734">
      <c r="A734" s="196"/>
      <c r="B734" s="197"/>
    </row>
    <row r="735">
      <c r="A735" s="196"/>
      <c r="B735" s="197"/>
    </row>
    <row r="736">
      <c r="A736" s="196"/>
      <c r="B736" s="197"/>
    </row>
    <row r="737">
      <c r="A737" s="196"/>
      <c r="B737" s="197"/>
    </row>
    <row r="738">
      <c r="A738" s="196"/>
      <c r="B738" s="197"/>
    </row>
    <row r="739">
      <c r="A739" s="196"/>
      <c r="B739" s="197"/>
    </row>
    <row r="740">
      <c r="A740" s="196"/>
      <c r="B740" s="197"/>
    </row>
    <row r="741">
      <c r="A741" s="196"/>
      <c r="B741" s="197"/>
    </row>
    <row r="742">
      <c r="A742" s="196"/>
      <c r="B742" s="197"/>
    </row>
    <row r="743">
      <c r="A743" s="196"/>
      <c r="B743" s="197"/>
    </row>
    <row r="744">
      <c r="A744" s="196"/>
      <c r="B744" s="197"/>
    </row>
    <row r="745">
      <c r="A745" s="196"/>
      <c r="B745" s="197"/>
    </row>
    <row r="746">
      <c r="A746" s="196"/>
      <c r="B746" s="197"/>
    </row>
    <row r="747">
      <c r="A747" s="196"/>
      <c r="B747" s="197"/>
    </row>
    <row r="748">
      <c r="A748" s="196"/>
      <c r="B748" s="197"/>
    </row>
    <row r="749">
      <c r="A749" s="196"/>
      <c r="B749" s="197"/>
    </row>
    <row r="750">
      <c r="A750" s="196"/>
      <c r="B750" s="197"/>
    </row>
    <row r="751">
      <c r="A751" s="196"/>
      <c r="B751" s="197"/>
    </row>
    <row r="752">
      <c r="A752" s="196"/>
      <c r="B752" s="197"/>
    </row>
    <row r="753">
      <c r="A753" s="196"/>
      <c r="B753" s="197"/>
    </row>
    <row r="754">
      <c r="A754" s="196"/>
      <c r="B754" s="197"/>
    </row>
    <row r="755">
      <c r="A755" s="196"/>
      <c r="B755" s="197"/>
    </row>
    <row r="756">
      <c r="A756" s="196"/>
      <c r="B756" s="197"/>
    </row>
    <row r="757">
      <c r="A757" s="196"/>
      <c r="B757" s="197"/>
    </row>
    <row r="758">
      <c r="A758" s="196"/>
      <c r="B758" s="197"/>
    </row>
    <row r="759">
      <c r="A759" s="196"/>
      <c r="B759" s="197"/>
    </row>
    <row r="760">
      <c r="A760" s="196"/>
      <c r="B760" s="197"/>
    </row>
    <row r="761">
      <c r="A761" s="196"/>
      <c r="B761" s="197"/>
    </row>
    <row r="762">
      <c r="A762" s="196"/>
      <c r="B762" s="197"/>
    </row>
    <row r="763">
      <c r="A763" s="196"/>
      <c r="B763" s="197"/>
    </row>
    <row r="764">
      <c r="A764" s="196"/>
      <c r="B764" s="197"/>
    </row>
    <row r="765">
      <c r="A765" s="196"/>
      <c r="B765" s="197"/>
    </row>
    <row r="766">
      <c r="A766" s="196"/>
      <c r="B766" s="197"/>
    </row>
    <row r="767">
      <c r="A767" s="196"/>
      <c r="B767" s="197"/>
    </row>
    <row r="768">
      <c r="A768" s="196"/>
      <c r="B768" s="197"/>
    </row>
    <row r="769">
      <c r="A769" s="196"/>
      <c r="B769" s="197"/>
    </row>
    <row r="770">
      <c r="A770" s="196"/>
      <c r="B770" s="197"/>
    </row>
    <row r="771">
      <c r="A771" s="196"/>
      <c r="B771" s="197"/>
    </row>
    <row r="772">
      <c r="A772" s="196"/>
      <c r="B772" s="197"/>
    </row>
    <row r="773">
      <c r="A773" s="196"/>
      <c r="B773" s="197"/>
    </row>
    <row r="774">
      <c r="A774" s="196"/>
      <c r="B774" s="197"/>
    </row>
    <row r="775">
      <c r="A775" s="196"/>
      <c r="B775" s="197"/>
    </row>
    <row r="776">
      <c r="A776" s="196"/>
      <c r="B776" s="197"/>
    </row>
    <row r="777">
      <c r="A777" s="196"/>
      <c r="B777" s="197"/>
    </row>
    <row r="778">
      <c r="A778" s="196"/>
      <c r="B778" s="197"/>
    </row>
    <row r="779">
      <c r="A779" s="196"/>
      <c r="B779" s="197"/>
    </row>
    <row r="780">
      <c r="A780" s="196"/>
      <c r="B780" s="197"/>
    </row>
    <row r="781">
      <c r="A781" s="196"/>
      <c r="B781" s="197"/>
    </row>
    <row r="782">
      <c r="A782" s="196"/>
      <c r="B782" s="197"/>
    </row>
    <row r="783">
      <c r="A783" s="196"/>
      <c r="B783" s="197"/>
    </row>
    <row r="784">
      <c r="A784" s="196"/>
      <c r="B784" s="197"/>
    </row>
    <row r="785">
      <c r="A785" s="196"/>
      <c r="B785" s="197"/>
    </row>
    <row r="786">
      <c r="A786" s="196"/>
      <c r="B786" s="197"/>
    </row>
    <row r="787">
      <c r="A787" s="196"/>
      <c r="B787" s="197"/>
    </row>
    <row r="788">
      <c r="A788" s="196"/>
      <c r="B788" s="197"/>
    </row>
    <row r="789">
      <c r="A789" s="196"/>
      <c r="B789" s="197"/>
    </row>
    <row r="790">
      <c r="A790" s="196"/>
      <c r="B790" s="197"/>
    </row>
    <row r="791">
      <c r="A791" s="196"/>
      <c r="B791" s="197"/>
    </row>
    <row r="792">
      <c r="A792" s="196"/>
      <c r="B792" s="197"/>
    </row>
    <row r="793">
      <c r="A793" s="196"/>
      <c r="B793" s="197"/>
    </row>
    <row r="794">
      <c r="A794" s="196"/>
      <c r="B794" s="197"/>
    </row>
    <row r="795">
      <c r="A795" s="196"/>
      <c r="B795" s="197"/>
    </row>
    <row r="796">
      <c r="A796" s="196"/>
      <c r="B796" s="197"/>
    </row>
    <row r="797">
      <c r="A797" s="196"/>
      <c r="B797" s="197"/>
    </row>
    <row r="798">
      <c r="A798" s="196"/>
      <c r="B798" s="197"/>
    </row>
    <row r="799">
      <c r="A799" s="196"/>
      <c r="B799" s="197"/>
    </row>
    <row r="800">
      <c r="A800" s="196"/>
      <c r="B800" s="197"/>
    </row>
    <row r="801">
      <c r="A801" s="196"/>
      <c r="B801" s="197"/>
    </row>
    <row r="802">
      <c r="A802" s="196"/>
      <c r="B802" s="197"/>
    </row>
    <row r="803">
      <c r="A803" s="196"/>
      <c r="B803" s="197"/>
    </row>
    <row r="804">
      <c r="A804" s="196"/>
      <c r="B804" s="197"/>
    </row>
    <row r="805">
      <c r="A805" s="196"/>
      <c r="B805" s="197"/>
    </row>
    <row r="806">
      <c r="A806" s="196"/>
      <c r="B806" s="197"/>
    </row>
    <row r="807">
      <c r="A807" s="196"/>
      <c r="B807" s="197"/>
    </row>
    <row r="808">
      <c r="A808" s="196"/>
      <c r="B808" s="197"/>
    </row>
    <row r="809">
      <c r="A809" s="196"/>
      <c r="B809" s="197"/>
    </row>
    <row r="810">
      <c r="A810" s="196"/>
      <c r="B810" s="197"/>
    </row>
    <row r="811">
      <c r="A811" s="196"/>
      <c r="B811" s="197"/>
    </row>
    <row r="812">
      <c r="A812" s="196"/>
      <c r="B812" s="197"/>
    </row>
    <row r="813">
      <c r="A813" s="196"/>
      <c r="B813" s="197"/>
    </row>
    <row r="814">
      <c r="A814" s="196"/>
      <c r="B814" s="197"/>
    </row>
    <row r="815">
      <c r="A815" s="196"/>
      <c r="B815" s="197"/>
    </row>
    <row r="816">
      <c r="A816" s="196"/>
      <c r="B816" s="197"/>
    </row>
    <row r="817">
      <c r="A817" s="196"/>
      <c r="B817" s="197"/>
    </row>
    <row r="818">
      <c r="A818" s="196"/>
      <c r="B818" s="197"/>
    </row>
    <row r="819">
      <c r="A819" s="196"/>
      <c r="B819" s="197"/>
    </row>
    <row r="820">
      <c r="A820" s="196"/>
      <c r="B820" s="197"/>
    </row>
    <row r="821">
      <c r="A821" s="196"/>
      <c r="B821" s="197"/>
    </row>
    <row r="822">
      <c r="A822" s="196"/>
      <c r="B822" s="197"/>
    </row>
    <row r="823">
      <c r="A823" s="196"/>
      <c r="B823" s="197"/>
    </row>
    <row r="824">
      <c r="A824" s="196"/>
      <c r="B824" s="197"/>
    </row>
    <row r="825">
      <c r="A825" s="196"/>
      <c r="B825" s="197"/>
    </row>
    <row r="826">
      <c r="A826" s="196"/>
      <c r="B826" s="197"/>
    </row>
    <row r="827">
      <c r="A827" s="196"/>
      <c r="B827" s="197"/>
    </row>
    <row r="828">
      <c r="A828" s="196"/>
      <c r="B828" s="197"/>
    </row>
    <row r="829">
      <c r="A829" s="196"/>
      <c r="B829" s="197"/>
    </row>
    <row r="830">
      <c r="A830" s="196"/>
      <c r="B830" s="197"/>
    </row>
    <row r="831">
      <c r="A831" s="196"/>
      <c r="B831" s="197"/>
    </row>
    <row r="832">
      <c r="A832" s="196"/>
      <c r="B832" s="197"/>
    </row>
    <row r="833">
      <c r="A833" s="196"/>
      <c r="B833" s="197"/>
    </row>
    <row r="834">
      <c r="A834" s="196"/>
      <c r="B834" s="197"/>
    </row>
    <row r="835">
      <c r="A835" s="196"/>
      <c r="B835" s="197"/>
    </row>
    <row r="836">
      <c r="A836" s="196"/>
      <c r="B836" s="197"/>
    </row>
    <row r="837">
      <c r="A837" s="196"/>
      <c r="B837" s="197"/>
    </row>
    <row r="838">
      <c r="A838" s="196"/>
      <c r="B838" s="197"/>
    </row>
    <row r="839">
      <c r="A839" s="196"/>
      <c r="B839" s="197"/>
    </row>
    <row r="840">
      <c r="A840" s="196"/>
      <c r="B840" s="197"/>
    </row>
    <row r="841">
      <c r="A841" s="196"/>
      <c r="B841" s="197"/>
    </row>
    <row r="842">
      <c r="A842" s="196"/>
      <c r="B842" s="197"/>
    </row>
    <row r="843">
      <c r="A843" s="196"/>
      <c r="B843" s="197"/>
    </row>
    <row r="844">
      <c r="A844" s="196"/>
      <c r="B844" s="197"/>
    </row>
    <row r="845">
      <c r="A845" s="196"/>
      <c r="B845" s="197"/>
    </row>
    <row r="846">
      <c r="A846" s="196"/>
      <c r="B846" s="197"/>
    </row>
    <row r="847">
      <c r="A847" s="196"/>
      <c r="B847" s="197"/>
    </row>
    <row r="848">
      <c r="A848" s="196"/>
      <c r="B848" s="197"/>
    </row>
    <row r="849">
      <c r="A849" s="196"/>
      <c r="B849" s="197"/>
    </row>
    <row r="850">
      <c r="A850" s="196"/>
      <c r="B850" s="197"/>
    </row>
    <row r="851">
      <c r="A851" s="196"/>
      <c r="B851" s="197"/>
    </row>
    <row r="852">
      <c r="A852" s="196"/>
      <c r="B852" s="197"/>
    </row>
    <row r="853">
      <c r="A853" s="196"/>
      <c r="B853" s="197"/>
    </row>
    <row r="854">
      <c r="A854" s="196"/>
      <c r="B854" s="197"/>
    </row>
    <row r="855">
      <c r="A855" s="196"/>
      <c r="B855" s="197"/>
    </row>
    <row r="856">
      <c r="A856" s="196"/>
      <c r="B856" s="197"/>
    </row>
    <row r="857">
      <c r="A857" s="196"/>
      <c r="B857" s="197"/>
    </row>
    <row r="858">
      <c r="A858" s="196"/>
      <c r="B858" s="197"/>
    </row>
    <row r="859">
      <c r="A859" s="196"/>
      <c r="B859" s="197"/>
    </row>
    <row r="860">
      <c r="A860" s="196"/>
      <c r="B860" s="197"/>
    </row>
    <row r="861">
      <c r="A861" s="196"/>
      <c r="B861" s="197"/>
    </row>
    <row r="862">
      <c r="A862" s="196"/>
      <c r="B862" s="197"/>
    </row>
    <row r="863">
      <c r="A863" s="196"/>
      <c r="B863" s="197"/>
    </row>
    <row r="864">
      <c r="A864" s="196"/>
      <c r="B864" s="197"/>
    </row>
    <row r="865">
      <c r="A865" s="196"/>
      <c r="B865" s="197"/>
    </row>
    <row r="866">
      <c r="A866" s="196"/>
      <c r="B866" s="197"/>
    </row>
    <row r="867">
      <c r="A867" s="196"/>
      <c r="B867" s="197"/>
    </row>
    <row r="868">
      <c r="A868" s="196"/>
      <c r="B868" s="197"/>
    </row>
    <row r="869">
      <c r="A869" s="196"/>
      <c r="B869" s="197"/>
    </row>
    <row r="870">
      <c r="A870" s="196"/>
      <c r="B870" s="197"/>
    </row>
    <row r="871">
      <c r="A871" s="196"/>
      <c r="B871" s="197"/>
    </row>
    <row r="872">
      <c r="A872" s="196"/>
      <c r="B872" s="197"/>
    </row>
    <row r="873">
      <c r="A873" s="196"/>
      <c r="B873" s="197"/>
    </row>
    <row r="874">
      <c r="A874" s="196"/>
      <c r="B874" s="197"/>
    </row>
    <row r="875">
      <c r="A875" s="196"/>
      <c r="B875" s="197"/>
    </row>
    <row r="876">
      <c r="A876" s="196"/>
      <c r="B876" s="197"/>
    </row>
    <row r="877">
      <c r="A877" s="196"/>
      <c r="B877" s="197"/>
    </row>
    <row r="878">
      <c r="A878" s="196"/>
      <c r="B878" s="197"/>
    </row>
    <row r="879">
      <c r="A879" s="196"/>
      <c r="B879" s="197"/>
    </row>
    <row r="880">
      <c r="A880" s="196"/>
      <c r="B880" s="197"/>
    </row>
    <row r="881">
      <c r="A881" s="196"/>
      <c r="B881" s="197"/>
    </row>
    <row r="882">
      <c r="A882" s="196"/>
      <c r="B882" s="197"/>
    </row>
    <row r="883">
      <c r="A883" s="196"/>
      <c r="B883" s="197"/>
    </row>
    <row r="884">
      <c r="A884" s="196"/>
      <c r="B884" s="197"/>
    </row>
    <row r="885">
      <c r="A885" s="196"/>
      <c r="B885" s="197"/>
    </row>
    <row r="886">
      <c r="A886" s="196"/>
      <c r="B886" s="197"/>
    </row>
    <row r="887">
      <c r="A887" s="196"/>
      <c r="B887" s="197"/>
    </row>
    <row r="888">
      <c r="A888" s="196"/>
      <c r="B888" s="197"/>
    </row>
    <row r="889">
      <c r="A889" s="196"/>
      <c r="B889" s="197"/>
    </row>
    <row r="890">
      <c r="A890" s="196"/>
      <c r="B890" s="197"/>
    </row>
    <row r="891">
      <c r="A891" s="196"/>
      <c r="B891" s="197"/>
    </row>
    <row r="892">
      <c r="A892" s="196"/>
      <c r="B892" s="197"/>
    </row>
    <row r="893">
      <c r="A893" s="196"/>
      <c r="B893" s="197"/>
    </row>
    <row r="894">
      <c r="A894" s="196"/>
      <c r="B894" s="197"/>
    </row>
    <row r="895">
      <c r="A895" s="196"/>
      <c r="B895" s="197"/>
    </row>
    <row r="896">
      <c r="A896" s="196"/>
      <c r="B896" s="197"/>
    </row>
    <row r="897">
      <c r="A897" s="196"/>
      <c r="B897" s="197"/>
    </row>
    <row r="898">
      <c r="A898" s="196"/>
      <c r="B898" s="197"/>
    </row>
    <row r="899">
      <c r="A899" s="196"/>
      <c r="B899" s="197"/>
    </row>
    <row r="900">
      <c r="A900" s="196"/>
      <c r="B900" s="197"/>
    </row>
    <row r="901">
      <c r="A901" s="196"/>
      <c r="B901" s="197"/>
    </row>
    <row r="902">
      <c r="A902" s="196"/>
      <c r="B902" s="197"/>
    </row>
    <row r="903">
      <c r="A903" s="196"/>
      <c r="B903" s="197"/>
    </row>
    <row r="904">
      <c r="A904" s="196"/>
      <c r="B904" s="197"/>
    </row>
    <row r="905">
      <c r="A905" s="196"/>
      <c r="B905" s="197"/>
    </row>
    <row r="906">
      <c r="A906" s="196"/>
      <c r="B906" s="197"/>
    </row>
    <row r="907">
      <c r="A907" s="196"/>
      <c r="B907" s="197"/>
    </row>
    <row r="908">
      <c r="A908" s="196"/>
      <c r="B908" s="197"/>
    </row>
    <row r="909">
      <c r="A909" s="196"/>
      <c r="B909" s="197"/>
    </row>
    <row r="910">
      <c r="A910" s="196"/>
      <c r="B910" s="197"/>
    </row>
    <row r="911">
      <c r="A911" s="196"/>
      <c r="B911" s="197"/>
    </row>
    <row r="912">
      <c r="A912" s="196"/>
      <c r="B912" s="197"/>
    </row>
    <row r="913">
      <c r="A913" s="196"/>
      <c r="B913" s="197"/>
    </row>
    <row r="914">
      <c r="A914" s="196"/>
      <c r="B914" s="197"/>
    </row>
    <row r="915">
      <c r="A915" s="196"/>
      <c r="B915" s="197"/>
    </row>
    <row r="916">
      <c r="A916" s="196"/>
      <c r="B916" s="197"/>
    </row>
    <row r="917">
      <c r="A917" s="196"/>
      <c r="B917" s="197"/>
    </row>
    <row r="918">
      <c r="A918" s="196"/>
      <c r="B918" s="197"/>
    </row>
    <row r="919">
      <c r="A919" s="196"/>
      <c r="B919" s="197"/>
    </row>
    <row r="920">
      <c r="A920" s="196"/>
      <c r="B920" s="197"/>
    </row>
    <row r="921">
      <c r="A921" s="196"/>
      <c r="B921" s="197"/>
    </row>
    <row r="922">
      <c r="A922" s="196"/>
      <c r="B922" s="197"/>
    </row>
    <row r="923">
      <c r="A923" s="196"/>
      <c r="B923" s="197"/>
    </row>
    <row r="924">
      <c r="A924" s="196"/>
      <c r="B924" s="197"/>
    </row>
    <row r="925">
      <c r="A925" s="196"/>
      <c r="B925" s="197"/>
    </row>
    <row r="926">
      <c r="A926" s="196"/>
      <c r="B926" s="197"/>
    </row>
    <row r="927">
      <c r="A927" s="196"/>
      <c r="B927" s="197"/>
    </row>
    <row r="928">
      <c r="A928" s="196"/>
      <c r="B928" s="197"/>
    </row>
    <row r="929">
      <c r="A929" s="196"/>
      <c r="B929" s="197"/>
    </row>
    <row r="930">
      <c r="A930" s="196"/>
      <c r="B930" s="197"/>
    </row>
    <row r="931">
      <c r="A931" s="196"/>
      <c r="B931" s="197"/>
    </row>
    <row r="932">
      <c r="A932" s="196"/>
      <c r="B932" s="197"/>
    </row>
    <row r="933">
      <c r="A933" s="196"/>
      <c r="B933" s="197"/>
    </row>
    <row r="934">
      <c r="A934" s="196"/>
      <c r="B934" s="197"/>
    </row>
    <row r="935">
      <c r="A935" s="196"/>
      <c r="B935" s="197"/>
    </row>
    <row r="936">
      <c r="A936" s="196"/>
      <c r="B936" s="197"/>
    </row>
    <row r="937">
      <c r="A937" s="196"/>
      <c r="B937" s="197"/>
    </row>
    <row r="938">
      <c r="A938" s="196"/>
      <c r="B938" s="197"/>
    </row>
    <row r="939">
      <c r="A939" s="196"/>
      <c r="B939" s="197"/>
    </row>
    <row r="940">
      <c r="A940" s="196"/>
      <c r="B940" s="197"/>
    </row>
    <row r="941">
      <c r="A941" s="196"/>
      <c r="B941" s="197"/>
    </row>
    <row r="942">
      <c r="A942" s="196"/>
      <c r="B942" s="197"/>
    </row>
    <row r="943">
      <c r="A943" s="196"/>
      <c r="B943" s="197"/>
    </row>
    <row r="944">
      <c r="A944" s="196"/>
      <c r="B944" s="197"/>
    </row>
    <row r="945">
      <c r="A945" s="196"/>
      <c r="B945" s="197"/>
    </row>
    <row r="946">
      <c r="A946" s="196"/>
      <c r="B946" s="197"/>
    </row>
    <row r="947">
      <c r="A947" s="196"/>
      <c r="B947" s="197"/>
    </row>
    <row r="948">
      <c r="A948" s="196"/>
      <c r="B948" s="197"/>
    </row>
    <row r="949">
      <c r="A949" s="196"/>
      <c r="B949" s="197"/>
    </row>
    <row r="950">
      <c r="A950" s="196"/>
      <c r="B950" s="197"/>
    </row>
    <row r="951">
      <c r="A951" s="196"/>
      <c r="B951" s="197"/>
    </row>
    <row r="952">
      <c r="A952" s="196"/>
      <c r="B952" s="197"/>
    </row>
    <row r="953">
      <c r="A953" s="196"/>
      <c r="B953" s="197"/>
    </row>
    <row r="954">
      <c r="A954" s="196"/>
      <c r="B954" s="197"/>
    </row>
    <row r="955">
      <c r="A955" s="196"/>
      <c r="B955" s="197"/>
    </row>
    <row r="956">
      <c r="A956" s="196"/>
      <c r="B956" s="197"/>
    </row>
    <row r="957">
      <c r="A957" s="196"/>
      <c r="B957" s="197"/>
    </row>
    <row r="958">
      <c r="A958" s="196"/>
      <c r="B958" s="197"/>
    </row>
    <row r="959">
      <c r="A959" s="196"/>
      <c r="B959" s="197"/>
    </row>
    <row r="960">
      <c r="A960" s="196"/>
      <c r="B960" s="197"/>
    </row>
    <row r="961">
      <c r="A961" s="196"/>
      <c r="B961" s="197"/>
    </row>
    <row r="962">
      <c r="A962" s="196"/>
      <c r="B962" s="197"/>
    </row>
    <row r="963">
      <c r="A963" s="196"/>
      <c r="B963" s="197"/>
    </row>
    <row r="964">
      <c r="A964" s="196"/>
      <c r="B964" s="197"/>
    </row>
    <row r="965">
      <c r="A965" s="196"/>
      <c r="B965" s="197"/>
    </row>
    <row r="966">
      <c r="A966" s="196"/>
      <c r="B966" s="197"/>
    </row>
    <row r="967">
      <c r="A967" s="196"/>
      <c r="B967" s="197"/>
    </row>
    <row r="968">
      <c r="A968" s="196"/>
      <c r="B968" s="197"/>
    </row>
    <row r="969">
      <c r="A969" s="196"/>
      <c r="B969" s="197"/>
    </row>
    <row r="970">
      <c r="A970" s="196"/>
      <c r="B970" s="197"/>
    </row>
    <row r="971">
      <c r="A971" s="196"/>
      <c r="B971" s="197"/>
    </row>
    <row r="972">
      <c r="A972" s="196"/>
      <c r="B972" s="197"/>
    </row>
    <row r="973">
      <c r="A973" s="196"/>
      <c r="B973" s="197"/>
    </row>
    <row r="974">
      <c r="A974" s="196"/>
      <c r="B974" s="197"/>
    </row>
    <row r="975">
      <c r="A975" s="196"/>
      <c r="B975" s="197"/>
    </row>
    <row r="976">
      <c r="A976" s="196"/>
      <c r="B976" s="197"/>
    </row>
    <row r="977">
      <c r="A977" s="196"/>
      <c r="B977" s="197"/>
    </row>
    <row r="978">
      <c r="A978" s="196"/>
      <c r="B978" s="197"/>
    </row>
    <row r="979">
      <c r="A979" s="196"/>
      <c r="B979" s="197"/>
    </row>
    <row r="980">
      <c r="A980" s="196"/>
      <c r="B980" s="197"/>
    </row>
    <row r="981">
      <c r="A981" s="196"/>
      <c r="B981" s="197"/>
    </row>
    <row r="982">
      <c r="A982" s="196"/>
      <c r="B982" s="197"/>
    </row>
    <row r="983">
      <c r="A983" s="196"/>
      <c r="B983" s="197"/>
    </row>
    <row r="984">
      <c r="A984" s="196"/>
      <c r="B984" s="197"/>
    </row>
    <row r="985">
      <c r="A985" s="196"/>
      <c r="B985" s="197"/>
    </row>
    <row r="986">
      <c r="A986" s="196"/>
      <c r="B986" s="197"/>
    </row>
    <row r="987">
      <c r="A987" s="196"/>
      <c r="B987" s="197"/>
    </row>
    <row r="988">
      <c r="A988" s="196"/>
      <c r="B988" s="197"/>
    </row>
    <row r="989">
      <c r="A989" s="196"/>
      <c r="B989" s="197"/>
    </row>
    <row r="990">
      <c r="A990" s="196"/>
      <c r="B990" s="197"/>
    </row>
    <row r="991">
      <c r="A991" s="196"/>
      <c r="B991" s="197"/>
    </row>
    <row r="992">
      <c r="A992" s="196"/>
      <c r="B992" s="197"/>
    </row>
    <row r="993">
      <c r="A993" s="196"/>
      <c r="B993" s="197"/>
    </row>
    <row r="994">
      <c r="A994" s="196"/>
      <c r="B994" s="197"/>
    </row>
    <row r="995">
      <c r="A995" s="196"/>
      <c r="B995" s="197"/>
    </row>
    <row r="996">
      <c r="A996" s="196"/>
      <c r="B996" s="197"/>
    </row>
    <row r="997">
      <c r="A997" s="196"/>
      <c r="B997" s="197"/>
    </row>
    <row r="998">
      <c r="A998" s="196"/>
      <c r="B998" s="197"/>
    </row>
    <row r="999">
      <c r="A999" s="196"/>
      <c r="B999" s="197"/>
    </row>
  </sheetData>
  <mergeCells count="1">
    <mergeCell ref="A5:Z5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tr">
        <f>IFERROR(__xludf.DUMMYFUNCTION("IMPORTRANGE(""https://docs.google.com/spreadsheets/d/1ID3qu1P4Zey82OSLntg4O0xoZlY1hGK58tte0D_Cv_s/edit?pli=1&amp;gid=1960074888#gid=1960074888"", ""DgMobs!A1:L100"")"),"Pokemon")</f>
        <v>Pokemon</v>
      </c>
      <c r="B1" s="62" t="str">
        <f>IFERROR(__xludf.DUMMYFUNCTION("""COMPUTED_VALUE"""),"Jogadores")</f>
        <v>Jogadores</v>
      </c>
      <c r="C1" s="62" t="str">
        <f>IFERROR(__xludf.DUMMYFUNCTION("""COMPUTED_VALUE"""),"Mobs")</f>
        <v>Mobs</v>
      </c>
      <c r="D1" s="62" t="str">
        <f>IFERROR(__xludf.DUMMYFUNCTION("""COMPUTED_VALUE"""),"Xp")</f>
        <v>Xp</v>
      </c>
      <c r="E1" s="62" t="str">
        <f>IFERROR(__xludf.DUMMYFUNCTION("""COMPUTED_VALUE"""),"Tempo")</f>
        <v>Tempo</v>
      </c>
      <c r="F1" s="62"/>
      <c r="G1" s="62"/>
      <c r="H1" s="62"/>
      <c r="I1" s="62"/>
      <c r="J1" s="62"/>
      <c r="K1" s="62" t="str">
        <f>IFERROR(__xludf.DUMMYFUNCTION("""COMPUTED_VALUE"""),"Xp/h")</f>
        <v>Xp/h</v>
      </c>
    </row>
    <row r="2">
      <c r="A2" s="62" t="str">
        <f>IFERROR(__xludf.DUMMYFUNCTION("""COMPUTED_VALUE"""),"Abra")</f>
        <v>Abra</v>
      </c>
      <c r="B2" s="62">
        <f>IFERROR(__xludf.DUMMYFUNCTION("""COMPUTED_VALUE"""),1.0)</f>
        <v>1</v>
      </c>
      <c r="C2" s="62">
        <f>IFERROR(__xludf.DUMMYFUNCTION("""COMPUTED_VALUE"""),43.0)</f>
        <v>43</v>
      </c>
      <c r="D2" s="62">
        <f>IFERROR(__xludf.DUMMYFUNCTION("""COMPUTED_VALUE"""),50000.0)</f>
        <v>50000</v>
      </c>
      <c r="E2" s="198">
        <f>IFERROR(__xludf.DUMMYFUNCTION("""COMPUTED_VALUE"""),0.06597222222222222)</f>
        <v>0.06597222222</v>
      </c>
      <c r="F2" s="62" t="str">
        <f>IFERROR(__xludf.DUMMYFUNCTION("""COMPUTED_VALUE"""),"Abra")</f>
        <v>Abra</v>
      </c>
      <c r="G2" s="62" t="str">
        <f>IFERROR(__xludf.DUMMYFUNCTION("""COMPUTED_VALUE"""),"Drowzee")</f>
        <v>Drowzee</v>
      </c>
      <c r="H2" s="62"/>
      <c r="I2" s="62"/>
      <c r="J2" s="62"/>
      <c r="K2" s="199">
        <f>IFERROR(__xludf.DUMMYFUNCTION("""COMPUTED_VALUE"""),1894737.0)</f>
        <v>1894737</v>
      </c>
    </row>
    <row r="3">
      <c r="A3" s="62" t="str">
        <f>IFERROR(__xludf.DUMMYFUNCTION("""COMPUTED_VALUE"""),"Alakazam")</f>
        <v>Alakazam</v>
      </c>
      <c r="B3" s="62">
        <f>IFERROR(__xludf.DUMMYFUNCTION("""COMPUTED_VALUE"""),1.0)</f>
        <v>1</v>
      </c>
      <c r="C3" s="62">
        <f>IFERROR(__xludf.DUMMYFUNCTION("""COMPUTED_VALUE"""),43.0)</f>
        <v>43</v>
      </c>
      <c r="D3" s="62">
        <f>IFERROR(__xludf.DUMMYFUNCTION("""COMPUTED_VALUE"""),150000.0)</f>
        <v>150000</v>
      </c>
      <c r="E3" s="198">
        <f>IFERROR(__xludf.DUMMYFUNCTION("""COMPUTED_VALUE"""),0.08680555555555555)</f>
        <v>0.08680555556</v>
      </c>
      <c r="F3" s="62" t="str">
        <f>IFERROR(__xludf.DUMMYFUNCTION("""COMPUTED_VALUE"""),"Alakazam")</f>
        <v>Alakazam</v>
      </c>
      <c r="G3" s="62" t="str">
        <f>IFERROR(__xludf.DUMMYFUNCTION("""COMPUTED_VALUE"""),"Wobbuffet")</f>
        <v>Wobbuffet</v>
      </c>
      <c r="H3" s="62"/>
      <c r="I3" s="62"/>
      <c r="J3" s="62"/>
      <c r="K3" s="199">
        <f>IFERROR(__xludf.DUMMYFUNCTION("""COMPUTED_VALUE"""),4320000.0)</f>
        <v>4320000</v>
      </c>
    </row>
    <row r="4">
      <c r="A4" s="62" t="str">
        <f>IFERROR(__xludf.DUMMYFUNCTION("""COMPUTED_VALUE"""),"Ampharos")</f>
        <v>Ampharos</v>
      </c>
      <c r="B4" s="62">
        <f>IFERROR(__xludf.DUMMYFUNCTION("""COMPUTED_VALUE"""),1.0)</f>
        <v>1</v>
      </c>
      <c r="C4" s="62">
        <f>IFERROR(__xludf.DUMMYFUNCTION("""COMPUTED_VALUE"""),51.0)</f>
        <v>51</v>
      </c>
      <c r="D4" s="62">
        <f>IFERROR(__xludf.DUMMYFUNCTION("""COMPUTED_VALUE"""),150000.0)</f>
        <v>150000</v>
      </c>
      <c r="E4" s="198">
        <f>IFERROR(__xludf.DUMMYFUNCTION("""COMPUTED_VALUE"""),0.0798611111111111)</f>
        <v>0.07986111111</v>
      </c>
      <c r="F4" s="62" t="str">
        <f>IFERROR(__xludf.DUMMYFUNCTION("""COMPUTED_VALUE"""),"Ampharos")</f>
        <v>Ampharos</v>
      </c>
      <c r="G4" s="62" t="str">
        <f>IFERROR(__xludf.DUMMYFUNCTION("""COMPUTED_VALUE"""),"Electabuzz")</f>
        <v>Electabuzz</v>
      </c>
      <c r="H4" s="62" t="str">
        <f>IFERROR(__xludf.DUMMYFUNCTION("""COMPUTED_VALUE"""),"Raichu")</f>
        <v>Raichu</v>
      </c>
      <c r="I4" s="62"/>
      <c r="J4" s="62"/>
      <c r="K4" s="199">
        <f>IFERROR(__xludf.DUMMYFUNCTION("""COMPUTED_VALUE"""),4695652.0)</f>
        <v>4695652</v>
      </c>
    </row>
    <row r="5">
      <c r="A5" s="62" t="str">
        <f>IFERROR(__xludf.DUMMYFUNCTION("""COMPUTED_VALUE"""),"Bayleef")</f>
        <v>Bayleef</v>
      </c>
      <c r="B5" s="62">
        <f>IFERROR(__xludf.DUMMYFUNCTION("""COMPUTED_VALUE"""),1.0)</f>
        <v>1</v>
      </c>
      <c r="C5" s="62">
        <f>IFERROR(__xludf.DUMMYFUNCTION("""COMPUTED_VALUE"""),56.0)</f>
        <v>56</v>
      </c>
      <c r="D5" s="62">
        <f>IFERROR(__xludf.DUMMYFUNCTION("""COMPUTED_VALUE"""),100000.0)</f>
        <v>100000</v>
      </c>
      <c r="E5" s="198">
        <f>IFERROR(__xludf.DUMMYFUNCTION("""COMPUTED_VALUE"""),0.10416666666666667)</f>
        <v>0.1041666667</v>
      </c>
      <c r="F5" s="62" t="str">
        <f>IFERROR(__xludf.DUMMYFUNCTION("""COMPUTED_VALUE"""),"Bayleef")</f>
        <v>Bayleef</v>
      </c>
      <c r="G5" s="62" t="str">
        <f>IFERROR(__xludf.DUMMYFUNCTION("""COMPUTED_VALUE"""),"Ivysaur")</f>
        <v>Ivysaur</v>
      </c>
      <c r="H5" s="62"/>
      <c r="I5" s="62"/>
      <c r="J5" s="62"/>
      <c r="K5" s="199">
        <f>IFERROR(__xludf.DUMMYFUNCTION("""COMPUTED_VALUE"""),2400000.0)</f>
        <v>2400000</v>
      </c>
    </row>
    <row r="6">
      <c r="A6" s="62" t="str">
        <f>IFERROR(__xludf.DUMMYFUNCTION("""COMPUTED_VALUE"""),"Chicorita")</f>
        <v>Chicorita</v>
      </c>
      <c r="B6" s="62">
        <f>IFERROR(__xludf.DUMMYFUNCTION("""COMPUTED_VALUE"""),1.0)</f>
        <v>1</v>
      </c>
      <c r="C6" s="62">
        <f>IFERROR(__xludf.DUMMYFUNCTION("""COMPUTED_VALUE"""),56.0)</f>
        <v>56</v>
      </c>
      <c r="D6" s="62">
        <f>IFERROR(__xludf.DUMMYFUNCTION("""COMPUTED_VALUE"""),50000.0)</f>
        <v>50000</v>
      </c>
      <c r="E6" s="198">
        <f>IFERROR(__xludf.DUMMYFUNCTION("""COMPUTED_VALUE"""),0.09375)</f>
        <v>0.09375</v>
      </c>
      <c r="F6" s="62" t="str">
        <f>IFERROR(__xludf.DUMMYFUNCTION("""COMPUTED_VALUE"""),"Bulbasaur")</f>
        <v>Bulbasaur</v>
      </c>
      <c r="G6" s="62" t="str">
        <f>IFERROR(__xludf.DUMMYFUNCTION("""COMPUTED_VALUE"""),"Chicorita")</f>
        <v>Chicorita</v>
      </c>
      <c r="H6" s="62" t="str">
        <f>IFERROR(__xludf.DUMMYFUNCTION("""COMPUTED_VALUE"""),"Exeggcute")</f>
        <v>Exeggcute</v>
      </c>
      <c r="I6" s="62"/>
      <c r="J6" s="62"/>
      <c r="K6" s="199">
        <f>IFERROR(__xludf.DUMMYFUNCTION("""COMPUTED_VALUE"""),1333333.0)</f>
        <v>1333333</v>
      </c>
    </row>
    <row r="7">
      <c r="A7" s="62" t="str">
        <f>IFERROR(__xludf.DUMMYFUNCTION("""COMPUTED_VALUE"""),"Croconaw")</f>
        <v>Croconaw</v>
      </c>
      <c r="B7" s="62">
        <f>IFERROR(__xludf.DUMMYFUNCTION("""COMPUTED_VALUE"""),1.0)</f>
        <v>1</v>
      </c>
      <c r="C7" s="62">
        <f>IFERROR(__xludf.DUMMYFUNCTION("""COMPUTED_VALUE"""),66.0)</f>
        <v>66</v>
      </c>
      <c r="D7" s="62">
        <f>IFERROR(__xludf.DUMMYFUNCTION("""COMPUTED_VALUE"""),100000.0)</f>
        <v>100000</v>
      </c>
      <c r="E7" s="198">
        <f>IFERROR(__xludf.DUMMYFUNCTION("""COMPUTED_VALUE"""),0.11458333333333333)</f>
        <v>0.1145833333</v>
      </c>
      <c r="F7" s="62" t="str">
        <f>IFERROR(__xludf.DUMMYFUNCTION("""COMPUTED_VALUE"""),"Croconaw")</f>
        <v>Croconaw</v>
      </c>
      <c r="G7" s="62" t="str">
        <f>IFERROR(__xludf.DUMMYFUNCTION("""COMPUTED_VALUE"""),"Vaporeon")</f>
        <v>Vaporeon</v>
      </c>
      <c r="H7" s="62" t="str">
        <f>IFERROR(__xludf.DUMMYFUNCTION("""COMPUTED_VALUE"""),"Wartortle")</f>
        <v>Wartortle</v>
      </c>
      <c r="I7" s="62"/>
      <c r="J7" s="62"/>
      <c r="K7" s="199">
        <f>IFERROR(__xludf.DUMMYFUNCTION("""COMPUTED_VALUE"""),2181818.0)</f>
        <v>2181818</v>
      </c>
    </row>
    <row r="8">
      <c r="A8" s="62" t="str">
        <f>IFERROR(__xludf.DUMMYFUNCTION("""COMPUTED_VALUE"""),"Cubone")</f>
        <v>Cubone</v>
      </c>
      <c r="B8" s="62">
        <f>IFERROR(__xludf.DUMMYFUNCTION("""COMPUTED_VALUE"""),1.0)</f>
        <v>1</v>
      </c>
      <c r="C8" s="62">
        <f>IFERROR(__xludf.DUMMYFUNCTION("""COMPUTED_VALUE"""),50.0)</f>
        <v>50</v>
      </c>
      <c r="D8" s="62">
        <f>IFERROR(__xludf.DUMMYFUNCTION("""COMPUTED_VALUE"""),50000.0)</f>
        <v>50000</v>
      </c>
      <c r="E8" s="62"/>
      <c r="F8" s="62" t="str">
        <f>IFERROR(__xludf.DUMMYFUNCTION("""COMPUTED_VALUE"""),"Cubone")</f>
        <v>Cubone</v>
      </c>
      <c r="G8" s="62" t="str">
        <f>IFERROR(__xludf.DUMMYFUNCTION("""COMPUTED_VALUE"""),"Phanpy")</f>
        <v>Phanpy</v>
      </c>
      <c r="H8" s="62" t="str">
        <f>IFERROR(__xludf.DUMMYFUNCTION("""COMPUTED_VALUE"""),"Sandshrew")</f>
        <v>Sandshrew</v>
      </c>
      <c r="I8" s="62"/>
      <c r="J8" s="62"/>
      <c r="K8" s="199" t="str">
        <f>IFERROR(__xludf.DUMMYFUNCTION("""COMPUTED_VALUE"""),"")</f>
        <v/>
      </c>
    </row>
    <row r="9">
      <c r="A9" s="62" t="str">
        <f>IFERROR(__xludf.DUMMYFUNCTION("""COMPUTED_VALUE"""),"Cyndaquil")</f>
        <v>Cyndaquil</v>
      </c>
      <c r="B9" s="62">
        <f>IFERROR(__xludf.DUMMYFUNCTION("""COMPUTED_VALUE"""),1.0)</f>
        <v>1</v>
      </c>
      <c r="C9" s="62">
        <f>IFERROR(__xludf.DUMMYFUNCTION("""COMPUTED_VALUE"""),50.0)</f>
        <v>50</v>
      </c>
      <c r="D9" s="62">
        <f>IFERROR(__xludf.DUMMYFUNCTION("""COMPUTED_VALUE"""),50000.0)</f>
        <v>50000</v>
      </c>
      <c r="E9" s="198">
        <f>IFERROR(__xludf.DUMMYFUNCTION("""COMPUTED_VALUE"""),0.08333333333333333)</f>
        <v>0.08333333333</v>
      </c>
      <c r="F9" s="62" t="str">
        <f>IFERROR(__xludf.DUMMYFUNCTION("""COMPUTED_VALUE"""),"Charmander")</f>
        <v>Charmander</v>
      </c>
      <c r="G9" s="62" t="str">
        <f>IFERROR(__xludf.DUMMYFUNCTION("""COMPUTED_VALUE"""),"Cyndaquil")</f>
        <v>Cyndaquil</v>
      </c>
      <c r="H9" s="62" t="str">
        <f>IFERROR(__xludf.DUMMYFUNCTION("""COMPUTED_VALUE"""),"Growlithe")</f>
        <v>Growlithe</v>
      </c>
      <c r="I9" s="62"/>
      <c r="J9" s="62"/>
      <c r="K9" s="199">
        <f>IFERROR(__xludf.DUMMYFUNCTION("""COMPUTED_VALUE"""),1500000.0)</f>
        <v>1500000</v>
      </c>
    </row>
    <row r="10">
      <c r="A10" s="62" t="str">
        <f>IFERROR(__xludf.DUMMYFUNCTION("""COMPUTED_VALUE"""),"Deino")</f>
        <v>Deino</v>
      </c>
      <c r="B10" s="62">
        <f>IFERROR(__xludf.DUMMYFUNCTION("""COMPUTED_VALUE"""),1.0)</f>
        <v>1</v>
      </c>
      <c r="C10" s="62"/>
      <c r="D10" s="62"/>
      <c r="E10" s="62"/>
      <c r="F10" s="62" t="str">
        <f>IFERROR(__xludf.DUMMYFUNCTION("""COMPUTED_VALUE"""),"Deino")</f>
        <v>Deino</v>
      </c>
      <c r="G10" s="62" t="str">
        <f>IFERROR(__xludf.DUMMYFUNCTION("""COMPUTED_VALUE"""),"Houndour")</f>
        <v>Houndour</v>
      </c>
      <c r="H10" s="62"/>
      <c r="I10" s="62"/>
      <c r="J10" s="62"/>
      <c r="K10" s="62"/>
    </row>
    <row r="11">
      <c r="A11" s="62" t="str">
        <f>IFERROR(__xludf.DUMMYFUNCTION("""COMPUTED_VALUE"""),"Dragonair")</f>
        <v>Dragonair</v>
      </c>
      <c r="B11" s="62">
        <f>IFERROR(__xludf.DUMMYFUNCTION("""COMPUTED_VALUE"""),1.0)</f>
        <v>1</v>
      </c>
      <c r="C11" s="62">
        <f>IFERROR(__xludf.DUMMYFUNCTION("""COMPUTED_VALUE"""),43.0)</f>
        <v>43</v>
      </c>
      <c r="D11" s="62">
        <f>IFERROR(__xludf.DUMMYFUNCTION("""COMPUTED_VALUE"""),100000.0)</f>
        <v>100000</v>
      </c>
      <c r="E11" s="198">
        <f>IFERROR(__xludf.DUMMYFUNCTION("""COMPUTED_VALUE"""),0.08333333333333333)</f>
        <v>0.08333333333</v>
      </c>
      <c r="F11" s="62" t="str">
        <f>IFERROR(__xludf.DUMMYFUNCTION("""COMPUTED_VALUE"""),"Dragonair")</f>
        <v>Dragonair</v>
      </c>
      <c r="G11" s="62"/>
      <c r="H11" s="62"/>
      <c r="I11" s="62"/>
      <c r="J11" s="62"/>
      <c r="K11" s="199">
        <f>IFERROR(__xludf.DUMMYFUNCTION("""COMPUTED_VALUE"""),3000000.0)</f>
        <v>3000000</v>
      </c>
    </row>
    <row r="12">
      <c r="A12" s="62" t="str">
        <f>IFERROR(__xludf.DUMMYFUNCTION("""COMPUTED_VALUE"""),"Dragonite")</f>
        <v>Dragonite</v>
      </c>
      <c r="B12" s="62">
        <f>IFERROR(__xludf.DUMMYFUNCTION("""COMPUTED_VALUE"""),1.0)</f>
        <v>1</v>
      </c>
      <c r="C12" s="62">
        <f>IFERROR(__xludf.DUMMYFUNCTION("""COMPUTED_VALUE"""),40.0)</f>
        <v>40</v>
      </c>
      <c r="D12" s="62">
        <f>IFERROR(__xludf.DUMMYFUNCTION("""COMPUTED_VALUE"""),150000.0)</f>
        <v>150000</v>
      </c>
      <c r="E12" s="198">
        <f>IFERROR(__xludf.DUMMYFUNCTION("""COMPUTED_VALUE"""),0.08333333333333333)</f>
        <v>0.08333333333</v>
      </c>
      <c r="F12" s="62" t="str">
        <f>IFERROR(__xludf.DUMMYFUNCTION("""COMPUTED_VALUE"""),"Dragonite")</f>
        <v>Dragonite</v>
      </c>
      <c r="G12" s="62" t="str">
        <f>IFERROR(__xludf.DUMMYFUNCTION("""COMPUTED_VALUE"""),"Kingdra")</f>
        <v>Kingdra</v>
      </c>
      <c r="H12" s="62"/>
      <c r="I12" s="62"/>
      <c r="J12" s="62"/>
      <c r="K12" s="199">
        <f>IFERROR(__xludf.DUMMYFUNCTION("""COMPUTED_VALUE"""),4500000.0)</f>
        <v>4500000</v>
      </c>
    </row>
    <row r="13">
      <c r="A13" s="62" t="str">
        <f>IFERROR(__xludf.DUMMYFUNCTION("""COMPUTED_VALUE"""),"Dratini")</f>
        <v>Dratini</v>
      </c>
      <c r="B13" s="62">
        <f>IFERROR(__xludf.DUMMYFUNCTION("""COMPUTED_VALUE"""),1.0)</f>
        <v>1</v>
      </c>
      <c r="C13" s="62">
        <f>IFERROR(__xludf.DUMMYFUNCTION("""COMPUTED_VALUE"""),43.0)</f>
        <v>43</v>
      </c>
      <c r="D13" s="62">
        <f>IFERROR(__xludf.DUMMYFUNCTION("""COMPUTED_VALUE"""),50000.0)</f>
        <v>50000</v>
      </c>
      <c r="E13" s="62"/>
      <c r="F13" s="62" t="str">
        <f>IFERROR(__xludf.DUMMYFUNCTION("""COMPUTED_VALUE"""),"Dratini")</f>
        <v>Dratini</v>
      </c>
      <c r="G13" s="62"/>
      <c r="H13" s="62"/>
      <c r="I13" s="62"/>
      <c r="J13" s="62"/>
      <c r="K13" s="199" t="str">
        <f>IFERROR(__xludf.DUMMYFUNCTION("""COMPUTED_VALUE"""),"")</f>
        <v/>
      </c>
    </row>
    <row r="14">
      <c r="A14" s="62" t="str">
        <f>IFERROR(__xludf.DUMMYFUNCTION("""COMPUTED_VALUE"""),"Feraligatr")</f>
        <v>Feraligatr</v>
      </c>
      <c r="B14" s="62">
        <f>IFERROR(__xludf.DUMMYFUNCTION("""COMPUTED_VALUE"""),1.0)</f>
        <v>1</v>
      </c>
      <c r="C14" s="62">
        <f>IFERROR(__xludf.DUMMYFUNCTION("""COMPUTED_VALUE"""),67.0)</f>
        <v>67</v>
      </c>
      <c r="D14" s="62">
        <f>IFERROR(__xludf.DUMMYFUNCTION("""COMPUTED_VALUE"""),150000.0)</f>
        <v>150000</v>
      </c>
      <c r="E14" s="198">
        <f>IFERROR(__xludf.DUMMYFUNCTION("""COMPUTED_VALUE"""),0.16666666666666666)</f>
        <v>0.1666666667</v>
      </c>
      <c r="F14" s="62" t="str">
        <f>IFERROR(__xludf.DUMMYFUNCTION("""COMPUTED_VALUE"""),"Azumarill")</f>
        <v>Azumarill</v>
      </c>
      <c r="G14" s="62" t="str">
        <f>IFERROR(__xludf.DUMMYFUNCTION("""COMPUTED_VALUE"""),"Blastoise")</f>
        <v>Blastoise</v>
      </c>
      <c r="H14" s="62" t="str">
        <f>IFERROR(__xludf.DUMMYFUNCTION("""COMPUTED_VALUE"""),"Feraligatr")</f>
        <v>Feraligatr</v>
      </c>
      <c r="I14" s="62" t="str">
        <f>IFERROR(__xludf.DUMMYFUNCTION("""COMPUTED_VALUE"""),"Vaporeon")</f>
        <v>Vaporeon</v>
      </c>
      <c r="J14" s="62"/>
      <c r="K14" s="199">
        <f>IFERROR(__xludf.DUMMYFUNCTION("""COMPUTED_VALUE"""),2250000.0)</f>
        <v>2250000</v>
      </c>
    </row>
    <row r="15">
      <c r="A15" s="62" t="str">
        <f>IFERROR(__xludf.DUMMYFUNCTION("""COMPUTED_VALUE"""),"Flaaffy")</f>
        <v>Flaaffy</v>
      </c>
      <c r="B15" s="62">
        <f>IFERROR(__xludf.DUMMYFUNCTION("""COMPUTED_VALUE"""),1.0)</f>
        <v>1</v>
      </c>
      <c r="C15" s="62">
        <f>IFERROR(__xludf.DUMMYFUNCTION("""COMPUTED_VALUE"""),51.0)</f>
        <v>51</v>
      </c>
      <c r="D15" s="62">
        <f>IFERROR(__xludf.DUMMYFUNCTION("""COMPUTED_VALUE"""),100000.0)</f>
        <v>100000</v>
      </c>
      <c r="E15" s="198">
        <f>IFERROR(__xludf.DUMMYFUNCTION("""COMPUTED_VALUE"""),0.07291666666666667)</f>
        <v>0.07291666667</v>
      </c>
      <c r="F15" s="62" t="str">
        <f>IFERROR(__xludf.DUMMYFUNCTION("""COMPUTED_VALUE"""),"Electrode")</f>
        <v>Electrode</v>
      </c>
      <c r="G15" s="62" t="str">
        <f>IFERROR(__xludf.DUMMYFUNCTION("""COMPUTED_VALUE"""),"Flaaffy")</f>
        <v>Flaaffy</v>
      </c>
      <c r="H15" s="62" t="str">
        <f>IFERROR(__xludf.DUMMYFUNCTION("""COMPUTED_VALUE"""),"Jolteon")</f>
        <v>Jolteon</v>
      </c>
      <c r="I15" s="62"/>
      <c r="J15" s="62"/>
      <c r="K15" s="199">
        <f>IFERROR(__xludf.DUMMYFUNCTION("""COMPUTED_VALUE"""),3428571.0)</f>
        <v>3428571</v>
      </c>
    </row>
    <row r="16">
      <c r="A16" s="62" t="str">
        <f>IFERROR(__xludf.DUMMYFUNCTION("""COMPUTED_VALUE"""),"Flabébé")</f>
        <v>Flabébé</v>
      </c>
      <c r="B16" s="62">
        <f>IFERROR(__xludf.DUMMYFUNCTION("""COMPUTED_VALUE"""),1.0)</f>
        <v>1</v>
      </c>
      <c r="C16" s="62">
        <f>IFERROR(__xludf.DUMMYFUNCTION("""COMPUTED_VALUE"""),94.0)</f>
        <v>94</v>
      </c>
      <c r="D16" s="62">
        <f>IFERROR(__xludf.DUMMYFUNCTION("""COMPUTED_VALUE"""),50000.0)</f>
        <v>50000</v>
      </c>
      <c r="E16" s="62"/>
      <c r="F16" s="62" t="str">
        <f>IFERROR(__xludf.DUMMYFUNCTION("""COMPUTED_VALUE"""),"Cleffa")</f>
        <v>Cleffa</v>
      </c>
      <c r="G16" s="62" t="str">
        <f>IFERROR(__xludf.DUMMYFUNCTION("""COMPUTED_VALUE"""),"Flabébé")</f>
        <v>Flabébé</v>
      </c>
      <c r="H16" s="62" t="str">
        <f>IFERROR(__xludf.DUMMYFUNCTION("""COMPUTED_VALUE"""),"Igglybuff")</f>
        <v>Igglybuff</v>
      </c>
      <c r="I16" s="62"/>
      <c r="J16" s="62"/>
      <c r="K16" s="62"/>
    </row>
    <row r="17">
      <c r="A17" s="62" t="str">
        <f>IFERROR(__xludf.DUMMYFUNCTION("""COMPUTED_VALUE"""),"Floette")</f>
        <v>Floette</v>
      </c>
      <c r="B17" s="62">
        <f>IFERROR(__xludf.DUMMYFUNCTION("""COMPUTED_VALUE"""),1.0)</f>
        <v>1</v>
      </c>
      <c r="C17" s="62">
        <f>IFERROR(__xludf.DUMMYFUNCTION("""COMPUTED_VALUE"""),94.0)</f>
        <v>94</v>
      </c>
      <c r="D17" s="62">
        <f>IFERROR(__xludf.DUMMYFUNCTION("""COMPUTED_VALUE"""),100000.0)</f>
        <v>100000</v>
      </c>
      <c r="E17" s="62"/>
      <c r="F17" s="62" t="str">
        <f>IFERROR(__xludf.DUMMYFUNCTION("""COMPUTED_VALUE"""),"Snubull")</f>
        <v>Snubull</v>
      </c>
      <c r="G17" s="62" t="str">
        <f>IFERROR(__xludf.DUMMYFUNCTION("""COMPUTED_VALUE"""),"Granbull")</f>
        <v>Granbull</v>
      </c>
      <c r="H17" s="62" t="str">
        <f>IFERROR(__xludf.DUMMYFUNCTION("""COMPUTED_VALUE"""),"Floette")</f>
        <v>Floette</v>
      </c>
      <c r="I17" s="62"/>
      <c r="J17" s="62"/>
      <c r="K17" s="62"/>
    </row>
    <row r="18">
      <c r="A18" s="62" t="str">
        <f>IFERROR(__xludf.DUMMYFUNCTION("""COMPUTED_VALUE"""),"Florges")</f>
        <v>Florges</v>
      </c>
      <c r="B18" s="62">
        <f>IFERROR(__xludf.DUMMYFUNCTION("""COMPUTED_VALUE"""),1.0)</f>
        <v>1</v>
      </c>
      <c r="C18" s="62">
        <f>IFERROR(__xludf.DUMMYFUNCTION("""COMPUTED_VALUE"""),94.0)</f>
        <v>94</v>
      </c>
      <c r="D18" s="62">
        <f>IFERROR(__xludf.DUMMYFUNCTION("""COMPUTED_VALUE"""),150000.0)</f>
        <v>150000</v>
      </c>
      <c r="E18" s="62"/>
      <c r="F18" s="62" t="str">
        <f>IFERROR(__xludf.DUMMYFUNCTION("""COMPUTED_VALUE"""),"Togetic")</f>
        <v>Togetic</v>
      </c>
      <c r="G18" s="62" t="str">
        <f>IFERROR(__xludf.DUMMYFUNCTION("""COMPUTED_VALUE"""),"Granbull")</f>
        <v>Granbull</v>
      </c>
      <c r="H18" s="62" t="str">
        <f>IFERROR(__xludf.DUMMYFUNCTION("""COMPUTED_VALUE"""),"Florges")</f>
        <v>Florges</v>
      </c>
      <c r="I18" s="62"/>
      <c r="J18" s="62"/>
      <c r="K18" s="62"/>
    </row>
    <row r="19">
      <c r="A19" s="62" t="str">
        <f>IFERROR(__xludf.DUMMYFUNCTION("""COMPUTED_VALUE"""),"Forretress")</f>
        <v>Forretress</v>
      </c>
      <c r="B19" s="62">
        <f>IFERROR(__xludf.DUMMYFUNCTION("""COMPUTED_VALUE"""),1.0)</f>
        <v>1</v>
      </c>
      <c r="C19" s="62">
        <f>IFERROR(__xludf.DUMMYFUNCTION("""COMPUTED_VALUE"""),71.0)</f>
        <v>71</v>
      </c>
      <c r="D19" s="62">
        <f>IFERROR(__xludf.DUMMYFUNCTION("""COMPUTED_VALUE"""),100000.0)</f>
        <v>100000</v>
      </c>
      <c r="E19" s="198">
        <f>IFERROR(__xludf.DUMMYFUNCTION("""COMPUTED_VALUE"""),0.11458333333333333)</f>
        <v>0.1145833333</v>
      </c>
      <c r="F19" s="62" t="str">
        <f>IFERROR(__xludf.DUMMYFUNCTION("""COMPUTED_VALUE"""),"Beedrill")</f>
        <v>Beedrill</v>
      </c>
      <c r="G19" s="62" t="str">
        <f>IFERROR(__xludf.DUMMYFUNCTION("""COMPUTED_VALUE"""),"Butterfree")</f>
        <v>Butterfree</v>
      </c>
      <c r="H19" s="62" t="str">
        <f>IFERROR(__xludf.DUMMYFUNCTION("""COMPUTED_VALUE"""),"Forretress")</f>
        <v>Forretress</v>
      </c>
      <c r="I19" s="62"/>
      <c r="J19" s="62"/>
      <c r="K19" s="199">
        <f>IFERROR(__xludf.DUMMYFUNCTION("""COMPUTED_VALUE"""),2181818.0)</f>
        <v>2181818</v>
      </c>
    </row>
    <row r="20">
      <c r="A20" s="62" t="str">
        <f>IFERROR(__xludf.DUMMYFUNCTION("""COMPUTED_VALUE"""),"Gastly")</f>
        <v>Gastly</v>
      </c>
      <c r="B20" s="62">
        <f>IFERROR(__xludf.DUMMYFUNCTION("""COMPUTED_VALUE"""),1.0)</f>
        <v>1</v>
      </c>
      <c r="C20" s="62">
        <f>IFERROR(__xludf.DUMMYFUNCTION("""COMPUTED_VALUE"""),57.0)</f>
        <v>57</v>
      </c>
      <c r="D20" s="62">
        <f>IFERROR(__xludf.DUMMYFUNCTION("""COMPUTED_VALUE"""),50000.0)</f>
        <v>50000</v>
      </c>
      <c r="E20" s="198">
        <f>IFERROR(__xludf.DUMMYFUNCTION("""COMPUTED_VALUE"""),0.08333333333333333)</f>
        <v>0.08333333333</v>
      </c>
      <c r="F20" s="62" t="str">
        <f>IFERROR(__xludf.DUMMYFUNCTION("""COMPUTED_VALUE"""),"Gastly")</f>
        <v>Gastly</v>
      </c>
      <c r="G20" s="62"/>
      <c r="H20" s="62"/>
      <c r="I20" s="62"/>
      <c r="J20" s="62"/>
      <c r="K20" s="199">
        <f>IFERROR(__xludf.DUMMYFUNCTION("""COMPUTED_VALUE"""),1500000.0)</f>
        <v>1500000</v>
      </c>
    </row>
    <row r="21">
      <c r="A21" s="62" t="str">
        <f>IFERROR(__xludf.DUMMYFUNCTION("""COMPUTED_VALUE"""),"Gengar")</f>
        <v>Gengar</v>
      </c>
      <c r="B21" s="62">
        <f>IFERROR(__xludf.DUMMYFUNCTION("""COMPUTED_VALUE"""),1.0)</f>
        <v>1</v>
      </c>
      <c r="C21" s="62">
        <f>IFERROR(__xludf.DUMMYFUNCTION("""COMPUTED_VALUE"""),57.0)</f>
        <v>57</v>
      </c>
      <c r="D21" s="62">
        <f>IFERROR(__xludf.DUMMYFUNCTION("""COMPUTED_VALUE"""),150000.0)</f>
        <v>150000</v>
      </c>
      <c r="E21" s="198">
        <f>IFERROR(__xludf.DUMMYFUNCTION("""COMPUTED_VALUE"""),0.125)</f>
        <v>0.125</v>
      </c>
      <c r="F21" s="62" t="str">
        <f>IFERROR(__xludf.DUMMYFUNCTION("""COMPUTED_VALUE"""),"Gengar")</f>
        <v>Gengar</v>
      </c>
      <c r="G21" s="62"/>
      <c r="H21" s="62"/>
      <c r="I21" s="62"/>
      <c r="J21" s="62"/>
      <c r="K21" s="199">
        <f>IFERROR(__xludf.DUMMYFUNCTION("""COMPUTED_VALUE"""),3000000.0)</f>
        <v>3000000</v>
      </c>
    </row>
    <row r="22">
      <c r="A22" s="62" t="str">
        <f>IFERROR(__xludf.DUMMYFUNCTION("""COMPUTED_VALUE"""),"Haunter")</f>
        <v>Haunter</v>
      </c>
      <c r="B22" s="62">
        <f>IFERROR(__xludf.DUMMYFUNCTION("""COMPUTED_VALUE"""),1.0)</f>
        <v>1</v>
      </c>
      <c r="C22" s="62">
        <f>IFERROR(__xludf.DUMMYFUNCTION("""COMPUTED_VALUE"""),57.0)</f>
        <v>57</v>
      </c>
      <c r="D22" s="62">
        <f>IFERROR(__xludf.DUMMYFUNCTION("""COMPUTED_VALUE"""),100000.0)</f>
        <v>100000</v>
      </c>
      <c r="E22" s="198">
        <f>IFERROR(__xludf.DUMMYFUNCTION("""COMPUTED_VALUE"""),0.08333333333333333)</f>
        <v>0.08333333333</v>
      </c>
      <c r="F22" s="62" t="str">
        <f>IFERROR(__xludf.DUMMYFUNCTION("""COMPUTED_VALUE"""),"Haunter")</f>
        <v>Haunter</v>
      </c>
      <c r="G22" s="62"/>
      <c r="H22" s="62"/>
      <c r="I22" s="62"/>
      <c r="J22" s="62"/>
      <c r="K22" s="199">
        <f>IFERROR(__xludf.DUMMYFUNCTION("""COMPUTED_VALUE"""),3000000.0)</f>
        <v>3000000</v>
      </c>
    </row>
    <row r="23">
      <c r="A23" s="62" t="str">
        <f>IFERROR(__xludf.DUMMYFUNCTION("""COMPUTED_VALUE"""),"Hydreigon")</f>
        <v>Hydreigon</v>
      </c>
      <c r="B23" s="62">
        <f>IFERROR(__xludf.DUMMYFUNCTION("""COMPUTED_VALUE"""),1.0)</f>
        <v>1</v>
      </c>
      <c r="C23" s="62">
        <f>IFERROR(__xludf.DUMMYFUNCTION("""COMPUTED_VALUE"""),93.0)</f>
        <v>93</v>
      </c>
      <c r="D23" s="62">
        <f>IFERROR(__xludf.DUMMYFUNCTION("""COMPUTED_VALUE"""),150000.0)</f>
        <v>150000</v>
      </c>
      <c r="E23" s="62"/>
      <c r="F23" s="62" t="str">
        <f>IFERROR(__xludf.DUMMYFUNCTION("""COMPUTED_VALUE"""),"Houndoom")</f>
        <v>Houndoom</v>
      </c>
      <c r="G23" s="62" t="str">
        <f>IFERROR(__xludf.DUMMYFUNCTION("""COMPUTED_VALUE"""),"Hydreigon")</f>
        <v>Hydreigon</v>
      </c>
      <c r="H23" s="62" t="str">
        <f>IFERROR(__xludf.DUMMYFUNCTION("""COMPUTED_VALUE"""),"Umbreon")</f>
        <v>Umbreon</v>
      </c>
      <c r="I23" s="62"/>
      <c r="J23" s="62"/>
      <c r="K23" s="62"/>
    </row>
    <row r="24">
      <c r="A24" s="62" t="str">
        <f>IFERROR(__xludf.DUMMYFUNCTION("""COMPUTED_VALUE"""),"Kadabra")</f>
        <v>Kadabra</v>
      </c>
      <c r="B24" s="62">
        <f>IFERROR(__xludf.DUMMYFUNCTION("""COMPUTED_VALUE"""),1.0)</f>
        <v>1</v>
      </c>
      <c r="C24" s="62">
        <f>IFERROR(__xludf.DUMMYFUNCTION("""COMPUTED_VALUE"""),43.0)</f>
        <v>43</v>
      </c>
      <c r="D24" s="62">
        <f>IFERROR(__xludf.DUMMYFUNCTION("""COMPUTED_VALUE"""),100000.0)</f>
        <v>100000</v>
      </c>
      <c r="E24" s="198">
        <f>IFERROR(__xludf.DUMMYFUNCTION("""COMPUTED_VALUE"""),0.05555555555555555)</f>
        <v>0.05555555556</v>
      </c>
      <c r="F24" s="62" t="str">
        <f>IFERROR(__xludf.DUMMYFUNCTION("""COMPUTED_VALUE"""),"Hypno")</f>
        <v>Hypno</v>
      </c>
      <c r="G24" s="62" t="str">
        <f>IFERROR(__xludf.DUMMYFUNCTION("""COMPUTED_VALUE"""),"Kadabra")</f>
        <v>Kadabra</v>
      </c>
      <c r="H24" s="62"/>
      <c r="I24" s="62"/>
      <c r="J24" s="62"/>
      <c r="K24" s="199">
        <f>IFERROR(__xludf.DUMMYFUNCTION("""COMPUTED_VALUE"""),4500000.0)</f>
        <v>4500000</v>
      </c>
    </row>
    <row r="25">
      <c r="A25" s="62" t="str">
        <f>IFERROR(__xludf.DUMMYFUNCTION("""COMPUTED_VALUE"""),"Lapras")</f>
        <v>Lapras</v>
      </c>
      <c r="B25" s="62">
        <f>IFERROR(__xludf.DUMMYFUNCTION("""COMPUTED_VALUE"""),1.0)</f>
        <v>1</v>
      </c>
      <c r="C25" s="62">
        <f>IFERROR(__xludf.DUMMYFUNCTION("""COMPUTED_VALUE"""),100.0)</f>
        <v>100</v>
      </c>
      <c r="D25" s="62">
        <f>IFERROR(__xludf.DUMMYFUNCTION("""COMPUTED_VALUE"""),150000.0)</f>
        <v>150000</v>
      </c>
      <c r="E25" s="198">
        <f>IFERROR(__xludf.DUMMYFUNCTION("""COMPUTED_VALUE"""),0.1423611111111111)</f>
        <v>0.1423611111</v>
      </c>
      <c r="F25" s="62" t="str">
        <f>IFERROR(__xludf.DUMMYFUNCTION("""COMPUTED_VALUE"""),"Jynx")</f>
        <v>Jynx</v>
      </c>
      <c r="G25" s="62" t="str">
        <f>IFERROR(__xludf.DUMMYFUNCTION("""COMPUTED_VALUE"""),"Lapras")</f>
        <v>Lapras</v>
      </c>
      <c r="H25" s="62"/>
      <c r="I25" s="62"/>
      <c r="J25" s="62"/>
      <c r="K25" s="199">
        <f>IFERROR(__xludf.DUMMYFUNCTION("""COMPUTED_VALUE"""),2634146.0)</f>
        <v>2634146</v>
      </c>
    </row>
    <row r="26">
      <c r="A26" s="62" t="str">
        <f>IFERROR(__xludf.DUMMYFUNCTION("""COMPUTED_VALUE"""),"Larvitar")</f>
        <v>Larvitar</v>
      </c>
      <c r="B26" s="62">
        <f>IFERROR(__xludf.DUMMYFUNCTION("""COMPUTED_VALUE"""),1.0)</f>
        <v>1</v>
      </c>
      <c r="C26" s="62">
        <f>IFERROR(__xludf.DUMMYFUNCTION("""COMPUTED_VALUE"""),51.0)</f>
        <v>51</v>
      </c>
      <c r="D26" s="62">
        <f>IFERROR(__xludf.DUMMYFUNCTION("""COMPUTED_VALUE"""),50000.0)</f>
        <v>50000</v>
      </c>
      <c r="E26" s="62"/>
      <c r="F26" s="62" t="str">
        <f>IFERROR(__xludf.DUMMYFUNCTION("""COMPUTED_VALUE"""),"Geodude")</f>
        <v>Geodude</v>
      </c>
      <c r="G26" s="62" t="str">
        <f>IFERROR(__xludf.DUMMYFUNCTION("""COMPUTED_VALUE"""),"Larvitar")</f>
        <v>Larvitar</v>
      </c>
      <c r="H26" s="62" t="str">
        <f>IFERROR(__xludf.DUMMYFUNCTION("""COMPUTED_VALUE"""),"Rhyhorn")</f>
        <v>Rhyhorn</v>
      </c>
      <c r="I26" s="62"/>
      <c r="J26" s="62"/>
      <c r="K26" s="199" t="str">
        <f>IFERROR(__xludf.DUMMYFUNCTION("""COMPUTED_VALUE"""),"")</f>
        <v/>
      </c>
    </row>
    <row r="27">
      <c r="A27" s="62" t="str">
        <f>IFERROR(__xludf.DUMMYFUNCTION("""COMPUTED_VALUE"""),"Machamp")</f>
        <v>Machamp</v>
      </c>
      <c r="B27" s="62">
        <f>IFERROR(__xludf.DUMMYFUNCTION("""COMPUTED_VALUE"""),1.0)</f>
        <v>1</v>
      </c>
      <c r="C27" s="62">
        <f>IFERROR(__xludf.DUMMYFUNCTION("""COMPUTED_VALUE"""),44.0)</f>
        <v>44</v>
      </c>
      <c r="D27" s="62">
        <f>IFERROR(__xludf.DUMMYFUNCTION("""COMPUTED_VALUE"""),150000.0)</f>
        <v>150000</v>
      </c>
      <c r="E27" s="198">
        <f>IFERROR(__xludf.DUMMYFUNCTION("""COMPUTED_VALUE"""),0.08680555555555555)</f>
        <v>0.08680555556</v>
      </c>
      <c r="F27" s="62" t="str">
        <f>IFERROR(__xludf.DUMMYFUNCTION("""COMPUTED_VALUE"""),"Hitmonchan")</f>
        <v>Hitmonchan</v>
      </c>
      <c r="G27" s="62" t="str">
        <f>IFERROR(__xludf.DUMMYFUNCTION("""COMPUTED_VALUE"""),"Hitmonlee")</f>
        <v>Hitmonlee</v>
      </c>
      <c r="H27" s="62" t="str">
        <f>IFERROR(__xludf.DUMMYFUNCTION("""COMPUTED_VALUE"""),"Hitmontop")</f>
        <v>Hitmontop</v>
      </c>
      <c r="I27" s="62" t="str">
        <f>IFERROR(__xludf.DUMMYFUNCTION("""COMPUTED_VALUE"""),"Machamp")</f>
        <v>Machamp</v>
      </c>
      <c r="J27" s="62"/>
      <c r="K27" s="199">
        <f>IFERROR(__xludf.DUMMYFUNCTION("""COMPUTED_VALUE"""),4320000.0)</f>
        <v>4320000</v>
      </c>
    </row>
    <row r="28">
      <c r="A28" s="62" t="str">
        <f>IFERROR(__xludf.DUMMYFUNCTION("""COMPUTED_VALUE"""),"Machoke")</f>
        <v>Machoke</v>
      </c>
      <c r="B28" s="62">
        <f>IFERROR(__xludf.DUMMYFUNCTION("""COMPUTED_VALUE"""),1.0)</f>
        <v>1</v>
      </c>
      <c r="C28" s="62">
        <f>IFERROR(__xludf.DUMMYFUNCTION("""COMPUTED_VALUE"""),44.0)</f>
        <v>44</v>
      </c>
      <c r="D28" s="62">
        <f>IFERROR(__xludf.DUMMYFUNCTION("""COMPUTED_VALUE"""),100000.0)</f>
        <v>100000</v>
      </c>
      <c r="E28" s="198">
        <f>IFERROR(__xludf.DUMMYFUNCTION("""COMPUTED_VALUE"""),0.0625)</f>
        <v>0.0625</v>
      </c>
      <c r="F28" s="62" t="str">
        <f>IFERROR(__xludf.DUMMYFUNCTION("""COMPUTED_VALUE"""),"Machoke")</f>
        <v>Machoke</v>
      </c>
      <c r="G28" s="62" t="str">
        <f>IFERROR(__xludf.DUMMYFUNCTION("""COMPUTED_VALUE"""),"Primeape")</f>
        <v>Primeape</v>
      </c>
      <c r="H28" s="62" t="str">
        <f>IFERROR(__xludf.DUMMYFUNCTION("""COMPUTED_VALUE"""),"Tyrogue")</f>
        <v>Tyrogue</v>
      </c>
      <c r="I28" s="62"/>
      <c r="J28" s="62"/>
      <c r="K28" s="199">
        <f>IFERROR(__xludf.DUMMYFUNCTION("""COMPUTED_VALUE"""),4000000.0)</f>
        <v>4000000</v>
      </c>
    </row>
    <row r="29">
      <c r="A29" s="62" t="str">
        <f>IFERROR(__xludf.DUMMYFUNCTION("""COMPUTED_VALUE"""),"Machop")</f>
        <v>Machop</v>
      </c>
      <c r="B29" s="62">
        <f>IFERROR(__xludf.DUMMYFUNCTION("""COMPUTED_VALUE"""),1.0)</f>
        <v>1</v>
      </c>
      <c r="C29" s="62">
        <f>IFERROR(__xludf.DUMMYFUNCTION("""COMPUTED_VALUE"""),44.0)</f>
        <v>44</v>
      </c>
      <c r="D29" s="62">
        <f>IFERROR(__xludf.DUMMYFUNCTION("""COMPUTED_VALUE"""),50000.0)</f>
        <v>50000</v>
      </c>
      <c r="E29" s="198">
        <f>IFERROR(__xludf.DUMMYFUNCTION("""COMPUTED_VALUE"""),0.059027777777777776)</f>
        <v>0.05902777778</v>
      </c>
      <c r="F29" s="62" t="str">
        <f>IFERROR(__xludf.DUMMYFUNCTION("""COMPUTED_VALUE"""),"Machop")</f>
        <v>Machop</v>
      </c>
      <c r="G29" s="62" t="str">
        <f>IFERROR(__xludf.DUMMYFUNCTION("""COMPUTED_VALUE"""),"Mankey")</f>
        <v>Mankey</v>
      </c>
      <c r="H29" s="62"/>
      <c r="I29" s="62"/>
      <c r="J29" s="62"/>
      <c r="K29" s="199">
        <f>IFERROR(__xludf.DUMMYFUNCTION("""COMPUTED_VALUE"""),2117647.0)</f>
        <v>2117647</v>
      </c>
    </row>
    <row r="30">
      <c r="A30" s="62" t="str">
        <f>IFERROR(__xludf.DUMMYFUNCTION("""COMPUTED_VALUE"""),"Magnemite")</f>
        <v>Magnemite</v>
      </c>
      <c r="B30" s="62">
        <f>IFERROR(__xludf.DUMMYFUNCTION("""COMPUTED_VALUE"""),1.0)</f>
        <v>1</v>
      </c>
      <c r="C30" s="62">
        <f>IFERROR(__xludf.DUMMYFUNCTION("""COMPUTED_VALUE"""),85.0)</f>
        <v>85</v>
      </c>
      <c r="D30" s="62">
        <f>IFERROR(__xludf.DUMMYFUNCTION("""COMPUTED_VALUE"""),50000.0)</f>
        <v>50000</v>
      </c>
      <c r="E30" s="62"/>
      <c r="F30" s="62" t="str">
        <f>IFERROR(__xludf.DUMMYFUNCTION("""COMPUTED_VALUE"""),"Magnemite")</f>
        <v>Magnemite</v>
      </c>
      <c r="G30" s="62"/>
      <c r="H30" s="62"/>
      <c r="I30" s="62"/>
      <c r="J30" s="62"/>
      <c r="K30" s="199" t="str">
        <f>IFERROR(__xludf.DUMMYFUNCTION("""COMPUTED_VALUE"""),"")</f>
        <v/>
      </c>
    </row>
    <row r="31">
      <c r="A31" s="62" t="str">
        <f>IFERROR(__xludf.DUMMYFUNCTION("""COMPUTED_VALUE"""),"Magneton")</f>
        <v>Magneton</v>
      </c>
      <c r="B31" s="62">
        <f>IFERROR(__xludf.DUMMYFUNCTION("""COMPUTED_VALUE"""),1.0)</f>
        <v>1</v>
      </c>
      <c r="C31" s="62">
        <f>IFERROR(__xludf.DUMMYFUNCTION("""COMPUTED_VALUE"""),63.0)</f>
        <v>63</v>
      </c>
      <c r="D31" s="62">
        <f>IFERROR(__xludf.DUMMYFUNCTION("""COMPUTED_VALUE"""),100000.0)</f>
        <v>100000</v>
      </c>
      <c r="E31" s="198">
        <f>IFERROR(__xludf.DUMMYFUNCTION("""COMPUTED_VALUE"""),0.1111111111111111)</f>
        <v>0.1111111111</v>
      </c>
      <c r="F31" s="62" t="str">
        <f>IFERROR(__xludf.DUMMYFUNCTION("""COMPUTED_VALUE"""),"Forretress")</f>
        <v>Forretress</v>
      </c>
      <c r="G31" s="62" t="str">
        <f>IFERROR(__xludf.DUMMYFUNCTION("""COMPUTED_VALUE"""),"Magneton")</f>
        <v>Magneton</v>
      </c>
      <c r="H31" s="62"/>
      <c r="I31" s="62"/>
      <c r="J31" s="62"/>
      <c r="K31" s="199">
        <f>IFERROR(__xludf.DUMMYFUNCTION("""COMPUTED_VALUE"""),2250000.0)</f>
        <v>2250000</v>
      </c>
    </row>
    <row r="32">
      <c r="A32" s="62" t="str">
        <f>IFERROR(__xludf.DUMMYFUNCTION("""COMPUTED_VALUE"""),"Mareep")</f>
        <v>Mareep</v>
      </c>
      <c r="B32" s="62">
        <f>IFERROR(__xludf.DUMMYFUNCTION("""COMPUTED_VALUE"""),1.0)</f>
        <v>1</v>
      </c>
      <c r="C32" s="62">
        <f>IFERROR(__xludf.DUMMYFUNCTION("""COMPUTED_VALUE"""),51.0)</f>
        <v>51</v>
      </c>
      <c r="D32" s="62">
        <f>IFERROR(__xludf.DUMMYFUNCTION("""COMPUTED_VALUE"""),50000.0)</f>
        <v>50000</v>
      </c>
      <c r="E32" s="62"/>
      <c r="F32" s="62" t="str">
        <f>IFERROR(__xludf.DUMMYFUNCTION("""COMPUTED_VALUE"""),"Mareep")</f>
        <v>Mareep</v>
      </c>
      <c r="G32" s="62" t="str">
        <f>IFERROR(__xludf.DUMMYFUNCTION("""COMPUTED_VALUE"""),"Pichu")</f>
        <v>Pichu</v>
      </c>
      <c r="H32" s="62"/>
      <c r="I32" s="62"/>
      <c r="J32" s="62"/>
      <c r="K32" s="199" t="str">
        <f>IFERROR(__xludf.DUMMYFUNCTION("""COMPUTED_VALUE"""),"")</f>
        <v/>
      </c>
    </row>
    <row r="33">
      <c r="A33" s="62" t="str">
        <f>IFERROR(__xludf.DUMMYFUNCTION("""COMPUTED_VALUE"""),"Marowak")</f>
        <v>Marowak</v>
      </c>
      <c r="B33" s="62">
        <f>IFERROR(__xludf.DUMMYFUNCTION("""COMPUTED_VALUE"""),1.0)</f>
        <v>1</v>
      </c>
      <c r="C33" s="62">
        <f>IFERROR(__xludf.DUMMYFUNCTION("""COMPUTED_VALUE"""),37.0)</f>
        <v>37</v>
      </c>
      <c r="D33" s="62">
        <f>IFERROR(__xludf.DUMMYFUNCTION("""COMPUTED_VALUE"""),150000.0)</f>
        <v>150000</v>
      </c>
      <c r="E33" s="198">
        <f>IFERROR(__xludf.DUMMYFUNCTION("""COMPUTED_VALUE"""),0.0798611111111111)</f>
        <v>0.07986111111</v>
      </c>
      <c r="F33" s="62" t="str">
        <f>IFERROR(__xludf.DUMMYFUNCTION("""COMPUTED_VALUE"""),"Donphan")</f>
        <v>Donphan</v>
      </c>
      <c r="G33" s="62" t="str">
        <f>IFERROR(__xludf.DUMMYFUNCTION("""COMPUTED_VALUE"""),"Marowak")</f>
        <v>Marowak</v>
      </c>
      <c r="H33" s="62"/>
      <c r="I33" s="62"/>
      <c r="J33" s="62"/>
      <c r="K33" s="199">
        <f>IFERROR(__xludf.DUMMYFUNCTION("""COMPUTED_VALUE"""),4695652.0)</f>
        <v>4695652</v>
      </c>
    </row>
    <row r="34">
      <c r="A34" s="62" t="str">
        <f>IFERROR(__xludf.DUMMYFUNCTION("""COMPUTED_VALUE"""),"Meganium")</f>
        <v>Meganium</v>
      </c>
      <c r="B34" s="62">
        <f>IFERROR(__xludf.DUMMYFUNCTION("""COMPUTED_VALUE"""),1.0)</f>
        <v>1</v>
      </c>
      <c r="C34" s="62">
        <f>IFERROR(__xludf.DUMMYFUNCTION("""COMPUTED_VALUE"""),56.0)</f>
        <v>56</v>
      </c>
      <c r="D34" s="62">
        <f>IFERROR(__xludf.DUMMYFUNCTION("""COMPUTED_VALUE"""),150000.0)</f>
        <v>150000</v>
      </c>
      <c r="E34" s="198">
        <f>IFERROR(__xludf.DUMMYFUNCTION("""COMPUTED_VALUE"""),0.13541666666666666)</f>
        <v>0.1354166667</v>
      </c>
      <c r="F34" s="62" t="str">
        <f>IFERROR(__xludf.DUMMYFUNCTION("""COMPUTED_VALUE"""),"Exeggutor")</f>
        <v>Exeggutor</v>
      </c>
      <c r="G34" s="62" t="str">
        <f>IFERROR(__xludf.DUMMYFUNCTION("""COMPUTED_VALUE"""),"Meganium")</f>
        <v>Meganium</v>
      </c>
      <c r="H34" s="62" t="str">
        <f>IFERROR(__xludf.DUMMYFUNCTION("""COMPUTED_VALUE"""),"Vanusaur")</f>
        <v>Vanusaur</v>
      </c>
      <c r="I34" s="62"/>
      <c r="J34" s="62"/>
      <c r="K34" s="199">
        <f>IFERROR(__xludf.DUMMYFUNCTION("""COMPUTED_VALUE"""),2769231.0)</f>
        <v>2769231</v>
      </c>
    </row>
    <row r="35">
      <c r="A35" s="62" t="str">
        <f>IFERROR(__xludf.DUMMYFUNCTION("""COMPUTED_VALUE"""),"Meowth")</f>
        <v>Meowth</v>
      </c>
      <c r="B35" s="62">
        <f>IFERROR(__xludf.DUMMYFUNCTION("""COMPUTED_VALUE"""),1.0)</f>
        <v>1</v>
      </c>
      <c r="C35" s="62">
        <f>IFERROR(__xludf.DUMMYFUNCTION("""COMPUTED_VALUE"""),73.0)</f>
        <v>73</v>
      </c>
      <c r="D35" s="62">
        <f>IFERROR(__xludf.DUMMYFUNCTION("""COMPUTED_VALUE"""),50000.0)</f>
        <v>50000</v>
      </c>
      <c r="E35" s="198">
        <f>IFERROR(__xludf.DUMMYFUNCTION("""COMPUTED_VALUE"""),0.08333333333333333)</f>
        <v>0.08333333333</v>
      </c>
      <c r="F35" s="62" t="str">
        <f>IFERROR(__xludf.DUMMYFUNCTION("""COMPUTED_VALUE"""),"Eevee")</f>
        <v>Eevee</v>
      </c>
      <c r="G35" s="62" t="str">
        <f>IFERROR(__xludf.DUMMYFUNCTION("""COMPUTED_VALUE"""),"Meowth")</f>
        <v>Meowth</v>
      </c>
      <c r="H35" s="62" t="str">
        <f>IFERROR(__xludf.DUMMYFUNCTION("""COMPUTED_VALUE"""),"Rattata")</f>
        <v>Rattata</v>
      </c>
      <c r="I35" s="62"/>
      <c r="J35" s="62"/>
      <c r="K35" s="199">
        <f>IFERROR(__xludf.DUMMYFUNCTION("""COMPUTED_VALUE"""),1500000.0)</f>
        <v>1500000</v>
      </c>
    </row>
    <row r="36">
      <c r="A36" s="62" t="str">
        <f>IFERROR(__xludf.DUMMYFUNCTION("""COMPUTED_VALUE"""),"Muk")</f>
        <v>Muk</v>
      </c>
      <c r="B36" s="62">
        <f>IFERROR(__xludf.DUMMYFUNCTION("""COMPUTED_VALUE"""),1.0)</f>
        <v>1</v>
      </c>
      <c r="C36" s="62">
        <f>IFERROR(__xludf.DUMMYFUNCTION("""COMPUTED_VALUE"""),67.0)</f>
        <v>67</v>
      </c>
      <c r="D36" s="62">
        <f>IFERROR(__xludf.DUMMYFUNCTION("""COMPUTED_VALUE"""),100000.0)</f>
        <v>100000</v>
      </c>
      <c r="E36" s="62"/>
      <c r="F36" s="62" t="str">
        <f>IFERROR(__xludf.DUMMYFUNCTION("""COMPUTED_VALUE"""),"Arbok")</f>
        <v>Arbok</v>
      </c>
      <c r="G36" s="62" t="str">
        <f>IFERROR(__xludf.DUMMYFUNCTION("""COMPUTED_VALUE"""),"Muk")</f>
        <v>Muk</v>
      </c>
      <c r="H36" s="62" t="str">
        <f>IFERROR(__xludf.DUMMYFUNCTION("""COMPUTED_VALUE"""),"Qwilfish")</f>
        <v>Qwilfish</v>
      </c>
      <c r="I36" s="62"/>
      <c r="J36" s="62"/>
      <c r="K36" s="62"/>
    </row>
    <row r="37">
      <c r="A37" s="62" t="str">
        <f>IFERROR(__xludf.DUMMYFUNCTION("""COMPUTED_VALUE"""),"Persian")</f>
        <v>Persian</v>
      </c>
      <c r="B37" s="62">
        <f>IFERROR(__xludf.DUMMYFUNCTION("""COMPUTED_VALUE"""),1.0)</f>
        <v>1</v>
      </c>
      <c r="C37" s="62">
        <f>IFERROR(__xludf.DUMMYFUNCTION("""COMPUTED_VALUE"""),73.0)</f>
        <v>73</v>
      </c>
      <c r="D37" s="62">
        <f>IFERROR(__xludf.DUMMYFUNCTION("""COMPUTED_VALUE"""),100000.0)</f>
        <v>100000</v>
      </c>
      <c r="E37" s="198">
        <f>IFERROR(__xludf.DUMMYFUNCTION("""COMPUTED_VALUE"""),0.09375)</f>
        <v>0.09375</v>
      </c>
      <c r="F37" s="62" t="str">
        <f>IFERROR(__xludf.DUMMYFUNCTION("""COMPUTED_VALUE"""),"Aipom")</f>
        <v>Aipom</v>
      </c>
      <c r="G37" s="62" t="str">
        <f>IFERROR(__xludf.DUMMYFUNCTION("""COMPUTED_VALUE"""),"Persian")</f>
        <v>Persian</v>
      </c>
      <c r="H37" s="62" t="str">
        <f>IFERROR(__xludf.DUMMYFUNCTION("""COMPUTED_VALUE"""),"Raticate")</f>
        <v>Raticate</v>
      </c>
      <c r="I37" s="62"/>
      <c r="J37" s="62"/>
      <c r="K37" s="199">
        <f>IFERROR(__xludf.DUMMYFUNCTION("""COMPUTED_VALUE"""),2666667.0)</f>
        <v>2666667</v>
      </c>
    </row>
    <row r="38">
      <c r="A38" s="62" t="str">
        <f>IFERROR(__xludf.DUMMYFUNCTION("""COMPUTED_VALUE"""),"Pidgeot")</f>
        <v>Pidgeot</v>
      </c>
      <c r="B38" s="62">
        <f>IFERROR(__xludf.DUMMYFUNCTION("""COMPUTED_VALUE"""),1.0)</f>
        <v>1</v>
      </c>
      <c r="C38" s="62">
        <f>IFERROR(__xludf.DUMMYFUNCTION("""COMPUTED_VALUE"""),162.0)</f>
        <v>162</v>
      </c>
      <c r="D38" s="62">
        <f>IFERROR(__xludf.DUMMYFUNCTION("""COMPUTED_VALUE"""),150000.0)</f>
        <v>150000</v>
      </c>
      <c r="E38" s="198">
        <f>IFERROR(__xludf.DUMMYFUNCTION("""COMPUTED_VALUE"""),0.16319444444444445)</f>
        <v>0.1631944444</v>
      </c>
      <c r="F38" s="62" t="str">
        <f>IFERROR(__xludf.DUMMYFUNCTION("""COMPUTED_VALUE"""),"Noctowl")</f>
        <v>Noctowl</v>
      </c>
      <c r="G38" s="62" t="str">
        <f>IFERROR(__xludf.DUMMYFUNCTION("""COMPUTED_VALUE"""),"Pidgeot")</f>
        <v>Pidgeot</v>
      </c>
      <c r="H38" s="62" t="str">
        <f>IFERROR(__xludf.DUMMYFUNCTION("""COMPUTED_VALUE"""),"Skarmory")</f>
        <v>Skarmory</v>
      </c>
      <c r="I38" s="62"/>
      <c r="J38" s="62"/>
      <c r="K38" s="199">
        <f>IFERROR(__xludf.DUMMYFUNCTION("""COMPUTED_VALUE"""),2297872.0)</f>
        <v>2297872</v>
      </c>
    </row>
    <row r="39">
      <c r="A39" s="62" t="str">
        <f>IFERROR(__xludf.DUMMYFUNCTION("""COMPUTED_VALUE"""),"Pidgeotto")</f>
        <v>Pidgeotto</v>
      </c>
      <c r="B39" s="62">
        <f>IFERROR(__xludf.DUMMYFUNCTION("""COMPUTED_VALUE"""),1.0)</f>
        <v>1</v>
      </c>
      <c r="C39" s="62">
        <f>IFERROR(__xludf.DUMMYFUNCTION("""COMPUTED_VALUE"""),162.0)</f>
        <v>162</v>
      </c>
      <c r="D39" s="62">
        <f>IFERROR(__xludf.DUMMYFUNCTION("""COMPUTED_VALUE"""),100000.0)</f>
        <v>100000</v>
      </c>
      <c r="E39" s="62"/>
      <c r="F39" s="62" t="str">
        <f>IFERROR(__xludf.DUMMYFUNCTION("""COMPUTED_VALUE"""),"Dodrio")</f>
        <v>Dodrio</v>
      </c>
      <c r="G39" s="62" t="str">
        <f>IFERROR(__xludf.DUMMYFUNCTION("""COMPUTED_VALUE"""),"Fearow")</f>
        <v>Fearow</v>
      </c>
      <c r="H39" s="62" t="str">
        <f>IFERROR(__xludf.DUMMYFUNCTION("""COMPUTED_VALUE"""),"Pidgeotto")</f>
        <v>Pidgeotto</v>
      </c>
      <c r="I39" s="62"/>
      <c r="J39" s="62"/>
      <c r="K39" s="199" t="str">
        <f>IFERROR(__xludf.DUMMYFUNCTION("""COMPUTED_VALUE"""),"")</f>
        <v/>
      </c>
    </row>
    <row r="40">
      <c r="A40" s="62" t="str">
        <f>IFERROR(__xludf.DUMMYFUNCTION("""COMPUTED_VALUE"""),"Pidgey")</f>
        <v>Pidgey</v>
      </c>
      <c r="B40" s="62">
        <f>IFERROR(__xludf.DUMMYFUNCTION("""COMPUTED_VALUE"""),1.0)</f>
        <v>1</v>
      </c>
      <c r="C40" s="62">
        <f>IFERROR(__xludf.DUMMYFUNCTION("""COMPUTED_VALUE"""),162.0)</f>
        <v>162</v>
      </c>
      <c r="D40" s="62">
        <f>IFERROR(__xludf.DUMMYFUNCTION("""COMPUTED_VALUE"""),50000.0)</f>
        <v>50000</v>
      </c>
      <c r="E40" s="62"/>
      <c r="F40" s="62" t="str">
        <f>IFERROR(__xludf.DUMMYFUNCTION("""COMPUTED_VALUE"""),"Pidgey")</f>
        <v>Pidgey</v>
      </c>
      <c r="G40" s="62" t="str">
        <f>IFERROR(__xludf.DUMMYFUNCTION("""COMPUTED_VALUE"""),"Spearow")</f>
        <v>Spearow</v>
      </c>
      <c r="H40" s="62"/>
      <c r="I40" s="62"/>
      <c r="J40" s="62"/>
      <c r="K40" s="199" t="str">
        <f>IFERROR(__xludf.DUMMYFUNCTION("""COMPUTED_VALUE"""),"")</f>
        <v/>
      </c>
    </row>
    <row r="41">
      <c r="A41" s="62" t="str">
        <f>IFERROR(__xludf.DUMMYFUNCTION("""COMPUTED_VALUE"""),"Piloswine")</f>
        <v>Piloswine</v>
      </c>
      <c r="B41" s="62">
        <f>IFERROR(__xludf.DUMMYFUNCTION("""COMPUTED_VALUE"""),1.0)</f>
        <v>1</v>
      </c>
      <c r="C41" s="62">
        <f>IFERROR(__xludf.DUMMYFUNCTION("""COMPUTED_VALUE"""),100.0)</f>
        <v>100</v>
      </c>
      <c r="D41" s="62">
        <f>IFERROR(__xludf.DUMMYFUNCTION("""COMPUTED_VALUE"""),100000.0)</f>
        <v>100000</v>
      </c>
      <c r="E41" s="62"/>
      <c r="F41" s="62" t="str">
        <f>IFERROR(__xludf.DUMMYFUNCTION("""COMPUTED_VALUE"""),"Piloswine")</f>
        <v>Piloswine</v>
      </c>
      <c r="G41" s="62" t="str">
        <f>IFERROR(__xludf.DUMMYFUNCTION("""COMPUTED_VALUE"""),"Delibird")</f>
        <v>Delibird</v>
      </c>
      <c r="H41" s="62"/>
      <c r="I41" s="62"/>
      <c r="J41" s="62"/>
      <c r="K41" s="199" t="str">
        <f>IFERROR(__xludf.DUMMYFUNCTION("""COMPUTED_VALUE"""),"")</f>
        <v/>
      </c>
    </row>
    <row r="42">
      <c r="A42" s="62" t="str">
        <f>IFERROR(__xludf.DUMMYFUNCTION("""COMPUTED_VALUE"""),"Pineco")</f>
        <v>Pineco</v>
      </c>
      <c r="B42" s="62">
        <f>IFERROR(__xludf.DUMMYFUNCTION("""COMPUTED_VALUE"""),1.0)</f>
        <v>1</v>
      </c>
      <c r="C42" s="62">
        <f>IFERROR(__xludf.DUMMYFUNCTION("""COMPUTED_VALUE"""),71.0)</f>
        <v>71</v>
      </c>
      <c r="D42" s="62">
        <f>IFERROR(__xludf.DUMMYFUNCTION("""COMPUTED_VALUE"""),50000.0)</f>
        <v>50000</v>
      </c>
      <c r="E42" s="62"/>
      <c r="F42" s="62" t="str">
        <f>IFERROR(__xludf.DUMMYFUNCTION("""COMPUTED_VALUE"""),"Caterpie")</f>
        <v>Caterpie</v>
      </c>
      <c r="G42" s="62" t="str">
        <f>IFERROR(__xludf.DUMMYFUNCTION("""COMPUTED_VALUE"""),"Pineco")</f>
        <v>Pineco</v>
      </c>
      <c r="H42" s="62" t="str">
        <f>IFERROR(__xludf.DUMMYFUNCTION("""COMPUTED_VALUE"""),"Weedle")</f>
        <v>Weedle</v>
      </c>
      <c r="I42" s="62"/>
      <c r="J42" s="62"/>
      <c r="K42" s="199" t="str">
        <f>IFERROR(__xludf.DUMMYFUNCTION("""COMPUTED_VALUE"""),"")</f>
        <v/>
      </c>
    </row>
    <row r="43">
      <c r="A43" s="62" t="str">
        <f>IFERROR(__xludf.DUMMYFUNCTION("""COMPUTED_VALUE"""),"Pupitar")</f>
        <v>Pupitar</v>
      </c>
      <c r="B43" s="62">
        <f>IFERROR(__xludf.DUMMYFUNCTION("""COMPUTED_VALUE"""),1.0)</f>
        <v>1</v>
      </c>
      <c r="C43" s="62">
        <f>IFERROR(__xludf.DUMMYFUNCTION("""COMPUTED_VALUE"""),51.0)</f>
        <v>51</v>
      </c>
      <c r="D43" s="62">
        <f>IFERROR(__xludf.DUMMYFUNCTION("""COMPUTED_VALUE"""),100000.0)</f>
        <v>100000</v>
      </c>
      <c r="E43" s="198">
        <f>IFERROR(__xludf.DUMMYFUNCTION("""COMPUTED_VALUE"""),0.0798611111111111)</f>
        <v>0.07986111111</v>
      </c>
      <c r="F43" s="62" t="str">
        <f>IFERROR(__xludf.DUMMYFUNCTION("""COMPUTED_VALUE"""),"Graveler")</f>
        <v>Graveler</v>
      </c>
      <c r="G43" s="62" t="str">
        <f>IFERROR(__xludf.DUMMYFUNCTION("""COMPUTED_VALUE"""),"Pupitar")</f>
        <v>Pupitar</v>
      </c>
      <c r="H43" s="62"/>
      <c r="I43" s="62"/>
      <c r="J43" s="62"/>
      <c r="K43" s="199">
        <f>IFERROR(__xludf.DUMMYFUNCTION("""COMPUTED_VALUE"""),3130435.0)</f>
        <v>3130435</v>
      </c>
    </row>
    <row r="44">
      <c r="A44" s="62" t="str">
        <f>IFERROR(__xludf.DUMMYFUNCTION("""COMPUTED_VALUE"""),"Quilava")</f>
        <v>Quilava</v>
      </c>
      <c r="B44" s="62">
        <f>IFERROR(__xludf.DUMMYFUNCTION("""COMPUTED_VALUE"""),1.0)</f>
        <v>1</v>
      </c>
      <c r="C44" s="62">
        <f>IFERROR(__xludf.DUMMYFUNCTION("""COMPUTED_VALUE"""),50.0)</f>
        <v>50</v>
      </c>
      <c r="D44" s="62">
        <f>IFERROR(__xludf.DUMMYFUNCTION("""COMPUTED_VALUE"""),100000.0)</f>
        <v>100000</v>
      </c>
      <c r="E44" s="198">
        <f>IFERROR(__xludf.DUMMYFUNCTION("""COMPUTED_VALUE"""),0.10069444444444445)</f>
        <v>0.1006944444</v>
      </c>
      <c r="F44" s="62" t="str">
        <f>IFERROR(__xludf.DUMMYFUNCTION("""COMPUTED_VALUE"""),"Charmelion")</f>
        <v>Charmelion</v>
      </c>
      <c r="G44" s="62" t="str">
        <f>IFERROR(__xludf.DUMMYFUNCTION("""COMPUTED_VALUE"""),"Flareon")</f>
        <v>Flareon</v>
      </c>
      <c r="H44" s="62" t="str">
        <f>IFERROR(__xludf.DUMMYFUNCTION("""COMPUTED_VALUE"""),"Quilava")</f>
        <v>Quilava</v>
      </c>
      <c r="I44" s="62"/>
      <c r="J44" s="62"/>
      <c r="K44" s="199">
        <f>IFERROR(__xludf.DUMMYFUNCTION("""COMPUTED_VALUE"""),2482759.0)</f>
        <v>2482759</v>
      </c>
    </row>
    <row r="45">
      <c r="A45" s="62" t="str">
        <f>IFERROR(__xludf.DUMMYFUNCTION("""COMPUTED_VALUE"""),"Rhydon")</f>
        <v>Rhydon</v>
      </c>
      <c r="B45" s="62">
        <f>IFERROR(__xludf.DUMMYFUNCTION("""COMPUTED_VALUE"""),1.0)</f>
        <v>1</v>
      </c>
      <c r="C45" s="62">
        <f>IFERROR(__xludf.DUMMYFUNCTION("""COMPUTED_VALUE"""),37.0)</f>
        <v>37</v>
      </c>
      <c r="D45" s="62">
        <f>IFERROR(__xludf.DUMMYFUNCTION("""COMPUTED_VALUE"""),100000.0)</f>
        <v>100000</v>
      </c>
      <c r="E45" s="62"/>
      <c r="F45" s="62" t="str">
        <f>IFERROR(__xludf.DUMMYFUNCTION("""COMPUTED_VALUE"""),"Dugtrio")</f>
        <v>Dugtrio</v>
      </c>
      <c r="G45" s="62" t="str">
        <f>IFERROR(__xludf.DUMMYFUNCTION("""COMPUTED_VALUE"""),"Rhydon")</f>
        <v>Rhydon</v>
      </c>
      <c r="H45" s="62" t="str">
        <f>IFERROR(__xludf.DUMMYFUNCTION("""COMPUTED_VALUE"""),"Sandslash")</f>
        <v>Sandslash</v>
      </c>
      <c r="I45" s="62"/>
      <c r="J45" s="62"/>
      <c r="K45" s="199" t="str">
        <f>IFERROR(__xludf.DUMMYFUNCTION("""COMPUTED_VALUE"""),"")</f>
        <v/>
      </c>
    </row>
    <row r="46">
      <c r="A46" s="62" t="str">
        <f>IFERROR(__xludf.DUMMYFUNCTION("""COMPUTED_VALUE"""),"Scizor")</f>
        <v>Scizor</v>
      </c>
      <c r="B46" s="62">
        <f>IFERROR(__xludf.DUMMYFUNCTION("""COMPUTED_VALUE"""),1.0)</f>
        <v>1</v>
      </c>
      <c r="C46" s="62">
        <f>IFERROR(__xludf.DUMMYFUNCTION("""COMPUTED_VALUE"""),71.0)</f>
        <v>71</v>
      </c>
      <c r="D46" s="62">
        <f>IFERROR(__xludf.DUMMYFUNCTION("""COMPUTED_VALUE"""),150000.0)</f>
        <v>150000</v>
      </c>
      <c r="E46" s="62"/>
      <c r="F46" s="62" t="str">
        <f>IFERROR(__xludf.DUMMYFUNCTION("""COMPUTED_VALUE"""),"Pinsir")</f>
        <v>Pinsir</v>
      </c>
      <c r="G46" s="62" t="str">
        <f>IFERROR(__xludf.DUMMYFUNCTION("""COMPUTED_VALUE"""),"Scizor")</f>
        <v>Scizor</v>
      </c>
      <c r="H46" s="62" t="str">
        <f>IFERROR(__xludf.DUMMYFUNCTION("""COMPUTED_VALUE"""),"Scyther")</f>
        <v>Scyther</v>
      </c>
      <c r="I46" s="62"/>
      <c r="J46" s="62"/>
      <c r="K46" s="199" t="str">
        <f>IFERROR(__xludf.DUMMYFUNCTION("""COMPUTED_VALUE"""),"")</f>
        <v/>
      </c>
    </row>
    <row r="47">
      <c r="A47" s="62" t="str">
        <f>IFERROR(__xludf.DUMMYFUNCTION("""COMPUTED_VALUE"""),"Skarmory")</f>
        <v>Skarmory</v>
      </c>
      <c r="B47" s="62">
        <f>IFERROR(__xludf.DUMMYFUNCTION("""COMPUTED_VALUE"""),1.0)</f>
        <v>1</v>
      </c>
      <c r="C47" s="62">
        <f>IFERROR(__xludf.DUMMYFUNCTION("""COMPUTED_VALUE"""),84.0)</f>
        <v>84</v>
      </c>
      <c r="D47" s="62">
        <f>IFERROR(__xludf.DUMMYFUNCTION("""COMPUTED_VALUE"""),150000.0)</f>
        <v>150000</v>
      </c>
      <c r="E47" s="62"/>
      <c r="F47" s="62" t="str">
        <f>IFERROR(__xludf.DUMMYFUNCTION("""COMPUTED_VALUE"""),"Magneton")</f>
        <v>Magneton</v>
      </c>
      <c r="G47" s="62" t="str">
        <f>IFERROR(__xludf.DUMMYFUNCTION("""COMPUTED_VALUE"""),"Scizor")</f>
        <v>Scizor</v>
      </c>
      <c r="H47" s="62" t="str">
        <f>IFERROR(__xludf.DUMMYFUNCTION("""COMPUTED_VALUE"""),"Skarmory")</f>
        <v>Skarmory</v>
      </c>
      <c r="I47" s="62"/>
      <c r="J47" s="62"/>
      <c r="K47" s="199" t="str">
        <f>IFERROR(__xludf.DUMMYFUNCTION("""COMPUTED_VALUE"""),"")</f>
        <v/>
      </c>
    </row>
    <row r="48">
      <c r="A48" s="62" t="str">
        <f>IFERROR(__xludf.DUMMYFUNCTION("""COMPUTED_VALUE"""),"Spinarak")</f>
        <v>Spinarak</v>
      </c>
      <c r="B48" s="62">
        <f>IFERROR(__xludf.DUMMYFUNCTION("""COMPUTED_VALUE"""),1.0)</f>
        <v>1</v>
      </c>
      <c r="C48" s="62">
        <f>IFERROR(__xludf.DUMMYFUNCTION("""COMPUTED_VALUE"""),16.0)</f>
        <v>16</v>
      </c>
      <c r="D48" s="62">
        <f>IFERROR(__xludf.DUMMYFUNCTION("""COMPUTED_VALUE"""),50000.0)</f>
        <v>50000</v>
      </c>
      <c r="E48" s="198">
        <f>IFERROR(__xludf.DUMMYFUNCTION("""COMPUTED_VALUE"""),0.03125)</f>
        <v>0.03125</v>
      </c>
      <c r="F48" s="62" t="str">
        <f>IFERROR(__xludf.DUMMYFUNCTION("""COMPUTED_VALUE"""),"Spinarak")</f>
        <v>Spinarak</v>
      </c>
      <c r="G48" s="62"/>
      <c r="H48" s="62"/>
      <c r="I48" s="62"/>
      <c r="J48" s="62"/>
      <c r="K48" s="199">
        <f>IFERROR(__xludf.DUMMYFUNCTION("""COMPUTED_VALUE"""),4000000.0)</f>
        <v>4000000</v>
      </c>
    </row>
    <row r="49">
      <c r="A49" s="62" t="str">
        <f>IFERROR(__xludf.DUMMYFUNCTION("""COMPUTED_VALUE"""),"Steelix")</f>
        <v>Steelix</v>
      </c>
      <c r="B49" s="62">
        <f>IFERROR(__xludf.DUMMYFUNCTION("""COMPUTED_VALUE"""),1.0)</f>
        <v>1</v>
      </c>
      <c r="C49" s="62">
        <f>IFERROR(__xludf.DUMMYFUNCTION("""COMPUTED_VALUE"""),39.0)</f>
        <v>39</v>
      </c>
      <c r="D49" s="62">
        <f>IFERROR(__xludf.DUMMYFUNCTION("""COMPUTED_VALUE"""),150000.0)</f>
        <v>150000</v>
      </c>
      <c r="E49" s="198">
        <f>IFERROR(__xludf.DUMMYFUNCTION("""COMPUTED_VALUE"""),0.06944444444444445)</f>
        <v>0.06944444444</v>
      </c>
      <c r="F49" s="62" t="str">
        <f>IFERROR(__xludf.DUMMYFUNCTION("""COMPUTED_VALUE"""),"Golem")</f>
        <v>Golem</v>
      </c>
      <c r="G49" s="62" t="str">
        <f>IFERROR(__xludf.DUMMYFUNCTION("""COMPUTED_VALUE"""),"Onix")</f>
        <v>Onix</v>
      </c>
      <c r="H49" s="62" t="str">
        <f>IFERROR(__xludf.DUMMYFUNCTION("""COMPUTED_VALUE"""),"Rhydon")</f>
        <v>Rhydon</v>
      </c>
      <c r="I49" s="62" t="str">
        <f>IFERROR(__xludf.DUMMYFUNCTION("""COMPUTED_VALUE"""),"Skarmory")</f>
        <v>Skarmory</v>
      </c>
      <c r="J49" s="62" t="str">
        <f>IFERROR(__xludf.DUMMYFUNCTION("""COMPUTED_VALUE"""),"Steelix")</f>
        <v>Steelix</v>
      </c>
      <c r="K49" s="199">
        <f>IFERROR(__xludf.DUMMYFUNCTION("""COMPUTED_VALUE"""),5400000.0)</f>
        <v>5400000</v>
      </c>
    </row>
    <row r="50">
      <c r="A50" s="62" t="str">
        <f>IFERROR(__xludf.DUMMYFUNCTION("""COMPUTED_VALUE"""),"Swinub")</f>
        <v>Swinub</v>
      </c>
      <c r="B50" s="62">
        <f>IFERROR(__xludf.DUMMYFUNCTION("""COMPUTED_VALUE"""),1.0)</f>
        <v>1</v>
      </c>
      <c r="C50" s="62">
        <f>IFERROR(__xludf.DUMMYFUNCTION("""COMPUTED_VALUE"""),102.0)</f>
        <v>102</v>
      </c>
      <c r="D50" s="62">
        <f>IFERROR(__xludf.DUMMYFUNCTION("""COMPUTED_VALUE"""),50000.0)</f>
        <v>50000</v>
      </c>
      <c r="E50" s="62"/>
      <c r="F50" s="62" t="str">
        <f>IFERROR(__xludf.DUMMYFUNCTION("""COMPUTED_VALUE"""),"Swinub")</f>
        <v>Swinub</v>
      </c>
      <c r="G50" s="62" t="str">
        <f>IFERROR(__xludf.DUMMYFUNCTION("""COMPUTED_VALUE"""),"Smoochoom")</f>
        <v>Smoochoom</v>
      </c>
      <c r="H50" s="62"/>
      <c r="I50" s="62"/>
      <c r="J50" s="62"/>
      <c r="K50" s="199" t="str">
        <f>IFERROR(__xludf.DUMMYFUNCTION("""COMPUTED_VALUE"""),"")</f>
        <v/>
      </c>
    </row>
    <row r="51">
      <c r="A51" s="62" t="str">
        <f>IFERROR(__xludf.DUMMYFUNCTION("""COMPUTED_VALUE"""),"Tauros")</f>
        <v>Tauros</v>
      </c>
      <c r="B51" s="62">
        <f>IFERROR(__xludf.DUMMYFUNCTION("""COMPUTED_VALUE"""),1.0)</f>
        <v>1</v>
      </c>
      <c r="C51" s="62">
        <f>IFERROR(__xludf.DUMMYFUNCTION("""COMPUTED_VALUE"""),73.0)</f>
        <v>73</v>
      </c>
      <c r="D51" s="62">
        <f>IFERROR(__xludf.DUMMYFUNCTION("""COMPUTED_VALUE"""),150000.0)</f>
        <v>150000</v>
      </c>
      <c r="E51" s="62"/>
      <c r="F51" s="62" t="str">
        <f>IFERROR(__xludf.DUMMYFUNCTION("""COMPUTED_VALUE"""),"Kangaskhan")</f>
        <v>Kangaskhan</v>
      </c>
      <c r="G51" s="62" t="str">
        <f>IFERROR(__xludf.DUMMYFUNCTION("""COMPUTED_VALUE"""),"Snorlax")</f>
        <v>Snorlax</v>
      </c>
      <c r="H51" s="62" t="str">
        <f>IFERROR(__xludf.DUMMYFUNCTION("""COMPUTED_VALUE"""),"Tauros")</f>
        <v>Tauros</v>
      </c>
      <c r="I51" s="62"/>
      <c r="J51" s="62"/>
      <c r="K51" s="199" t="str">
        <f>IFERROR(__xludf.DUMMYFUNCTION("""COMPUTED_VALUE"""),"")</f>
        <v/>
      </c>
    </row>
    <row r="52">
      <c r="A52" s="62" t="str">
        <f>IFERROR(__xludf.DUMMYFUNCTION("""COMPUTED_VALUE"""),"Totodile")</f>
        <v>Totodile</v>
      </c>
      <c r="B52" s="62">
        <f>IFERROR(__xludf.DUMMYFUNCTION("""COMPUTED_VALUE"""),1.0)</f>
        <v>1</v>
      </c>
      <c r="C52" s="62">
        <f>IFERROR(__xludf.DUMMYFUNCTION("""COMPUTED_VALUE"""),67.0)</f>
        <v>67</v>
      </c>
      <c r="D52" s="62">
        <f>IFERROR(__xludf.DUMMYFUNCTION("""COMPUTED_VALUE"""),50000.0)</f>
        <v>50000</v>
      </c>
      <c r="E52" s="198">
        <f>IFERROR(__xludf.DUMMYFUNCTION("""COMPUTED_VALUE"""),0.11805555555555555)</f>
        <v>0.1180555556</v>
      </c>
      <c r="F52" s="62" t="str">
        <f>IFERROR(__xludf.DUMMYFUNCTION("""COMPUTED_VALUE"""),"Maril")</f>
        <v>Maril</v>
      </c>
      <c r="G52" s="62" t="str">
        <f>IFERROR(__xludf.DUMMYFUNCTION("""COMPUTED_VALUE"""),"Totodile")</f>
        <v>Totodile</v>
      </c>
      <c r="H52" s="62" t="str">
        <f>IFERROR(__xludf.DUMMYFUNCTION("""COMPUTED_VALUE"""),"Squirtle")</f>
        <v>Squirtle</v>
      </c>
      <c r="I52" s="62"/>
      <c r="J52" s="62"/>
      <c r="K52" s="199">
        <f>IFERROR(__xludf.DUMMYFUNCTION("""COMPUTED_VALUE"""),1058824.0)</f>
        <v>1058824</v>
      </c>
    </row>
    <row r="53">
      <c r="A53" s="62" t="str">
        <f>IFERROR(__xludf.DUMMYFUNCTION("""COMPUTED_VALUE"""),"Toxicroak")</f>
        <v>Toxicroak</v>
      </c>
      <c r="B53" s="62">
        <f>IFERROR(__xludf.DUMMYFUNCTION("""COMPUTED_VALUE"""),1.0)</f>
        <v>1</v>
      </c>
      <c r="C53" s="62">
        <f>IFERROR(__xludf.DUMMYFUNCTION("""COMPUTED_VALUE"""),63.0)</f>
        <v>63</v>
      </c>
      <c r="D53" s="62">
        <f>IFERROR(__xludf.DUMMYFUNCTION("""COMPUTED_VALUE"""),150000.0)</f>
        <v>150000</v>
      </c>
      <c r="E53" s="62"/>
      <c r="F53" s="62" t="str">
        <f>IFERROR(__xludf.DUMMYFUNCTION("""COMPUTED_VALUE"""),"Nidoking")</f>
        <v>Nidoking</v>
      </c>
      <c r="G53" s="62" t="str">
        <f>IFERROR(__xludf.DUMMYFUNCTION("""COMPUTED_VALUE"""),"Nidoqueen")</f>
        <v>Nidoqueen</v>
      </c>
      <c r="H53" s="62" t="str">
        <f>IFERROR(__xludf.DUMMYFUNCTION("""COMPUTED_VALUE"""),"Toxicroak")</f>
        <v>Toxicroak</v>
      </c>
      <c r="I53" s="62"/>
      <c r="J53" s="62"/>
      <c r="K53" s="62"/>
    </row>
    <row r="54">
      <c r="A54" s="62" t="str">
        <f>IFERROR(__xludf.DUMMYFUNCTION("""COMPUTED_VALUE"""),"Typhlosion")</f>
        <v>Typhlosion</v>
      </c>
      <c r="B54" s="62">
        <f>IFERROR(__xludf.DUMMYFUNCTION("""COMPUTED_VALUE"""),1.0)</f>
        <v>1</v>
      </c>
      <c r="C54" s="62">
        <f>IFERROR(__xludf.DUMMYFUNCTION("""COMPUTED_VALUE"""),50.0)</f>
        <v>50</v>
      </c>
      <c r="D54" s="62">
        <f>IFERROR(__xludf.DUMMYFUNCTION("""COMPUTED_VALUE"""),150000.0)</f>
        <v>150000</v>
      </c>
      <c r="E54" s="198">
        <f>IFERROR(__xludf.DUMMYFUNCTION("""COMPUTED_VALUE"""),0.11805555555555555)</f>
        <v>0.1180555556</v>
      </c>
      <c r="F54" s="62" t="str">
        <f>IFERROR(__xludf.DUMMYFUNCTION("""COMPUTED_VALUE"""),"Arcanine")</f>
        <v>Arcanine</v>
      </c>
      <c r="G54" s="62" t="str">
        <f>IFERROR(__xludf.DUMMYFUNCTION("""COMPUTED_VALUE"""),"Charizard")</f>
        <v>Charizard</v>
      </c>
      <c r="H54" s="62" t="str">
        <f>IFERROR(__xludf.DUMMYFUNCTION("""COMPUTED_VALUE"""),"Flareon")</f>
        <v>Flareon</v>
      </c>
      <c r="I54" s="62" t="str">
        <f>IFERROR(__xludf.DUMMYFUNCTION("""COMPUTED_VALUE"""),"Typhlosion")</f>
        <v>Typhlosion</v>
      </c>
      <c r="J54" s="62"/>
      <c r="K54" s="199">
        <f>IFERROR(__xludf.DUMMYFUNCTION("""COMPUTED_VALUE"""),3176471.0)</f>
        <v>3176471</v>
      </c>
    </row>
    <row r="55">
      <c r="A55" s="62" t="str">
        <f>IFERROR(__xludf.DUMMYFUNCTION("""COMPUTED_VALUE"""),"Tyranitar")</f>
        <v>Tyranitar</v>
      </c>
      <c r="B55" s="62">
        <f>IFERROR(__xludf.DUMMYFUNCTION("""COMPUTED_VALUE"""),1.0)</f>
        <v>1</v>
      </c>
      <c r="C55" s="62">
        <f>IFERROR(__xludf.DUMMYFUNCTION("""COMPUTED_VALUE"""),51.0)</f>
        <v>51</v>
      </c>
      <c r="D55" s="62">
        <f>IFERROR(__xludf.DUMMYFUNCTION("""COMPUTED_VALUE"""),150000.0)</f>
        <v>150000</v>
      </c>
      <c r="E55" s="198">
        <f>IFERROR(__xludf.DUMMYFUNCTION("""COMPUTED_VALUE"""),0.12152777777777778)</f>
        <v>0.1215277778</v>
      </c>
      <c r="F55" s="62" t="str">
        <f>IFERROR(__xludf.DUMMYFUNCTION("""COMPUTED_VALUE"""),"Kabutops")</f>
        <v>Kabutops</v>
      </c>
      <c r="G55" s="62" t="str">
        <f>IFERROR(__xludf.DUMMYFUNCTION("""COMPUTED_VALUE"""),"Omastar")</f>
        <v>Omastar</v>
      </c>
      <c r="H55" s="62" t="str">
        <f>IFERROR(__xludf.DUMMYFUNCTION("""COMPUTED_VALUE"""),"Tyranitar")</f>
        <v>Tyranitar</v>
      </c>
      <c r="I55" s="62"/>
      <c r="J55" s="62"/>
      <c r="K55" s="199">
        <f>IFERROR(__xludf.DUMMYFUNCTION("""COMPUTED_VALUE"""),3085714.0)</f>
        <v>3085714</v>
      </c>
    </row>
    <row r="56">
      <c r="A56" s="62" t="str">
        <f>IFERROR(__xludf.DUMMYFUNCTION("""COMPUTED_VALUE"""),"Zubat")</f>
        <v>Zubat</v>
      </c>
      <c r="B56" s="62">
        <f>IFERROR(__xludf.DUMMYFUNCTION("""COMPUTED_VALUE"""),1.0)</f>
        <v>1</v>
      </c>
      <c r="C56" s="62">
        <f>IFERROR(__xludf.DUMMYFUNCTION("""COMPUTED_VALUE"""),10.0)</f>
        <v>10</v>
      </c>
      <c r="D56" s="62">
        <f>IFERROR(__xludf.DUMMYFUNCTION("""COMPUTED_VALUE"""),50000.0)</f>
        <v>50000</v>
      </c>
      <c r="E56" s="62"/>
      <c r="F56" s="62" t="str">
        <f>IFERROR(__xludf.DUMMYFUNCTION("""COMPUTED_VALUE"""),"Ekans")</f>
        <v>Ekans</v>
      </c>
      <c r="G56" s="62" t="str">
        <f>IFERROR(__xludf.DUMMYFUNCTION("""COMPUTED_VALUE"""),"Koffing")</f>
        <v>Koffing</v>
      </c>
      <c r="H56" s="62" t="str">
        <f>IFERROR(__xludf.DUMMYFUNCTION("""COMPUTED_VALUE"""),"Zubat")</f>
        <v>Zubat</v>
      </c>
      <c r="I56" s="62"/>
      <c r="J56" s="62"/>
      <c r="K56" s="199" t="str">
        <f>IFERROR(__xludf.DUMMYFUNCTION("""COMPUTED_VALUE"""),"")</f>
        <v/>
      </c>
    </row>
    <row r="57">
      <c r="A57" s="62" t="str">
        <f>IFERROR(__xludf.DUMMYFUNCTION("""COMPUTED_VALUE"""),"Zweilous")</f>
        <v>Zweilous</v>
      </c>
      <c r="B57" s="62">
        <f>IFERROR(__xludf.DUMMYFUNCTION("""COMPUTED_VALUE"""),1.0)</f>
        <v>1</v>
      </c>
      <c r="C57" s="62">
        <f>IFERROR(__xludf.DUMMYFUNCTION("""COMPUTED_VALUE"""),93.0)</f>
        <v>93</v>
      </c>
      <c r="D57" s="62">
        <f>IFERROR(__xludf.DUMMYFUNCTION("""COMPUTED_VALUE"""),100000.0)</f>
        <v>100000</v>
      </c>
      <c r="E57" s="62"/>
      <c r="F57" s="62" t="str">
        <f>IFERROR(__xludf.DUMMYFUNCTION("""COMPUTED_VALUE"""),"Murkrow")</f>
        <v>Murkrow</v>
      </c>
      <c r="G57" s="62" t="str">
        <f>IFERROR(__xludf.DUMMYFUNCTION("""COMPUTED_VALUE"""),"Qwilfish")</f>
        <v>Qwilfish</v>
      </c>
      <c r="H57" s="62" t="str">
        <f>IFERROR(__xludf.DUMMYFUNCTION("""COMPUTED_VALUE"""),"Zweilous")</f>
        <v>Zweilous</v>
      </c>
      <c r="I57" s="62"/>
      <c r="J57" s="62"/>
      <c r="K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tr">
        <f>IFERROR(__xludf.DUMMYFUNCTION("IMPORTRANGE(""https://docs.google.com/spreadsheets/d/1ID3qu1P4Zey82OSLntg4O0xoZlY1hGK58tte0D_Cv_s/edit?pli=1&amp;gid=1960074888#gid=1960074888"", ""DgItems!A1:L100"")"),"Pokemon")</f>
        <v>Pokemon</v>
      </c>
      <c r="B1" s="62" t="str">
        <f>IFERROR(__xludf.DUMMYFUNCTION("""COMPUTED_VALUE"""),"Jogadores")</f>
        <v>Jogadores</v>
      </c>
      <c r="C1" s="62"/>
      <c r="D1" s="62"/>
      <c r="E1" s="62"/>
      <c r="F1" s="62"/>
      <c r="G1" s="62"/>
      <c r="H1" s="62"/>
      <c r="I1" s="62"/>
      <c r="J1" s="62"/>
      <c r="K1" s="62"/>
      <c r="L1" s="62"/>
    </row>
    <row r="2">
      <c r="A2" s="62" t="str">
        <f>IFERROR(__xludf.DUMMYFUNCTION("""COMPUTED_VALUE"""),"Abra")</f>
        <v>Abra</v>
      </c>
      <c r="B2" s="62">
        <f>IFERROR(__xludf.DUMMYFUNCTION("""COMPUTED_VALUE"""),1.0)</f>
        <v>1</v>
      </c>
      <c r="C2" s="62" t="str">
        <f>IFERROR(__xludf.DUMMYFUNCTION("""COMPUTED_VALUE"""),"psychic fragment")</f>
        <v>psychic fragment</v>
      </c>
      <c r="D2" s="62" t="str">
        <f>IFERROR(__xludf.DUMMYFUNCTION("""COMPUTED_VALUE"""),"enigma stone")</f>
        <v>enigma stone</v>
      </c>
      <c r="E2" s="62" t="str">
        <f>IFERROR(__xludf.DUMMYFUNCTION("""COMPUTED_VALUE"""),"psychic vest (Abra)")</f>
        <v>psychic vest (Abra)</v>
      </c>
      <c r="F2" s="62" t="str">
        <f>IFERROR(__xludf.DUMMYFUNCTION("""COMPUTED_VALUE"""),"drowzee trunk (Drowzee)")</f>
        <v>drowzee trunk (Drowzee)</v>
      </c>
      <c r="G2" s="62" t="str">
        <f>IFERROR(__xludf.DUMMYFUNCTION("""COMPUTED_VALUE"""),"blue psychic vest (Shiny Abra)")</f>
        <v>blue psychic vest (Shiny Abra)</v>
      </c>
      <c r="H2" s="62" t="str">
        <f>IFERROR(__xludf.DUMMYFUNCTION("""COMPUTED_VALUE"""),"enchanted spoon (Shiny Kadabra)")</f>
        <v>enchanted spoon (Shiny Kadabra)</v>
      </c>
      <c r="I2" s="62"/>
      <c r="J2" s="62"/>
      <c r="K2" s="62"/>
      <c r="L2" s="62"/>
    </row>
    <row r="3">
      <c r="A3" s="62" t="str">
        <f>IFERROR(__xludf.DUMMYFUNCTION("""COMPUTED_VALUE"""),"Alakazam")</f>
        <v>Alakazam</v>
      </c>
      <c r="B3" s="62">
        <f>IFERROR(__xludf.DUMMYFUNCTION("""COMPUTED_VALUE"""),1.0)</f>
        <v>1</v>
      </c>
      <c r="C3" s="62" t="str">
        <f>IFERROR(__xludf.DUMMYFUNCTION("""COMPUTED_VALUE"""),"psychic fragment")</f>
        <v>psychic fragment</v>
      </c>
      <c r="D3" s="62" t="str">
        <f>IFERROR(__xludf.DUMMYFUNCTION("""COMPUTED_VALUE"""),"enigma stone")</f>
        <v>enigma stone</v>
      </c>
      <c r="E3" s="62" t="str">
        <f>IFERROR(__xludf.DUMMYFUNCTION("""COMPUTED_VALUE"""),"psychic moustache (Alakazam)")</f>
        <v>psychic moustache (Alakazam)</v>
      </c>
      <c r="F3" s="62" t="str">
        <f>IFERROR(__xludf.DUMMYFUNCTION("""COMPUTED_VALUE"""),"two-eyed black tail (Wobbuffet)")</f>
        <v>two-eyed black tail (Wobbuffet)</v>
      </c>
      <c r="G3" s="62" t="str">
        <f>IFERROR(__xludf.DUMMYFUNCTION("""COMPUTED_VALUE"""),"purple moustache (Shiny Alakazam)")</f>
        <v>purple moustache (Shiny Alakazam)</v>
      </c>
      <c r="H3" s="62"/>
      <c r="I3" s="62"/>
      <c r="J3" s="62"/>
      <c r="K3" s="62"/>
      <c r="L3" s="62"/>
    </row>
    <row r="4">
      <c r="A4" s="62" t="str">
        <f>IFERROR(__xludf.DUMMYFUNCTION("""COMPUTED_VALUE"""),"Ampharos")</f>
        <v>Ampharos</v>
      </c>
      <c r="B4" s="62">
        <f>IFERROR(__xludf.DUMMYFUNCTION("""COMPUTED_VALUE"""),1.0)</f>
        <v>1</v>
      </c>
      <c r="C4" s="62" t="str">
        <f>IFERROR(__xludf.DUMMYFUNCTION("""COMPUTED_VALUE"""),"electric fragment")</f>
        <v>electric fragment</v>
      </c>
      <c r="D4" s="62" t="str">
        <f>IFERROR(__xludf.DUMMYFUNCTION("""COMPUTED_VALUE"""),"thunder stone")</f>
        <v>thunder stone</v>
      </c>
      <c r="E4" s="62" t="str">
        <f>IFERROR(__xludf.DUMMYFUNCTION("""COMPUTED_VALUE"""),"electric sheep tail (Ampharos)")</f>
        <v>electric sheep tail (Ampharos)</v>
      </c>
      <c r="F4" s="62" t="str">
        <f>IFERROR(__xludf.DUMMYFUNCTION("""COMPUTED_VALUE"""),"electric ear (Raichu)")</f>
        <v>electric ear (Raichu)</v>
      </c>
      <c r="G4" s="62" t="str">
        <f>IFERROR(__xludf.DUMMYFUNCTION("""COMPUTED_VALUE"""),"electric tail (Electabuzz)")</f>
        <v>electric tail (Electabuzz)</v>
      </c>
      <c r="H4" s="62" t="str">
        <f>IFERROR(__xludf.DUMMYFUNCTION("""COMPUTED_VALUE"""),"green sheep tail (Shiny Ampharos)")</f>
        <v>green sheep tail (Shiny Ampharos)</v>
      </c>
      <c r="I4" s="62"/>
      <c r="J4" s="62"/>
      <c r="K4" s="62"/>
      <c r="L4" s="62"/>
    </row>
    <row r="5">
      <c r="A5" s="62" t="str">
        <f>IFERROR(__xludf.DUMMYFUNCTION("""COMPUTED_VALUE"""),"Bayleef")</f>
        <v>Bayleef</v>
      </c>
      <c r="B5" s="62">
        <f>IFERROR(__xludf.DUMMYFUNCTION("""COMPUTED_VALUE"""),1.0)</f>
        <v>1</v>
      </c>
      <c r="C5" s="62" t="str">
        <f>IFERROR(__xludf.DUMMYFUNCTION("""COMPUTED_VALUE"""),"grass fragment")</f>
        <v>grass fragment</v>
      </c>
      <c r="D5" s="62" t="str">
        <f>IFERROR(__xludf.DUMMYFUNCTION("""COMPUTED_VALUE"""),"leaf stone")</f>
        <v>leaf stone</v>
      </c>
      <c r="E5" s="62" t="str">
        <f>IFERROR(__xludf.DUMMYFUNCTION("""COMPUTED_VALUE"""),"big leaf (Bayleef)")</f>
        <v>big leaf (Bayleef)</v>
      </c>
      <c r="F5" s="62" t="str">
        <f>IFERROR(__xludf.DUMMYFUNCTION("""COMPUTED_VALUE"""),"leaf (Ivysaur)")</f>
        <v>leaf (Ivysaur)</v>
      </c>
      <c r="G5" s="62" t="str">
        <f>IFERROR(__xludf.DUMMYFUNCTION("""COMPUTED_VALUE"""),"purple big leaf (Shiny Bayleef)")</f>
        <v>purple big leaf (Shiny Bayleef)</v>
      </c>
      <c r="H5" s="62" t="str">
        <f>IFERROR(__xludf.DUMMYFUNCTION("""COMPUTED_VALUE"""),"purple petal (Shiny Meganium)")</f>
        <v>purple petal (Shiny Meganium)</v>
      </c>
      <c r="I5" s="62"/>
      <c r="J5" s="62"/>
      <c r="K5" s="62"/>
      <c r="L5" s="62"/>
    </row>
    <row r="6">
      <c r="A6" s="62" t="str">
        <f>IFERROR(__xludf.DUMMYFUNCTION("""COMPUTED_VALUE"""),"Chicorita")</f>
        <v>Chicorita</v>
      </c>
      <c r="B6" s="62">
        <f>IFERROR(__xludf.DUMMYFUNCTION("""COMPUTED_VALUE"""),1.0)</f>
        <v>1</v>
      </c>
      <c r="C6" s="62" t="str">
        <f>IFERROR(__xludf.DUMMYFUNCTION("""COMPUTED_VALUE"""),"grass fragment")</f>
        <v>grass fragment</v>
      </c>
      <c r="D6" s="62" t="str">
        <f>IFERROR(__xludf.DUMMYFUNCTION("""COMPUTED_VALUE"""),"leaf stone")</f>
        <v>leaf stone</v>
      </c>
      <c r="E6" s="62" t="str">
        <f>IFERROR(__xludf.DUMMYFUNCTION("""COMPUTED_VALUE"""),"chicory (Chicorita)")</f>
        <v>chicory (Chicorita)</v>
      </c>
      <c r="F6" s="62" t="str">
        <f>IFERROR(__xludf.DUMMYFUNCTION("""COMPUTED_VALUE"""),"bulb (Bulbasaur)")</f>
        <v>bulb (Bulbasaur)</v>
      </c>
      <c r="G6" s="62" t="str">
        <f>IFERROR(__xludf.DUMMYFUNCTION("""COMPUTED_VALUE"""),"exeggcute seed (Exeggcute)")</f>
        <v>exeggcute seed (Exeggcute)</v>
      </c>
      <c r="H6" s="62" t="str">
        <f>IFERROR(__xludf.DUMMYFUNCTION("""COMPUTED_VALUE"""),"purple chicory (Shiny Chicorita)")</f>
        <v>purple chicory (Shiny Chicorita)</v>
      </c>
      <c r="I6" s="62" t="str">
        <f>IFERROR(__xludf.DUMMYFUNCTION("""COMPUTED_VALUE"""),"purple big leaf (Shiny Bayleef)")</f>
        <v>purple big leaf (Shiny Bayleef)</v>
      </c>
      <c r="J6" s="62"/>
      <c r="K6" s="62"/>
      <c r="L6" s="62"/>
    </row>
    <row r="7">
      <c r="A7" s="62" t="str">
        <f>IFERROR(__xludf.DUMMYFUNCTION("""COMPUTED_VALUE"""),"Croconaw")</f>
        <v>Croconaw</v>
      </c>
      <c r="B7" s="62">
        <f>IFERROR(__xludf.DUMMYFUNCTION("""COMPUTED_VALUE"""),1.0)</f>
        <v>1</v>
      </c>
      <c r="C7" s="62" t="str">
        <f>IFERROR(__xludf.DUMMYFUNCTION("""COMPUTED_VALUE"""),"water fragment")</f>
        <v>water fragment</v>
      </c>
      <c r="D7" s="62" t="str">
        <f>IFERROR(__xludf.DUMMYFUNCTION("""COMPUTED_VALUE"""),"water stone")</f>
        <v>water stone</v>
      </c>
      <c r="E7" s="62" t="str">
        <f>IFERROR(__xludf.DUMMYFUNCTION("""COMPUTED_VALUE"""),"red hair (Feraligatr)")</f>
        <v>red hair (Feraligatr)</v>
      </c>
      <c r="F7" s="62" t="str">
        <f>IFERROR(__xludf.DUMMYFUNCTION("""COMPUTED_VALUE"""),"cute ears (Azumarill)")</f>
        <v>cute ears (Azumarill)</v>
      </c>
      <c r="G7" s="62" t="str">
        <f>IFERROR(__xludf.DUMMYFUNCTION("""COMPUTED_VALUE"""),"water cannon (Blastoise)")</f>
        <v>water cannon (Blastoise)</v>
      </c>
      <c r="H7" s="62" t="str">
        <f>IFERROR(__xludf.DUMMYFUNCTION("""COMPUTED_VALUE"""),"aquatic tail (Vaporeon)")</f>
        <v>aquatic tail (Vaporeon)</v>
      </c>
      <c r="I7" s="62" t="str">
        <f>IFERROR(__xludf.DUMMYFUNCTION("""COMPUTED_VALUE"""),"blue mohawk (Shiny Croconaw)")</f>
        <v>blue mohawk (Shiny Croconaw)</v>
      </c>
      <c r="J7" s="62" t="str">
        <f>IFERROR(__xludf.DUMMYFUNCTION("""COMPUTED_VALUE"""),"big blue mohawk (Shiny Feraligatr)")</f>
        <v>big blue mohawk (Shiny Feraligatr)</v>
      </c>
      <c r="K7" s="62"/>
      <c r="L7" s="62"/>
    </row>
    <row r="8">
      <c r="A8" s="62" t="str">
        <f>IFERROR(__xludf.DUMMYFUNCTION("""COMPUTED_VALUE"""),"Cubone")</f>
        <v>Cubone</v>
      </c>
      <c r="B8" s="62">
        <f>IFERROR(__xludf.DUMMYFUNCTION("""COMPUTED_VALUE"""),1.0)</f>
        <v>1</v>
      </c>
      <c r="C8" s="62" t="str">
        <f>IFERROR(__xludf.DUMMYFUNCTION("""COMPUTED_VALUE"""),"ground fragment")</f>
        <v>ground fragment</v>
      </c>
      <c r="D8" s="62" t="str">
        <f>IFERROR(__xludf.DUMMYFUNCTION("""COMPUTED_VALUE"""),"earth stone")</f>
        <v>earth stone</v>
      </c>
      <c r="E8" s="62" t="str">
        <f>IFERROR(__xludf.DUMMYFUNCTION("""COMPUTED_VALUE"""),"armadillo tail (Sandshrew)")</f>
        <v>armadillo tail (Sandshrew)</v>
      </c>
      <c r="F8" s="62" t="str">
        <f>IFERROR(__xludf.DUMMYFUNCTION("""COMPUTED_VALUE"""),"cubone skull (Cubone)")</f>
        <v>cubone skull (Cubone)</v>
      </c>
      <c r="G8" s="62" t="str">
        <f>IFERROR(__xludf.DUMMYFUNCTION("""COMPUTED_VALUE"""),"cyan skull (Shiny Cubone)")</f>
        <v>cyan skull (Shiny Cubone)</v>
      </c>
      <c r="H8" s="62" t="str">
        <f>IFERROR(__xludf.DUMMYFUNCTION("""COMPUTED_VALUE"""),"blue bone (Shiny Marowak)")</f>
        <v>blue bone (Shiny Marowak)</v>
      </c>
      <c r="I8" s="62"/>
      <c r="J8" s="62"/>
      <c r="K8" s="62"/>
      <c r="L8" s="62"/>
    </row>
    <row r="9">
      <c r="A9" s="62" t="str">
        <f>IFERROR(__xludf.DUMMYFUNCTION("""COMPUTED_VALUE"""),"Cyndaquil")</f>
        <v>Cyndaquil</v>
      </c>
      <c r="B9" s="62">
        <f>IFERROR(__xludf.DUMMYFUNCTION("""COMPUTED_VALUE"""),1.0)</f>
        <v>1</v>
      </c>
      <c r="C9" s="62" t="str">
        <f>IFERROR(__xludf.DUMMYFUNCTION("""COMPUTED_VALUE"""),"fire fragment")</f>
        <v>fire fragment</v>
      </c>
      <c r="D9" s="62" t="str">
        <f>IFERROR(__xludf.DUMMYFUNCTION("""COMPUTED_VALUE"""),"fire stone")</f>
        <v>fire stone</v>
      </c>
      <c r="E9" s="62" t="str">
        <f>IFERROR(__xludf.DUMMYFUNCTION("""COMPUTED_VALUE"""),"cyndaquil nose (Cyndaquil)")</f>
        <v>cyndaquil nose (Cyndaquil)</v>
      </c>
      <c r="F9" s="62" t="str">
        <f>IFERROR(__xludf.DUMMYFUNCTION("""COMPUTED_VALUE"""),"dog fur (Growlithe)")</f>
        <v>dog fur (Growlithe)</v>
      </c>
      <c r="G9" s="62" t="str">
        <f>IFERROR(__xludf.DUMMYFUNCTION("""COMPUTED_VALUE"""),"fire tail (Charmander)")</f>
        <v>fire tail (Charmander)</v>
      </c>
      <c r="H9" s="62" t="str">
        <f>IFERROR(__xludf.DUMMYFUNCTION("""COMPUTED_VALUE"""),"red nose (Shiny Cyndaquil)")</f>
        <v>red nose (Shiny Cyndaquil)</v>
      </c>
      <c r="I9" s="62" t="str">
        <f>IFERROR(__xludf.DUMMYFUNCTION("""COMPUTED_VALUE"""),"blaze fur (Shiny Quilava)")</f>
        <v>blaze fur (Shiny Quilava)</v>
      </c>
      <c r="J9" s="62"/>
      <c r="K9" s="62"/>
      <c r="L9" s="62"/>
    </row>
    <row r="10">
      <c r="A10" s="62" t="str">
        <f>IFERROR(__xludf.DUMMYFUNCTION("""COMPUTED_VALUE"""),"Dragonair")</f>
        <v>Dragonair</v>
      </c>
      <c r="B10" s="62">
        <f>IFERROR(__xludf.DUMMYFUNCTION("""COMPUTED_VALUE"""),1.0)</f>
        <v>1</v>
      </c>
      <c r="C10" s="62" t="str">
        <f>IFERROR(__xludf.DUMMYFUNCTION("""COMPUTED_VALUE"""),"dragon fragment")</f>
        <v>dragon fragment</v>
      </c>
      <c r="D10" s="62" t="str">
        <f>IFERROR(__xludf.DUMMYFUNCTION("""COMPUTED_VALUE"""),"crystal stone")</f>
        <v>crystal stone</v>
      </c>
      <c r="E10" s="62" t="str">
        <f>IFERROR(__xludf.DUMMYFUNCTION("""COMPUTED_VALUE"""),"dragonair tail (Dragonair)")</f>
        <v>dragonair tail (Dragonair)</v>
      </c>
      <c r="F10" s="62" t="str">
        <f>IFERROR(__xludf.DUMMYFUNCTION("""COMPUTED_VALUE"""),"yellow dragon tail (Shiny Dragonair)")</f>
        <v>yellow dragon tail (Shiny Dragonair)</v>
      </c>
      <c r="G10" s="62" t="str">
        <f>IFERROR(__xludf.DUMMYFUNCTION("""COMPUTED_VALUE"""),"golden dragon tail (Shiny Dragonite)")</f>
        <v>golden dragon tail (Shiny Dragonite)</v>
      </c>
      <c r="H10" s="62"/>
      <c r="I10" s="62"/>
      <c r="J10" s="62"/>
      <c r="K10" s="62"/>
      <c r="L10" s="62"/>
    </row>
    <row r="11">
      <c r="A11" s="62" t="str">
        <f>IFERROR(__xludf.DUMMYFUNCTION("""COMPUTED_VALUE"""),"Dragonite")</f>
        <v>Dragonite</v>
      </c>
      <c r="B11" s="62">
        <f>IFERROR(__xludf.DUMMYFUNCTION("""COMPUTED_VALUE"""),1.0)</f>
        <v>1</v>
      </c>
      <c r="C11" s="62" t="str">
        <f>IFERROR(__xludf.DUMMYFUNCTION("""COMPUTED_VALUE"""),"dragon fragment")</f>
        <v>dragon fragment</v>
      </c>
      <c r="D11" s="62" t="str">
        <f>IFERROR(__xludf.DUMMYFUNCTION("""COMPUTED_VALUE"""),"crystal stone")</f>
        <v>crystal stone</v>
      </c>
      <c r="E11" s="62" t="str">
        <f>IFERROR(__xludf.DUMMYFUNCTION("""COMPUTED_VALUE"""),"dragonite tail (Dragonite)")</f>
        <v>dragonite tail (Dragonite)</v>
      </c>
      <c r="F11" s="62" t="str">
        <f>IFERROR(__xludf.DUMMYFUNCTION("""COMPUTED_VALUE"""),"sea dragon fin (Kingdra)")</f>
        <v>sea dragon fin (Kingdra)</v>
      </c>
      <c r="G11" s="62" t="str">
        <f>IFERROR(__xludf.DUMMYFUNCTION("""COMPUTED_VALUE"""),"golden dragon tail (Shiny Dragonite)")</f>
        <v>golden dragon tail (Shiny Dragonite)</v>
      </c>
      <c r="H11" s="62"/>
      <c r="I11" s="62"/>
      <c r="J11" s="62"/>
      <c r="K11" s="62"/>
      <c r="L11" s="62"/>
    </row>
    <row r="12">
      <c r="A12" s="62" t="str">
        <f>IFERROR(__xludf.DUMMYFUNCTION("""COMPUTED_VALUE"""),"Dratini")</f>
        <v>Dratini</v>
      </c>
      <c r="B12" s="62">
        <f>IFERROR(__xludf.DUMMYFUNCTION("""COMPUTED_VALUE"""),1.0)</f>
        <v>1</v>
      </c>
      <c r="C12" s="62" t="str">
        <f>IFERROR(__xludf.DUMMYFUNCTION("""COMPUTED_VALUE"""),"dragon fragment")</f>
        <v>dragon fragment</v>
      </c>
      <c r="D12" s="62" t="str">
        <f>IFERROR(__xludf.DUMMYFUNCTION("""COMPUTED_VALUE"""),"crystal stone")</f>
        <v>crystal stone</v>
      </c>
      <c r="E12" s="62" t="str">
        <f>IFERROR(__xludf.DUMMYFUNCTION("""COMPUTED_VALUE"""),"dratini ear (Dratini)")</f>
        <v>dratini ear (Dratini)</v>
      </c>
      <c r="F12" s="62" t="str">
        <f>IFERROR(__xludf.DUMMYFUNCTION("""COMPUTED_VALUE"""),"sea dragon fin (Kingdra)")</f>
        <v>sea dragon fin (Kingdra)</v>
      </c>
      <c r="G12" s="62" t="str">
        <f>IFERROR(__xludf.DUMMYFUNCTION("""COMPUTED_VALUE"""),"yellow dragon tail (Shiny Dragonair)")</f>
        <v>yellow dragon tail (Shiny Dragonair)</v>
      </c>
      <c r="H12" s="62"/>
      <c r="I12" s="62"/>
      <c r="J12" s="62"/>
      <c r="K12" s="62"/>
      <c r="L12" s="62"/>
    </row>
    <row r="13">
      <c r="A13" s="62" t="str">
        <f>IFERROR(__xludf.DUMMYFUNCTION("""COMPUTED_VALUE"""),"Feraligatr")</f>
        <v>Feraligatr</v>
      </c>
      <c r="B13" s="62">
        <f>IFERROR(__xludf.DUMMYFUNCTION("""COMPUTED_VALUE"""),1.0)</f>
        <v>1</v>
      </c>
      <c r="C13" s="62" t="str">
        <f>IFERROR(__xludf.DUMMYFUNCTION("""COMPUTED_VALUE"""),"water fragment")</f>
        <v>water fragment</v>
      </c>
      <c r="D13" s="62" t="str">
        <f>IFERROR(__xludf.DUMMYFUNCTION("""COMPUTED_VALUE"""),"water stone")</f>
        <v>water stone</v>
      </c>
      <c r="E13" s="62" t="str">
        <f>IFERROR(__xludf.DUMMYFUNCTION("""COMPUTED_VALUE"""),"red hair (Feraligatr)")</f>
        <v>red hair (Feraligatr)</v>
      </c>
      <c r="F13" s="62" t="str">
        <f>IFERROR(__xludf.DUMMYFUNCTION("""COMPUTED_VALUE"""),"cute ears (Azumarill)")</f>
        <v>cute ears (Azumarill)</v>
      </c>
      <c r="G13" s="62" t="str">
        <f>IFERROR(__xludf.DUMMYFUNCTION("""COMPUTED_VALUE"""),"water cannon (Blastoise)")</f>
        <v>water cannon (Blastoise)</v>
      </c>
      <c r="H13" s="62" t="str">
        <f>IFERROR(__xludf.DUMMYFUNCTION("""COMPUTED_VALUE"""),"aquatic tail (Vaporeon)")</f>
        <v>aquatic tail (Vaporeon)</v>
      </c>
      <c r="I13" s="62" t="str">
        <f>IFERROR(__xludf.DUMMYFUNCTION("""COMPUTED_VALUE"""),"big blue mohawk (Shiny Feraligatr)")</f>
        <v>big blue mohawk (Shiny Feraligatr)</v>
      </c>
      <c r="J13" s="62"/>
      <c r="K13" s="62"/>
      <c r="L13" s="62"/>
    </row>
    <row r="14">
      <c r="A14" s="62" t="str">
        <f>IFERROR(__xludf.DUMMYFUNCTION("""COMPUTED_VALUE"""),"Flaaffy")</f>
        <v>Flaaffy</v>
      </c>
      <c r="B14" s="62">
        <f>IFERROR(__xludf.DUMMYFUNCTION("""COMPUTED_VALUE"""),1.0)</f>
        <v>1</v>
      </c>
      <c r="C14" s="62" t="str">
        <f>IFERROR(__xludf.DUMMYFUNCTION("""COMPUTED_VALUE"""),"electric fragment")</f>
        <v>electric fragment</v>
      </c>
      <c r="D14" s="62" t="str">
        <f>IFERROR(__xludf.DUMMYFUNCTION("""COMPUTED_VALUE"""),"thunder stone")</f>
        <v>thunder stone</v>
      </c>
      <c r="E14" s="62" t="str">
        <f>IFERROR(__xludf.DUMMYFUNCTION("""COMPUTED_VALUE"""),"soft wool (Flaaffy)")</f>
        <v>soft wool (Flaaffy)</v>
      </c>
      <c r="F14" s="62" t="str">
        <f>IFERROR(__xludf.DUMMYFUNCTION("""COMPUTED_VALUE"""),"remains of electrode (Electrode)")</f>
        <v>remains of electrode (Electrode)</v>
      </c>
      <c r="G14" s="62" t="str">
        <f>IFERROR(__xludf.DUMMYFUNCTION("""COMPUTED_VALUE"""),"electric collar (Jolteon)")</f>
        <v>electric collar (Jolteon)</v>
      </c>
      <c r="H14" s="62" t="str">
        <f>IFERROR(__xludf.DUMMYFUNCTION("""COMPUTED_VALUE"""),"electric soft wool (Shiny Flaaffy)")</f>
        <v>electric soft wool (Shiny Flaaffy)</v>
      </c>
      <c r="I14" s="62" t="str">
        <f>IFERROR(__xludf.DUMMYFUNCTION("""COMPUTED_VALUE"""),"green sheep tail (Shiny Ampharos)")</f>
        <v>green sheep tail (Shiny Ampharos)</v>
      </c>
      <c r="J14" s="62"/>
      <c r="K14" s="62"/>
      <c r="L14" s="62"/>
    </row>
    <row r="15">
      <c r="A15" s="62" t="str">
        <f>IFERROR(__xludf.DUMMYFUNCTION("""COMPUTED_VALUE"""),"Flabébé")</f>
        <v>Flabébé</v>
      </c>
      <c r="B15" s="62">
        <f>IFERROR(__xludf.DUMMYFUNCTION("""COMPUTED_VALUE"""),1.0)</f>
        <v>1</v>
      </c>
      <c r="C15" s="62" t="str">
        <f>IFERROR(__xludf.DUMMYFUNCTION("""COMPUTED_VALUE"""),"fairy fragment")</f>
        <v>fairy fragment</v>
      </c>
      <c r="D15" s="62" t="str">
        <f>IFERROR(__xludf.DUMMYFUNCTION("""COMPUTED_VALUE"""),"fairy stone")</f>
        <v>fairy stone</v>
      </c>
      <c r="E15" s="62" t="str">
        <f>IFERROR(__xludf.DUMMYFUNCTION("""COMPUTED_VALUE"""),"small pink ears (Cleffa)")</f>
        <v>small pink ears (Cleffa)</v>
      </c>
      <c r="F15" s="62" t="str">
        <f>IFERROR(__xludf.DUMMYFUNCTION("""COMPUTED_VALUE"""),"small topknot (Igglybuff)")</f>
        <v>small topknot (Igglybuff)</v>
      </c>
      <c r="G15" s="62" t="str">
        <f>IFERROR(__xludf.DUMMYFUNCTION("""COMPUTED_VALUE"""),"yellow crown (Flabébé)")</f>
        <v>yellow crown (Flabébé)</v>
      </c>
      <c r="H15" s="62" t="str">
        <f>IFERROR(__xludf.DUMMYFUNCTION("""COMPUTED_VALUE"""),"blue crown (Shiny Flabébé)")</f>
        <v>blue crown (Shiny Flabébé)</v>
      </c>
      <c r="I15" s="62" t="str">
        <f>IFERROR(__xludf.DUMMYFUNCTION("""COMPUTED_VALUE"""),"blue mystic flower (Shiny Floette)")</f>
        <v>blue mystic flower (Shiny Floette)</v>
      </c>
      <c r="J15" s="62"/>
      <c r="K15" s="62"/>
      <c r="L15" s="62"/>
    </row>
    <row r="16">
      <c r="A16" s="62" t="str">
        <f>IFERROR(__xludf.DUMMYFUNCTION("""COMPUTED_VALUE"""),"Floette")</f>
        <v>Floette</v>
      </c>
      <c r="B16" s="62">
        <f>IFERROR(__xludf.DUMMYFUNCTION("""COMPUTED_VALUE"""),1.0)</f>
        <v>1</v>
      </c>
      <c r="C16" s="62" t="str">
        <f>IFERROR(__xludf.DUMMYFUNCTION("""COMPUTED_VALUE"""),"fairy fragment")</f>
        <v>fairy fragment</v>
      </c>
      <c r="D16" s="62" t="str">
        <f>IFERROR(__xludf.DUMMYFUNCTION("""COMPUTED_VALUE"""),"fairy stone")</f>
        <v>fairy stone</v>
      </c>
      <c r="E16" s="62" t="str">
        <f>IFERROR(__xludf.DUMMYFUNCTION("""COMPUTED_VALUE"""),"snubull ear (Snubull)")</f>
        <v>snubull ear (Snubull)</v>
      </c>
      <c r="F16" s="62" t="str">
        <f>IFERROR(__xludf.DUMMYFUNCTION("""COMPUTED_VALUE"""),"granbull ear (Granbull)")</f>
        <v>granbull ear (Granbull)</v>
      </c>
      <c r="G16" s="62" t="str">
        <f>IFERROR(__xludf.DUMMYFUNCTION("""COMPUTED_VALUE"""),"mystic flower (Floette)")</f>
        <v>mystic flower (Floette)</v>
      </c>
      <c r="H16" s="62" t="str">
        <f>IFERROR(__xludf.DUMMYFUNCTION("""COMPUTED_VALUE"""),"blue mystic flower (Shiny Floette)")</f>
        <v>blue mystic flower (Shiny Floette)</v>
      </c>
      <c r="I16" s="62"/>
      <c r="J16" s="62"/>
      <c r="K16" s="62"/>
      <c r="L16" s="62"/>
    </row>
    <row r="17">
      <c r="A17" s="62" t="str">
        <f>IFERROR(__xludf.DUMMYFUNCTION("""COMPUTED_VALUE"""),"Florges")</f>
        <v>Florges</v>
      </c>
      <c r="B17" s="62">
        <f>IFERROR(__xludf.DUMMYFUNCTION("""COMPUTED_VALUE"""),1.0)</f>
        <v>1</v>
      </c>
      <c r="C17" s="62" t="str">
        <f>IFERROR(__xludf.DUMMYFUNCTION("""COMPUTED_VALUE"""),"fairy fragment")</f>
        <v>fairy fragment</v>
      </c>
      <c r="D17" s="62" t="str">
        <f>IFERROR(__xludf.DUMMYFUNCTION("""COMPUTED_VALUE"""),"fairy stone")</f>
        <v>fairy stone</v>
      </c>
      <c r="E17" s="62" t="str">
        <f>IFERROR(__xludf.DUMMYFUNCTION("""COMPUTED_VALUE"""),"mystic petal (Florges)")</f>
        <v>mystic petal (Florges)</v>
      </c>
      <c r="F17" s="62" t="str">
        <f>IFERROR(__xludf.DUMMYFUNCTION("""COMPUTED_VALUE"""),"dainty wing (Togetic)")</f>
        <v>dainty wing (Togetic)</v>
      </c>
      <c r="G17" s="62" t="str">
        <f>IFERROR(__xludf.DUMMYFUNCTION("""COMPUTED_VALUE"""),"granbull ear (Granbull)")</f>
        <v>granbull ear (Granbull)</v>
      </c>
      <c r="H17" s="62" t="str">
        <f>IFERROR(__xludf.DUMMYFUNCTION("""COMPUTED_VALUE"""),"purple mystic petal (Florges)")</f>
        <v>purple mystic petal (Florges)</v>
      </c>
      <c r="I17" s="62"/>
      <c r="J17" s="62"/>
      <c r="K17" s="62"/>
      <c r="L17" s="62"/>
    </row>
    <row r="18">
      <c r="A18" s="62" t="str">
        <f>IFERROR(__xludf.DUMMYFUNCTION("""COMPUTED_VALUE"""),"Forretress")</f>
        <v>Forretress</v>
      </c>
      <c r="B18" s="62">
        <f>IFERROR(__xludf.DUMMYFUNCTION("""COMPUTED_VALUE"""),1.0)</f>
        <v>1</v>
      </c>
      <c r="C18" s="62" t="str">
        <f>IFERROR(__xludf.DUMMYFUNCTION("""COMPUTED_VALUE"""),"bug fragment")</f>
        <v>bug fragment</v>
      </c>
      <c r="D18" s="62" t="str">
        <f>IFERROR(__xludf.DUMMYFUNCTION("""COMPUTED_VALUE"""),"cocoon stone")</f>
        <v>cocoon stone</v>
      </c>
      <c r="E18" s="62" t="str">
        <f>IFERROR(__xludf.DUMMYFUNCTION("""COMPUTED_VALUE"""),"forretress shell (Forretress)")</f>
        <v>forretress shell (Forretress)</v>
      </c>
      <c r="F18" s="62" t="str">
        <f>IFERROR(__xludf.DUMMYFUNCTION("""COMPUTED_VALUE"""),"bee sting (Beedrill)")</f>
        <v>bee sting (Beedrill)</v>
      </c>
      <c r="G18" s="62" t="str">
        <f>IFERROR(__xludf.DUMMYFUNCTION("""COMPUTED_VALUE"""),"butterfree wing (Butterfree)")</f>
        <v>butterfree wing (Butterfree)</v>
      </c>
      <c r="H18" s="62" t="str">
        <f>IFERROR(__xludf.DUMMYFUNCTION("""COMPUTED_VALUE"""),"brown shell (Shiny Forretress)")</f>
        <v>brown shell (Shiny Forretress)</v>
      </c>
      <c r="I18" s="62"/>
      <c r="J18" s="62"/>
      <c r="K18" s="62"/>
      <c r="L18" s="62"/>
    </row>
    <row r="19">
      <c r="A19" s="62" t="str">
        <f>IFERROR(__xludf.DUMMYFUNCTION("""COMPUTED_VALUE"""),"Gastly")</f>
        <v>Gastly</v>
      </c>
      <c r="B19" s="62">
        <f>IFERROR(__xludf.DUMMYFUNCTION("""COMPUTED_VALUE"""),1.0)</f>
        <v>1</v>
      </c>
      <c r="C19" s="62" t="str">
        <f>IFERROR(__xludf.DUMMYFUNCTION("""COMPUTED_VALUE"""),"ghost fragment")</f>
        <v>ghost fragment</v>
      </c>
      <c r="D19" s="62" t="str">
        <f>IFERROR(__xludf.DUMMYFUNCTION("""COMPUTED_VALUE"""),"darkness stone")</f>
        <v>darkness stone</v>
      </c>
      <c r="E19" s="62" t="str">
        <f>IFERROR(__xludf.DUMMYFUNCTION("""COMPUTED_VALUE"""),"ghost bottle (Gastly)")</f>
        <v>ghost bottle (Gastly)</v>
      </c>
      <c r="F19" s="62" t="str">
        <f>IFERROR(__xludf.DUMMYFUNCTION("""COMPUTED_VALUE"""),"green ghost bottle (Shiny Gastly)")</f>
        <v>green ghost bottle (Shiny Gastly)</v>
      </c>
      <c r="G19" s="62" t="str">
        <f>IFERROR(__xludf.DUMMYFUNCTION("""COMPUTED_VALUE"""),"dark claw (Shiny Haunter)")</f>
        <v>dark claw (Shiny Haunter)</v>
      </c>
      <c r="H19" s="62"/>
      <c r="I19" s="62"/>
      <c r="J19" s="62"/>
      <c r="K19" s="62"/>
      <c r="L19" s="62"/>
    </row>
    <row r="20">
      <c r="A20" s="62" t="str">
        <f>IFERROR(__xludf.DUMMYFUNCTION("""COMPUTED_VALUE"""),"Gengar")</f>
        <v>Gengar</v>
      </c>
      <c r="B20" s="62">
        <f>IFERROR(__xludf.DUMMYFUNCTION("""COMPUTED_VALUE"""),1.0)</f>
        <v>1</v>
      </c>
      <c r="C20" s="62" t="str">
        <f>IFERROR(__xludf.DUMMYFUNCTION("""COMPUTED_VALUE"""),"ghost fragment")</f>
        <v>ghost fragment</v>
      </c>
      <c r="D20" s="62" t="str">
        <f>IFERROR(__xludf.DUMMYFUNCTION("""COMPUTED_VALUE"""),"darkness stone")</f>
        <v>darkness stone</v>
      </c>
      <c r="E20" s="62" t="str">
        <f>IFERROR(__xludf.DUMMYFUNCTION("""COMPUTED_VALUE"""),"ectoplasm (Gengar)")</f>
        <v>ectoplasm (Gengar)</v>
      </c>
      <c r="F20" s="62" t="str">
        <f>IFERROR(__xludf.DUMMYFUNCTION("""COMPUTED_VALUE"""),"dark ectoplasm (Shiny Gengar)")</f>
        <v>dark ectoplasm (Shiny Gengar)</v>
      </c>
      <c r="G20" s="62"/>
      <c r="H20" s="62"/>
      <c r="I20" s="62"/>
      <c r="J20" s="62"/>
      <c r="K20" s="62"/>
      <c r="L20" s="62"/>
    </row>
    <row r="21">
      <c r="A21" s="62" t="str">
        <f>IFERROR(__xludf.DUMMYFUNCTION("""COMPUTED_VALUE"""),"Haunter")</f>
        <v>Haunter</v>
      </c>
      <c r="B21" s="62">
        <f>IFERROR(__xludf.DUMMYFUNCTION("""COMPUTED_VALUE"""),1.0)</f>
        <v>1</v>
      </c>
      <c r="C21" s="62" t="str">
        <f>IFERROR(__xludf.DUMMYFUNCTION("""COMPUTED_VALUE"""),"ghost fragment")</f>
        <v>ghost fragment</v>
      </c>
      <c r="D21" s="62" t="str">
        <f>IFERROR(__xludf.DUMMYFUNCTION("""COMPUTED_VALUE"""),"darkness stone")</f>
        <v>darkness stone</v>
      </c>
      <c r="E21" s="62" t="str">
        <f>IFERROR(__xludf.DUMMYFUNCTION("""COMPUTED_VALUE"""),"ghost claw (Haunter)")</f>
        <v>ghost claw (Haunter)</v>
      </c>
      <c r="F21" s="62" t="str">
        <f>IFERROR(__xludf.DUMMYFUNCTION("""COMPUTED_VALUE"""),"dark claw (Shiny Haunter)")</f>
        <v>dark claw (Shiny Haunter)</v>
      </c>
      <c r="G21" s="62" t="str">
        <f>IFERROR(__xludf.DUMMYFUNCTION("""COMPUTED_VALUE"""),"dark ectoplasm (Shiny Gengar)")</f>
        <v>dark ectoplasm (Shiny Gengar)</v>
      </c>
      <c r="H21" s="62"/>
      <c r="I21" s="62"/>
      <c r="J21" s="62"/>
      <c r="K21" s="62"/>
      <c r="L21" s="62"/>
    </row>
    <row r="22">
      <c r="A22" s="62" t="str">
        <f>IFERROR(__xludf.DUMMYFUNCTION("""COMPUTED_VALUE"""),"Hydreigon")</f>
        <v>Hydreigon</v>
      </c>
      <c r="B22" s="62">
        <f>IFERROR(__xludf.DUMMYFUNCTION("""COMPUTED_VALUE"""),1.0)</f>
        <v>1</v>
      </c>
      <c r="C22" s="62" t="str">
        <f>IFERROR(__xludf.DUMMYFUNCTION("""COMPUTED_VALUE"""),"dark fragment")</f>
        <v>dark fragment</v>
      </c>
      <c r="D22" s="62" t="str">
        <f>IFERROR(__xludf.DUMMYFUNCTION("""COMPUTED_VALUE"""),"darkness stone")</f>
        <v>darkness stone</v>
      </c>
      <c r="E22" s="62" t="str">
        <f>IFERROR(__xludf.DUMMYFUNCTION("""COMPUTED_VALUE"""),"shadow tail (Hydreigon)")</f>
        <v>shadow tail (Hydreigon)</v>
      </c>
      <c r="F22" s="62" t="str">
        <f>IFERROR(__xludf.DUMMYFUNCTION("""COMPUTED_VALUE"""),"dark canine horns (Houndoom)")</f>
        <v>dark canine horns (Houndoom)</v>
      </c>
      <c r="G22" s="62" t="str">
        <f>IFERROR(__xludf.DUMMYFUNCTION("""COMPUTED_VALUE"""),"dark ears (Umbreon)")</f>
        <v>dark ears (Umbreon)</v>
      </c>
      <c r="H22" s="62" t="str">
        <f>IFERROR(__xludf.DUMMYFUNCTION("""COMPUTED_VALUE"""),"phantom tail (Shiny Hydreigon)")</f>
        <v>phantom tail (Shiny Hydreigon)</v>
      </c>
      <c r="I22" s="62"/>
      <c r="J22" s="62"/>
      <c r="K22" s="62"/>
      <c r="L22" s="62"/>
    </row>
    <row r="23">
      <c r="A23" s="62" t="str">
        <f>IFERROR(__xludf.DUMMYFUNCTION("""COMPUTED_VALUE"""),"Kadabra")</f>
        <v>Kadabra</v>
      </c>
      <c r="B23" s="62">
        <f>IFERROR(__xludf.DUMMYFUNCTION("""COMPUTED_VALUE"""),1.0)</f>
        <v>1</v>
      </c>
      <c r="C23" s="62" t="str">
        <f>IFERROR(__xludf.DUMMYFUNCTION("""COMPUTED_VALUE"""),"psychic fragment")</f>
        <v>psychic fragment</v>
      </c>
      <c r="D23" s="62" t="str">
        <f>IFERROR(__xludf.DUMMYFUNCTION("""COMPUTED_VALUE"""),"enigma stone")</f>
        <v>enigma stone</v>
      </c>
      <c r="E23" s="62" t="str">
        <f>IFERROR(__xludf.DUMMYFUNCTION("""COMPUTED_VALUE"""),"psychic spoon (Kadabra)")</f>
        <v>psychic spoon (Kadabra)</v>
      </c>
      <c r="F23" s="62" t="str">
        <f>IFERROR(__xludf.DUMMYFUNCTION("""COMPUTED_VALUE"""),"hypnosis pendant (Hypno)")</f>
        <v>hypnosis pendant (Hypno)</v>
      </c>
      <c r="G23" s="62" t="str">
        <f>IFERROR(__xludf.DUMMYFUNCTION("""COMPUTED_VALUE"""),"enchanted spoon (Shiny Hypno)")</f>
        <v>enchanted spoon (Shiny Hypno)</v>
      </c>
      <c r="H23" s="62" t="str">
        <f>IFERROR(__xludf.DUMMYFUNCTION("""COMPUTED_VALUE"""),"purple moustache (Shiny Alakazam)")</f>
        <v>purple moustache (Shiny Alakazam)</v>
      </c>
      <c r="I23" s="62"/>
      <c r="J23" s="62"/>
      <c r="K23" s="62"/>
      <c r="L23" s="62"/>
    </row>
    <row r="24">
      <c r="A24" s="62" t="str">
        <f>IFERROR(__xludf.DUMMYFUNCTION("""COMPUTED_VALUE"""),"Lapras")</f>
        <v>Lapras</v>
      </c>
      <c r="B24" s="62">
        <f>IFERROR(__xludf.DUMMYFUNCTION("""COMPUTED_VALUE"""),1.0)</f>
        <v>1</v>
      </c>
      <c r="C24" s="62" t="str">
        <f>IFERROR(__xludf.DUMMYFUNCTION("""COMPUTED_VALUE"""),"ice fragment")</f>
        <v>ice fragment</v>
      </c>
      <c r="D24" s="62" t="str">
        <f>IFERROR(__xludf.DUMMYFUNCTION("""COMPUTED_VALUE"""),"ice stone")</f>
        <v>ice stone</v>
      </c>
      <c r="E24" s="62" t="str">
        <f>IFERROR(__xludf.DUMMYFUNCTION("""COMPUTED_VALUE"""),"lapras fin (Lapras)")</f>
        <v>lapras fin (Lapras)</v>
      </c>
      <c r="F24" s="62" t="str">
        <f>IFERROR(__xludf.DUMMYFUNCTION("""COMPUTED_VALUE"""),"psychic wig (Jynx)")</f>
        <v>psychic wig (Jynx)</v>
      </c>
      <c r="G24" s="62" t="str">
        <f>IFERROR(__xludf.DUMMYFUNCTION("""COMPUTED_VALUE"""),"purple fin (Shiny Lapras)")</f>
        <v>purple fin (Shiny Lapras)</v>
      </c>
      <c r="H24" s="62"/>
      <c r="I24" s="62"/>
      <c r="J24" s="62"/>
      <c r="K24" s="62"/>
      <c r="L24" s="62"/>
    </row>
    <row r="25">
      <c r="A25" s="62" t="str">
        <f>IFERROR(__xludf.DUMMYFUNCTION("""COMPUTED_VALUE"""),"Larvitar")</f>
        <v>Larvitar</v>
      </c>
      <c r="B25" s="62">
        <f>IFERROR(__xludf.DUMMYFUNCTION("""COMPUTED_VALUE"""),1.0)</f>
        <v>1</v>
      </c>
      <c r="C25" s="62" t="str">
        <f>IFERROR(__xludf.DUMMYFUNCTION("""COMPUTED_VALUE"""),"rock fragment")</f>
        <v>rock fragment</v>
      </c>
      <c r="D25" s="62" t="str">
        <f>IFERROR(__xludf.DUMMYFUNCTION("""COMPUTED_VALUE"""),"rock stone")</f>
        <v>rock stone</v>
      </c>
      <c r="E25" s="62" t="str">
        <f>IFERROR(__xludf.DUMMYFUNCTION("""COMPUTED_VALUE"""),"hardrock shell (Rhyhorn)")</f>
        <v>hardrock shell (Rhyhorn)</v>
      </c>
      <c r="F25" s="62" t="str">
        <f>IFERROR(__xludf.DUMMYFUNCTION("""COMPUTED_VALUE"""),"rock fist (Geodude)")</f>
        <v>rock fist (Geodude)</v>
      </c>
      <c r="G25" s="62" t="str">
        <f>IFERROR(__xludf.DUMMYFUNCTION("""COMPUTED_VALUE"""),"larvitar tail (Larvitar)")</f>
        <v>larvitar tail (Larvitar)</v>
      </c>
      <c r="H25" s="62" t="str">
        <f>IFERROR(__xludf.DUMMYFUNCTION("""COMPUTED_VALUE"""),"yellow larvitar tail (Shiny larvitar)")</f>
        <v>yellow larvitar tail (Shiny larvitar)</v>
      </c>
      <c r="I25" s="62" t="str">
        <f>IFERROR(__xludf.DUMMYFUNCTION("""COMPUTED_VALUE"""),"purple rock plate (Shiny Pupitar)")</f>
        <v>purple rock plate (Shiny Pupitar)</v>
      </c>
      <c r="J25" s="62"/>
      <c r="K25" s="62"/>
      <c r="L25" s="62"/>
    </row>
    <row r="26">
      <c r="A26" s="62" t="str">
        <f>IFERROR(__xludf.DUMMYFUNCTION("""COMPUTED_VALUE"""),"Machamp")</f>
        <v>Machamp</v>
      </c>
      <c r="B26" s="62">
        <f>IFERROR(__xludf.DUMMYFUNCTION("""COMPUTED_VALUE"""),1.0)</f>
        <v>1</v>
      </c>
      <c r="C26" s="62" t="str">
        <f>IFERROR(__xludf.DUMMYFUNCTION("""COMPUTED_VALUE"""),"fighting fragment")</f>
        <v>fighting fragment</v>
      </c>
      <c r="D26" s="62" t="str">
        <f>IFERROR(__xludf.DUMMYFUNCTION("""COMPUTED_VALUE"""),"punch stone")</f>
        <v>punch stone</v>
      </c>
      <c r="E26" s="62" t="str">
        <f>IFERROR(__xludf.DUMMYFUNCTION("""COMPUTED_VALUE"""),"martial arts tail (Hitmontop)")</f>
        <v>martial arts tail (Hitmontop)</v>
      </c>
      <c r="F26" s="62" t="str">
        <f>IFERROR(__xludf.DUMMYFUNCTION("""COMPUTED_VALUE"""),"belt of champion (Machamp)")</f>
        <v>belt of champion (Machamp)</v>
      </c>
      <c r="G26" s="62" t="str">
        <f>IFERROR(__xludf.DUMMYFUNCTION("""COMPUTED_VALUE"""),"kick machine (Hitmonlee)")</f>
        <v>kick machine (Hitmonlee)</v>
      </c>
      <c r="H26" s="62" t="str">
        <f>IFERROR(__xludf.DUMMYFUNCTION("""COMPUTED_VALUE"""),"punching machine (Hitonchan)")</f>
        <v>punching machine (Hitonchan)</v>
      </c>
      <c r="I26" s="62" t="str">
        <f>IFERROR(__xludf.DUMMYFUNCTION("""COMPUTED_VALUE"""),"master belt (Shiny Machamp)")</f>
        <v>master belt (Shiny Machamp)</v>
      </c>
      <c r="J26" s="62"/>
      <c r="K26" s="62"/>
      <c r="L26" s="62"/>
    </row>
    <row r="27">
      <c r="A27" s="62" t="str">
        <f>IFERROR(__xludf.DUMMYFUNCTION("""COMPUTED_VALUE"""),"Machoke")</f>
        <v>Machoke</v>
      </c>
      <c r="B27" s="62">
        <f>IFERROR(__xludf.DUMMYFUNCTION("""COMPUTED_VALUE"""),1.0)</f>
        <v>1</v>
      </c>
      <c r="C27" s="62" t="str">
        <f>IFERROR(__xludf.DUMMYFUNCTION("""COMPUTED_VALUE"""),"fighting fragment")</f>
        <v>fighting fragment</v>
      </c>
      <c r="D27" s="62" t="str">
        <f>IFERROR(__xludf.DUMMYFUNCTION("""COMPUTED_VALUE"""),"punch stone")</f>
        <v>punch stone</v>
      </c>
      <c r="E27" s="62" t="str">
        <f>IFERROR(__xludf.DUMMYFUNCTION("""COMPUTED_VALUE"""),"fighter underwear (Machoke)")</f>
        <v>fighter underwear (Machoke)</v>
      </c>
      <c r="F27" s="62" t="str">
        <f>IFERROR(__xludf.DUMMYFUNCTION("""COMPUTED_VALUE"""),"fist bandages (Tyrogue)")</f>
        <v>fist bandages (Tyrogue)</v>
      </c>
      <c r="G27" s="62" t="str">
        <f>IFERROR(__xludf.DUMMYFUNCTION("""COMPUTED_VALUE"""),"iron bracelet (Primeape)")</f>
        <v>iron bracelet (Primeape)</v>
      </c>
      <c r="H27" s="62" t="str">
        <f>IFERROR(__xludf.DUMMYFUNCTION("""COMPUTED_VALUE"""),"champion underwear (Shiny Machoke)")</f>
        <v>champion underwear (Shiny Machoke)</v>
      </c>
      <c r="I27" s="62" t="str">
        <f>IFERROR(__xludf.DUMMYFUNCTION("""COMPUTED_VALUE"""),"master belt (Shiny Machamp)")</f>
        <v>master belt (Shiny Machamp)</v>
      </c>
      <c r="J27" s="62"/>
      <c r="K27" s="62"/>
      <c r="L27" s="62"/>
    </row>
    <row r="28">
      <c r="A28" s="62" t="str">
        <f>IFERROR(__xludf.DUMMYFUNCTION("""COMPUTED_VALUE"""),"Machop")</f>
        <v>Machop</v>
      </c>
      <c r="B28" s="62">
        <f>IFERROR(__xludf.DUMMYFUNCTION("""COMPUTED_VALUE"""),1.0)</f>
        <v>1</v>
      </c>
      <c r="C28" s="62" t="str">
        <f>IFERROR(__xludf.DUMMYFUNCTION("""COMPUTED_VALUE"""),"fighting fragment")</f>
        <v>fighting fragment</v>
      </c>
      <c r="D28" s="62" t="str">
        <f>IFERROR(__xludf.DUMMYFUNCTION("""COMPUTED_VALUE"""),"punch stone")</f>
        <v>punch stone</v>
      </c>
      <c r="E28" s="62" t="str">
        <f>IFERROR(__xludf.DUMMYFUNCTION("""COMPUTED_VALUE"""),"fighter hawk (Machop)")</f>
        <v>fighter hawk (Machop)</v>
      </c>
      <c r="F28" s="62" t="str">
        <f>IFERROR(__xludf.DUMMYFUNCTION("""COMPUTED_VALUE"""),"mankey tail (Mankey)")</f>
        <v>mankey tail (Mankey)</v>
      </c>
      <c r="G28" s="62" t="str">
        <f>IFERROR(__xludf.DUMMYFUNCTION("""COMPUTED_VALUE"""),"blond hawk (Shiny Machop)")</f>
        <v>blond hawk (Shiny Machop)</v>
      </c>
      <c r="H28" s="62" t="str">
        <f>IFERROR(__xludf.DUMMYFUNCTION("""COMPUTED_VALUE"""),"champion underwear (Shiny Machoke)")</f>
        <v>champion underwear (Shiny Machoke)</v>
      </c>
      <c r="I28" s="62"/>
      <c r="J28" s="62"/>
      <c r="K28" s="62"/>
      <c r="L28" s="62"/>
    </row>
    <row r="29">
      <c r="A29" s="62" t="str">
        <f>IFERROR(__xludf.DUMMYFUNCTION("""COMPUTED_VALUE"""),"Magnemite")</f>
        <v>Magnemite</v>
      </c>
      <c r="B29" s="62">
        <f>IFERROR(__xludf.DUMMYFUNCTION("""COMPUTED_VALUE"""),1.0)</f>
        <v>1</v>
      </c>
      <c r="C29" s="62" t="str">
        <f>IFERROR(__xludf.DUMMYFUNCTION("""COMPUTED_VALUE"""),"steel fragment")</f>
        <v>steel fragment</v>
      </c>
      <c r="D29" s="62" t="str">
        <f>IFERROR(__xludf.DUMMYFUNCTION("""COMPUTED_VALUE"""),"metal stone")</f>
        <v>metal stone</v>
      </c>
      <c r="E29" s="62" t="str">
        <f>IFERROR(__xludf.DUMMYFUNCTION("""COMPUTED_VALUE"""),"electric screws (Magnemite)")</f>
        <v>electric screws (Magnemite)</v>
      </c>
      <c r="F29" s="62" t="str">
        <f>IFERROR(__xludf.DUMMYFUNCTION("""COMPUTED_VALUE"""),"blue screws (Shiny Magnemite)")</f>
        <v>blue screws (Shiny Magnemite)</v>
      </c>
      <c r="G29" s="62" t="str">
        <f>IFERROR(__xludf.DUMMYFUNCTION("""COMPUTED_VALUE"""),"strong magnet (Shiny Magneton)")</f>
        <v>strong magnet (Shiny Magneton)</v>
      </c>
      <c r="H29" s="62"/>
      <c r="I29" s="62"/>
      <c r="J29" s="62"/>
      <c r="K29" s="62"/>
      <c r="L29" s="62"/>
    </row>
    <row r="30">
      <c r="A30" s="62" t="str">
        <f>IFERROR(__xludf.DUMMYFUNCTION("""COMPUTED_VALUE"""),"Magneton")</f>
        <v>Magneton</v>
      </c>
      <c r="B30" s="62">
        <f>IFERROR(__xludf.DUMMYFUNCTION("""COMPUTED_VALUE"""),1.0)</f>
        <v>1</v>
      </c>
      <c r="C30" s="62" t="str">
        <f>IFERROR(__xludf.DUMMYFUNCTION("""COMPUTED_VALUE"""),"steel fragment")</f>
        <v>steel fragment</v>
      </c>
      <c r="D30" s="62" t="str">
        <f>IFERROR(__xludf.DUMMYFUNCTION("""COMPUTED_VALUE"""),"metal stone")</f>
        <v>metal stone</v>
      </c>
      <c r="E30" s="62" t="str">
        <f>IFERROR(__xludf.DUMMYFUNCTION("""COMPUTED_VALUE"""),"forretress shell (Forretress)")</f>
        <v>forretress shell (Forretress)</v>
      </c>
      <c r="F30" s="62" t="str">
        <f>IFERROR(__xludf.DUMMYFUNCTION("""COMPUTED_VALUE"""),"magnet (Magneton)")</f>
        <v>magnet (Magneton)</v>
      </c>
      <c r="G30" s="62" t="str">
        <f>IFERROR(__xludf.DUMMYFUNCTION("""COMPUTED_VALUE"""),"strong magnet (Shiny Magneton)")</f>
        <v>strong magnet (Shiny Magneton)</v>
      </c>
      <c r="H30" s="62"/>
      <c r="I30" s="62"/>
      <c r="J30" s="62"/>
      <c r="K30" s="62"/>
      <c r="L30" s="62"/>
    </row>
    <row r="31">
      <c r="A31" s="62" t="str">
        <f>IFERROR(__xludf.DUMMYFUNCTION("""COMPUTED_VALUE"""),"Mareep")</f>
        <v>Mareep</v>
      </c>
      <c r="B31" s="62">
        <f>IFERROR(__xludf.DUMMYFUNCTION("""COMPUTED_VALUE"""),1.0)</f>
        <v>1</v>
      </c>
      <c r="C31" s="62" t="str">
        <f>IFERROR(__xludf.DUMMYFUNCTION("""COMPUTED_VALUE"""),"electric fragment")</f>
        <v>electric fragment</v>
      </c>
      <c r="D31" s="62" t="str">
        <f>IFERROR(__xludf.DUMMYFUNCTION("""COMPUTED_VALUE"""),"thunder stone")</f>
        <v>thunder stone</v>
      </c>
      <c r="E31" s="62" t="str">
        <f>IFERROR(__xludf.DUMMYFUNCTION("""COMPUTED_VALUE"""),"yellow sheep wool (Mareep)")</f>
        <v>yellow sheep wool (Mareep)</v>
      </c>
      <c r="F31" s="62" t="str">
        <f>IFERROR(__xludf.DUMMYFUNCTION("""COMPUTED_VALUE"""),"pichu ears (Pichu)")</f>
        <v>pichu ears (Pichu)</v>
      </c>
      <c r="G31" s="62" t="str">
        <f>IFERROR(__xludf.DUMMYFUNCTION("""COMPUTED_VALUE"""),"white sheep wool (Shiny Mareep)")</f>
        <v>white sheep wool (Shiny Mareep)</v>
      </c>
      <c r="H31" s="62" t="str">
        <f>IFERROR(__xludf.DUMMYFUNCTION("""COMPUTED_VALUE"""),"electric soft wool (Shiny Flaaffy)")</f>
        <v>electric soft wool (Shiny Flaaffy)</v>
      </c>
      <c r="I31" s="62"/>
      <c r="J31" s="62"/>
      <c r="K31" s="62"/>
      <c r="L31" s="62"/>
    </row>
    <row r="32">
      <c r="A32" s="62" t="str">
        <f>IFERROR(__xludf.DUMMYFUNCTION("""COMPUTED_VALUE"""),"Marowak")</f>
        <v>Marowak</v>
      </c>
      <c r="B32" s="62">
        <f>IFERROR(__xludf.DUMMYFUNCTION("""COMPUTED_VALUE"""),1.0)</f>
        <v>1</v>
      </c>
      <c r="C32" s="62" t="str">
        <f>IFERROR(__xludf.DUMMYFUNCTION("""COMPUTED_VALUE"""),"ground fragment")</f>
        <v>ground fragment</v>
      </c>
      <c r="D32" s="62" t="str">
        <f>IFERROR(__xludf.DUMMYFUNCTION("""COMPUTED_VALUE"""),"earth stone")</f>
        <v>earth stone</v>
      </c>
      <c r="E32" s="62" t="str">
        <f>IFERROR(__xludf.DUMMYFUNCTION("""COMPUTED_VALUE"""),"elephant foot (Donphan)")</f>
        <v>elephant foot (Donphan)</v>
      </c>
      <c r="F32" s="62" t="str">
        <f>IFERROR(__xludf.DUMMYFUNCTION("""COMPUTED_VALUE"""),"bone (Marowak)")</f>
        <v>bone (Marowak)</v>
      </c>
      <c r="G32" s="62" t="str">
        <f>IFERROR(__xludf.DUMMYFUNCTION("""COMPUTED_VALUE"""),"blue bone (Shiny Marowak)")</f>
        <v>blue bone (Shiny Marowak)</v>
      </c>
      <c r="H32" s="62"/>
      <c r="I32" s="62"/>
      <c r="J32" s="62"/>
      <c r="K32" s="62"/>
      <c r="L32" s="62"/>
    </row>
    <row r="33">
      <c r="A33" s="62" t="str">
        <f>IFERROR(__xludf.DUMMYFUNCTION("""COMPUTED_VALUE"""),"Meganium")</f>
        <v>Meganium</v>
      </c>
      <c r="B33" s="62">
        <f>IFERROR(__xludf.DUMMYFUNCTION("""COMPUTED_VALUE"""),1.0)</f>
        <v>1</v>
      </c>
      <c r="C33" s="62" t="str">
        <f>IFERROR(__xludf.DUMMYFUNCTION("""COMPUTED_VALUE"""),"grass fragment")</f>
        <v>grass fragment</v>
      </c>
      <c r="D33" s="62" t="str">
        <f>IFERROR(__xludf.DUMMYFUNCTION("""COMPUTED_VALUE"""),"leaf stone")</f>
        <v>leaf stone</v>
      </c>
      <c r="E33" s="62" t="str">
        <f>IFERROR(__xludf.DUMMYFUNCTION("""COMPUTED_VALUE"""),"big petal (Meganium)")</f>
        <v>big petal (Meganium)</v>
      </c>
      <c r="F33" s="62" t="str">
        <f>IFERROR(__xludf.DUMMYFUNCTION("""COMPUTED_VALUE"""),"red petal (Venusaur)")</f>
        <v>red petal (Venusaur)</v>
      </c>
      <c r="G33" s="62" t="str">
        <f>IFERROR(__xludf.DUMMYFUNCTION("""COMPUTED_VALUE"""),"coconut leaves (Exeggutor)")</f>
        <v>coconut leaves (Exeggutor)</v>
      </c>
      <c r="H33" s="62" t="str">
        <f>IFERROR(__xludf.DUMMYFUNCTION("""COMPUTED_VALUE"""),"purple petal (Shiny Meganium)")</f>
        <v>purple petal (Shiny Meganium)</v>
      </c>
      <c r="I33" s="62"/>
      <c r="J33" s="62"/>
      <c r="K33" s="62"/>
      <c r="L33" s="62"/>
    </row>
    <row r="34">
      <c r="A34" s="62" t="str">
        <f>IFERROR(__xludf.DUMMYFUNCTION("""COMPUTED_VALUE"""),"Meowth")</f>
        <v>Meowth</v>
      </c>
      <c r="B34" s="62">
        <f>IFERROR(__xludf.DUMMYFUNCTION("""COMPUTED_VALUE"""),1.0)</f>
        <v>1</v>
      </c>
      <c r="C34" s="62" t="str">
        <f>IFERROR(__xludf.DUMMYFUNCTION("""COMPUTED_VALUE"""),"normal fragment")</f>
        <v>normal fragment</v>
      </c>
      <c r="D34" s="62" t="str">
        <f>IFERROR(__xludf.DUMMYFUNCTION("""COMPUTED_VALUE"""),"heart stone")</f>
        <v>heart stone</v>
      </c>
      <c r="E34" s="62" t="str">
        <f>IFERROR(__xludf.DUMMYFUNCTION("""COMPUTED_VALUE"""),"luck medallion (Meowth)")</f>
        <v>luck medallion (Meowth)</v>
      </c>
      <c r="F34" s="62" t="str">
        <f>IFERROR(__xludf.DUMMYFUNCTION("""COMPUTED_VALUE"""),"mouse tail  (Ratata)")</f>
        <v>mouse tail  (Ratata)</v>
      </c>
      <c r="G34" s="62" t="str">
        <f>IFERROR(__xludf.DUMMYFUNCTION("""COMPUTED_VALUE"""),"furry tail (Eevee)")</f>
        <v>furry tail (Eevee)</v>
      </c>
      <c r="H34" s="62" t="str">
        <f>IFERROR(__xludf.DUMMYFUNCTION("""COMPUTED_VALUE"""),"pink medallion (Shiny Meowth)")</f>
        <v>pink medallion (Shiny Meowth)</v>
      </c>
      <c r="I34" s="62" t="str">
        <f>IFERROR(__xludf.DUMMYFUNCTION("""COMPUTED_VALUE"""),"white ball (Shiny Persian)")</f>
        <v>white ball (Shiny Persian)</v>
      </c>
      <c r="J34" s="62"/>
      <c r="K34" s="62"/>
      <c r="L34" s="62"/>
    </row>
    <row r="35">
      <c r="A35" s="62" t="str">
        <f>IFERROR(__xludf.DUMMYFUNCTION("""COMPUTED_VALUE"""),"Muk")</f>
        <v>Muk</v>
      </c>
      <c r="B35" s="62">
        <f>IFERROR(__xludf.DUMMYFUNCTION("""COMPUTED_VALUE"""),1.0)</f>
        <v>1</v>
      </c>
      <c r="C35" s="62" t="str">
        <f>IFERROR(__xludf.DUMMYFUNCTION("""COMPUTED_VALUE"""),"poison fragment")</f>
        <v>poison fragment</v>
      </c>
      <c r="D35" s="62" t="str">
        <f>IFERROR(__xludf.DUMMYFUNCTION("""COMPUTED_VALUE"""),"venom stone")</f>
        <v>venom stone</v>
      </c>
      <c r="E35" s="62" t="str">
        <f>IFERROR(__xludf.DUMMYFUNCTION("""COMPUTED_VALUE"""),"cobra tail (Arbok)")</f>
        <v>cobra tail (Arbok)</v>
      </c>
      <c r="F35" s="62" t="str">
        <f>IFERROR(__xludf.DUMMYFUNCTION("""COMPUTED_VALUE"""),"puffer tail (Qwilfish)")</f>
        <v>puffer tail (Qwilfish)</v>
      </c>
      <c r="G35" s="62" t="str">
        <f>IFERROR(__xludf.DUMMYFUNCTION("""COMPUTED_VALUE"""),"stinky hand (Muk)")</f>
        <v>stinky hand (Muk)</v>
      </c>
      <c r="H35" s="62" t="str">
        <f>IFERROR(__xludf.DUMMYFUNCTION("""COMPUTED_VALUE"""),"disgusting hand (Shiny Muk)")</f>
        <v>disgusting hand (Shiny Muk)</v>
      </c>
      <c r="I35" s="62"/>
      <c r="J35" s="62"/>
      <c r="K35" s="62"/>
      <c r="L35" s="62"/>
    </row>
    <row r="36">
      <c r="A36" s="62" t="str">
        <f>IFERROR(__xludf.DUMMYFUNCTION("""COMPUTED_VALUE"""),"Persian")</f>
        <v>Persian</v>
      </c>
      <c r="B36" s="62">
        <f>IFERROR(__xludf.DUMMYFUNCTION("""COMPUTED_VALUE"""),1.0)</f>
        <v>1</v>
      </c>
      <c r="C36" s="62" t="str">
        <f>IFERROR(__xludf.DUMMYFUNCTION("""COMPUTED_VALUE"""),"normal fragment")</f>
        <v>normal fragment</v>
      </c>
      <c r="D36" s="62" t="str">
        <f>IFERROR(__xludf.DUMMYFUNCTION("""COMPUTED_VALUE"""),"heart stone")</f>
        <v>heart stone</v>
      </c>
      <c r="E36" s="62" t="str">
        <f>IFERROR(__xludf.DUMMYFUNCTION("""COMPUTED_VALUE"""),"wool ball (Persian)")</f>
        <v>wool ball (Persian)</v>
      </c>
      <c r="F36" s="62" t="str">
        <f>IFERROR(__xludf.DUMMYFUNCTION("""COMPUTED_VALUE"""),"rat ear (Raticate)")</f>
        <v>rat ear (Raticate)</v>
      </c>
      <c r="G36" s="62" t="str">
        <f>IFERROR(__xludf.DUMMYFUNCTION("""COMPUTED_VALUE"""),"aipom paw (Aipom)")</f>
        <v>aipom paw (Aipom)</v>
      </c>
      <c r="H36" s="62" t="str">
        <f>IFERROR(__xludf.DUMMYFUNCTION("""COMPUTED_VALUE"""),"white ball (Shiny Persian)")</f>
        <v>white ball (Shiny Persian)</v>
      </c>
      <c r="I36" s="62"/>
      <c r="J36" s="62"/>
      <c r="K36" s="62"/>
      <c r="L36" s="62"/>
    </row>
    <row r="37">
      <c r="A37" s="62" t="str">
        <f>IFERROR(__xludf.DUMMYFUNCTION("""COMPUTED_VALUE"""),"Pidgeot")</f>
        <v>Pidgeot</v>
      </c>
      <c r="B37" s="62">
        <f>IFERROR(__xludf.DUMMYFUNCTION("""COMPUTED_VALUE"""),1.0)</f>
        <v>1</v>
      </c>
      <c r="C37" s="62" t="str">
        <f>IFERROR(__xludf.DUMMYFUNCTION("""COMPUTED_VALUE"""),"flying fragment")</f>
        <v>flying fragment</v>
      </c>
      <c r="D37" s="62" t="str">
        <f>IFERROR(__xludf.DUMMYFUNCTION("""COMPUTED_VALUE"""),"feather stone")</f>
        <v>feather stone</v>
      </c>
      <c r="E37" s="62" t="str">
        <f>IFERROR(__xludf.DUMMYFUNCTION("""COMPUTED_VALUE"""),"bird beak (Pidgeot)")</f>
        <v>bird beak (Pidgeot)</v>
      </c>
      <c r="F37" s="62" t="str">
        <f>IFERROR(__xludf.DUMMYFUNCTION("""COMPUTED_VALUE"""),"steel wing (Skarmory)")</f>
        <v>steel wing (Skarmory)</v>
      </c>
      <c r="G37" s="62" t="str">
        <f>IFERROR(__xludf.DUMMYFUNCTION("""COMPUTED_VALUE"""),"owl crest (Noctowl)")</f>
        <v>owl crest (Noctowl)</v>
      </c>
      <c r="H37" s="62" t="str">
        <f>IFERROR(__xludf.DUMMYFUNCTION("""COMPUTED_VALUE"""),"two-colored crest (Shiny Pidgeot)")</f>
        <v>two-colored crest (Shiny Pidgeot)</v>
      </c>
      <c r="I37" s="62"/>
      <c r="J37" s="62"/>
      <c r="K37" s="62"/>
      <c r="L37" s="62"/>
    </row>
    <row r="38">
      <c r="A38" s="62" t="str">
        <f>IFERROR(__xludf.DUMMYFUNCTION("""COMPUTED_VALUE"""),"Pidgeotto")</f>
        <v>Pidgeotto</v>
      </c>
      <c r="B38" s="62">
        <f>IFERROR(__xludf.DUMMYFUNCTION("""COMPUTED_VALUE"""),1.0)</f>
        <v>1</v>
      </c>
      <c r="C38" s="62" t="str">
        <f>IFERROR(__xludf.DUMMYFUNCTION("""COMPUTED_VALUE"""),"flying fragment")</f>
        <v>flying fragment</v>
      </c>
      <c r="D38" s="62" t="str">
        <f>IFERROR(__xludf.DUMMYFUNCTION("""COMPUTED_VALUE"""),"feather stone")</f>
        <v>feather stone</v>
      </c>
      <c r="E38" s="62" t="str">
        <f>IFERROR(__xludf.DUMMYFUNCTION("""COMPUTED_VALUE"""),"pointy beak (Fearow)")</f>
        <v>pointy beak (Fearow)</v>
      </c>
      <c r="F38" s="62" t="str">
        <f>IFERROR(__xludf.DUMMYFUNCTION("""COMPUTED_VALUE"""),"bird tail (Pidgeotto)")</f>
        <v>bird tail (Pidgeotto)</v>
      </c>
      <c r="G38" s="62" t="str">
        <f>IFERROR(__xludf.DUMMYFUNCTION("""COMPUTED_VALUE"""),"dodrio feather (Dodrio)")</f>
        <v>dodrio feather (Dodrio)</v>
      </c>
      <c r="H38" s="62" t="str">
        <f>IFERROR(__xludf.DUMMYFUNCTION("""COMPUTED_VALUE"""),"two-colored tail (Shiny Pidgeotto)")</f>
        <v>two-colored tail (Shiny Pidgeotto)</v>
      </c>
      <c r="I38" s="62" t="str">
        <f>IFERROR(__xludf.DUMMYFUNCTION("""COMPUTED_VALUE"""),"two-colored crest (Shiny Pidgeot)")</f>
        <v>two-colored crest (Shiny Pidgeot)</v>
      </c>
      <c r="J38" s="62"/>
      <c r="K38" s="62"/>
      <c r="L38" s="62"/>
    </row>
    <row r="39">
      <c r="A39" s="62" t="str">
        <f>IFERROR(__xludf.DUMMYFUNCTION("""COMPUTED_VALUE"""),"Pidgey")</f>
        <v>Pidgey</v>
      </c>
      <c r="B39" s="62">
        <f>IFERROR(__xludf.DUMMYFUNCTION("""COMPUTED_VALUE"""),1.0)</f>
        <v>1</v>
      </c>
      <c r="C39" s="62" t="str">
        <f>IFERROR(__xludf.DUMMYFUNCTION("""COMPUTED_VALUE"""),"flying fragment")</f>
        <v>flying fragment</v>
      </c>
      <c r="D39" s="62" t="str">
        <f>IFERROR(__xludf.DUMMYFUNCTION("""COMPUTED_VALUE"""),"feather stone")</f>
        <v>feather stone</v>
      </c>
      <c r="E39" s="62" t="str">
        <f>IFERROR(__xludf.DUMMYFUNCTION("""COMPUTED_VALUE"""),"bird crest (Pidgey)")</f>
        <v>bird crest (Pidgey)</v>
      </c>
      <c r="F39" s="62" t="str">
        <f>IFERROR(__xludf.DUMMYFUNCTION("""COMPUTED_VALUE"""),"bird wing (Spearow)")</f>
        <v>bird wing (Spearow)</v>
      </c>
      <c r="G39" s="62" t="str">
        <f>IFERROR(__xludf.DUMMYFUNCTION("""COMPUTED_VALUE"""),"yellow bird crest (Shiny Pidgey)")</f>
        <v>yellow bird crest (Shiny Pidgey)</v>
      </c>
      <c r="H39" s="62" t="str">
        <f>IFERROR(__xludf.DUMMYFUNCTION("""COMPUTED_VALUE"""),"two-colored tail (Shiny Pidgeotto)")</f>
        <v>two-colored tail (Shiny Pidgeotto)</v>
      </c>
      <c r="I39" s="62"/>
      <c r="J39" s="62"/>
      <c r="K39" s="62"/>
      <c r="L39" s="62"/>
    </row>
    <row r="40">
      <c r="A40" s="62" t="str">
        <f>IFERROR(__xludf.DUMMYFUNCTION("""COMPUTED_VALUE"""),"Piloswine")</f>
        <v>Piloswine</v>
      </c>
      <c r="B40" s="62">
        <f>IFERROR(__xludf.DUMMYFUNCTION("""COMPUTED_VALUE"""),1.0)</f>
        <v>1</v>
      </c>
      <c r="C40" s="62" t="str">
        <f>IFERROR(__xludf.DUMMYFUNCTION("""COMPUTED_VALUE"""),"ice fragment")</f>
        <v>ice fragment</v>
      </c>
      <c r="D40" s="62" t="str">
        <f>IFERROR(__xludf.DUMMYFUNCTION("""COMPUTED_VALUE"""),"ice stone")</f>
        <v>ice stone</v>
      </c>
      <c r="E40" s="62" t="str">
        <f>IFERROR(__xludf.DUMMYFUNCTION("""COMPUTED_VALUE"""),"ice tusks (Pilowsine)")</f>
        <v>ice tusks (Pilowsine)</v>
      </c>
      <c r="F40" s="62" t="str">
        <f>IFERROR(__xludf.DUMMYFUNCTION("""COMPUTED_VALUE"""),"girf tail (Delibird)")</f>
        <v>girf tail (Delibird)</v>
      </c>
      <c r="G40" s="62" t="str">
        <f>IFERROR(__xludf.DUMMYFUNCTION("""COMPUTED_VALUE"""),"Frozen Tusks (Shiny Piloswine)")</f>
        <v>Frozen Tusks (Shiny Piloswine)</v>
      </c>
      <c r="H40" s="62"/>
      <c r="I40" s="62"/>
      <c r="J40" s="62"/>
      <c r="K40" s="62"/>
      <c r="L40" s="62"/>
    </row>
    <row r="41">
      <c r="A41" s="62" t="str">
        <f>IFERROR(__xludf.DUMMYFUNCTION("""COMPUTED_VALUE"""),"Pineco")</f>
        <v>Pineco</v>
      </c>
      <c r="B41" s="62">
        <f>IFERROR(__xludf.DUMMYFUNCTION("""COMPUTED_VALUE"""),1.0)</f>
        <v>1</v>
      </c>
      <c r="C41" s="62" t="str">
        <f>IFERROR(__xludf.DUMMYFUNCTION("""COMPUTED_VALUE"""),"bug fragment")</f>
        <v>bug fragment</v>
      </c>
      <c r="D41" s="62" t="str">
        <f>IFERROR(__xludf.DUMMYFUNCTION("""COMPUTED_VALUE"""),"cocoon stone")</f>
        <v>cocoon stone</v>
      </c>
      <c r="E41" s="62" t="str">
        <f>IFERROR(__xludf.DUMMYFUNCTION("""COMPUTED_VALUE"""),"pineco shell (Pineco)")</f>
        <v>pineco shell (Pineco)</v>
      </c>
      <c r="F41" s="62" t="str">
        <f>IFERROR(__xludf.DUMMYFUNCTION("""COMPUTED_VALUE"""),"poison sting (Weedle)")</f>
        <v>poison sting (Weedle)</v>
      </c>
      <c r="G41" s="62" t="str">
        <f>IFERROR(__xludf.DUMMYFUNCTION("""COMPUTED_VALUE"""),"caterpie antenna (Caterpie)")</f>
        <v>caterpie antenna (Caterpie)</v>
      </c>
      <c r="H41" s="62" t="str">
        <f>IFERROR(__xludf.DUMMYFUNCTION("""COMPUTED_VALUE"""),"orange shell (Shiny Pineco)")</f>
        <v>orange shell (Shiny Pineco)</v>
      </c>
      <c r="I41" s="62" t="str">
        <f>IFERROR(__xludf.DUMMYFUNCTION("""COMPUTED_VALUE"""),"brown shell (Shiny Forretress)")</f>
        <v>brown shell (Shiny Forretress)</v>
      </c>
      <c r="J41" s="62"/>
      <c r="K41" s="62"/>
      <c r="L41" s="62"/>
    </row>
    <row r="42">
      <c r="A42" s="62" t="str">
        <f>IFERROR(__xludf.DUMMYFUNCTION("""COMPUTED_VALUE"""),"Pupitar")</f>
        <v>Pupitar</v>
      </c>
      <c r="B42" s="62">
        <f>IFERROR(__xludf.DUMMYFUNCTION("""COMPUTED_VALUE"""),1.0)</f>
        <v>1</v>
      </c>
      <c r="C42" s="62" t="str">
        <f>IFERROR(__xludf.DUMMYFUNCTION("""COMPUTED_VALUE"""),"rock fragment")</f>
        <v>rock fragment</v>
      </c>
      <c r="D42" s="62" t="str">
        <f>IFERROR(__xludf.DUMMYFUNCTION("""COMPUTED_VALUE"""),"rock stone")</f>
        <v>rock stone</v>
      </c>
      <c r="E42" s="62" t="str">
        <f>IFERROR(__xludf.DUMMYFUNCTION("""COMPUTED_VALUE"""),"rock plate (Pupitar)")</f>
        <v>rock plate (Pupitar)</v>
      </c>
      <c r="F42" s="62" t="str">
        <f>IFERROR(__xludf.DUMMYFUNCTION("""COMPUTED_VALUE"""),"rock forehead (Graveler)")</f>
        <v>rock forehead (Graveler)</v>
      </c>
      <c r="G42" s="62" t="str">
        <f>IFERROR(__xludf.DUMMYFUNCTION("""COMPUTED_VALUE"""),"purple rock plate (Shiny Pupitar)")</f>
        <v>purple rock plate (Shiny Pupitar)</v>
      </c>
      <c r="H42" s="62" t="str">
        <f>IFERROR(__xludf.DUMMYFUNCTION("""COMPUTED_VALUE"""),"godzilla tail (Shiny Tyranitar)")</f>
        <v>godzilla tail (Shiny Tyranitar)</v>
      </c>
      <c r="I42" s="62"/>
      <c r="J42" s="62"/>
      <c r="K42" s="62"/>
      <c r="L42" s="62"/>
    </row>
    <row r="43">
      <c r="A43" s="62" t="str">
        <f>IFERROR(__xludf.DUMMYFUNCTION("""COMPUTED_VALUE"""),"Quilava")</f>
        <v>Quilava</v>
      </c>
      <c r="B43" s="62">
        <f>IFERROR(__xludf.DUMMYFUNCTION("""COMPUTED_VALUE"""),1.0)</f>
        <v>1</v>
      </c>
      <c r="C43" s="62" t="str">
        <f>IFERROR(__xludf.DUMMYFUNCTION("""COMPUTED_VALUE"""),"fire fragment")</f>
        <v>fire fragment</v>
      </c>
      <c r="D43" s="62" t="str">
        <f>IFERROR(__xludf.DUMMYFUNCTION("""COMPUTED_VALUE"""),"fire stone")</f>
        <v>fire stone</v>
      </c>
      <c r="E43" s="62" t="str">
        <f>IFERROR(__xludf.DUMMYFUNCTION("""COMPUTED_VALUE"""),"quilava fur (Quilava)")</f>
        <v>quilava fur (Quilava)</v>
      </c>
      <c r="F43" s="62" t="str">
        <f>IFERROR(__xludf.DUMMYFUNCTION("""COMPUTED_VALUE"""),"lizard tail (Charmelion)")</f>
        <v>lizard tail (Charmelion)</v>
      </c>
      <c r="G43" s="62" t="str">
        <f>IFERROR(__xludf.DUMMYFUNCTION("""COMPUTED_VALUE"""),"blaze tail (Flareon)")</f>
        <v>blaze tail (Flareon)</v>
      </c>
      <c r="H43" s="62" t="str">
        <f>IFERROR(__xludf.DUMMYFUNCTION("""COMPUTED_VALUE"""),"blaze fur (Shiny Quilava)")</f>
        <v>blaze fur (Shiny Quilava)</v>
      </c>
      <c r="I43" s="62" t="str">
        <f>IFERROR(__xludf.DUMMYFUNCTION("""COMPUTED_VALUE"""),"volcano fur (Shiny Typhlosion)")</f>
        <v>volcano fur (Shiny Typhlosion)</v>
      </c>
      <c r="J43" s="62"/>
      <c r="K43" s="62"/>
      <c r="L43" s="62"/>
    </row>
    <row r="44">
      <c r="A44" s="62" t="str">
        <f>IFERROR(__xludf.DUMMYFUNCTION("""COMPUTED_VALUE"""),"Rhydon")</f>
        <v>Rhydon</v>
      </c>
      <c r="B44" s="62">
        <f>IFERROR(__xludf.DUMMYFUNCTION("""COMPUTED_VALUE"""),1.0)</f>
        <v>1</v>
      </c>
      <c r="C44" s="62" t="str">
        <f>IFERROR(__xludf.DUMMYFUNCTION("""COMPUTED_VALUE"""),"ground fragment")</f>
        <v>ground fragment</v>
      </c>
      <c r="D44" s="62" t="str">
        <f>IFERROR(__xludf.DUMMYFUNCTION("""COMPUTED_VALUE"""),"earth stone")</f>
        <v>earth stone</v>
      </c>
      <c r="E44" s="62" t="str">
        <f>IFERROR(__xludf.DUMMYFUNCTION("""COMPUTED_VALUE"""),"handful of stones (Dugtrio)")</f>
        <v>handful of stones (Dugtrio)</v>
      </c>
      <c r="F44" s="62" t="str">
        <f>IFERROR(__xludf.DUMMYFUNCTION("""COMPUTED_VALUE"""),"armadillo claw (Sandslash)")</f>
        <v>armadillo claw (Sandslash)</v>
      </c>
      <c r="G44" s="62" t="str">
        <f>IFERROR(__xludf.DUMMYFUNCTION("""COMPUTED_VALUE"""),"horn drill (Rhydon)")</f>
        <v>horn drill (Rhydon)</v>
      </c>
      <c r="H44" s="62" t="str">
        <f>IFERROR(__xludf.DUMMYFUNCTION("""COMPUTED_VALUE"""),"golden shell (Shiny Rhyhorn)")</f>
        <v>golden shell (Shiny Rhyhorn)</v>
      </c>
      <c r="I44" s="62" t="str">
        <f>IFERROR(__xludf.DUMMYFUNCTION("""COMPUTED_VALUE"""),"golden drill (Shiny Rhydon)")</f>
        <v>golden drill (Shiny Rhydon)</v>
      </c>
      <c r="J44" s="62"/>
      <c r="K44" s="62"/>
      <c r="L44" s="62"/>
    </row>
    <row r="45">
      <c r="A45" s="62" t="str">
        <f>IFERROR(__xludf.DUMMYFUNCTION("""COMPUTED_VALUE"""),"Scizor")</f>
        <v>Scizor</v>
      </c>
      <c r="B45" s="62">
        <f>IFERROR(__xludf.DUMMYFUNCTION("""COMPUTED_VALUE"""),1.0)</f>
        <v>1</v>
      </c>
      <c r="C45" s="62" t="str">
        <f>IFERROR(__xludf.DUMMYFUNCTION("""COMPUTED_VALUE"""),"bug fragment")</f>
        <v>bug fragment</v>
      </c>
      <c r="D45" s="62" t="str">
        <f>IFERROR(__xludf.DUMMYFUNCTION("""COMPUTED_VALUE"""),"cocoon stone")</f>
        <v>cocoon stone</v>
      </c>
      <c r="E45" s="62" t="str">
        <f>IFERROR(__xludf.DUMMYFUNCTION("""COMPUTED_VALUE"""),"scizor claw (Scizor)")</f>
        <v>scizor claw (Scizor)</v>
      </c>
      <c r="F45" s="62" t="str">
        <f>IFERROR(__xludf.DUMMYFUNCTION("""COMPUTED_VALUE"""),"pinsir horn (Pinsir)")</f>
        <v>pinsir horn (Pinsir)</v>
      </c>
      <c r="G45" s="62" t="str">
        <f>IFERROR(__xludf.DUMMYFUNCTION("""COMPUTED_VALUE"""),"scythe (Scyther)")</f>
        <v>scythe (Scyther)</v>
      </c>
      <c r="H45" s="62" t="str">
        <f>IFERROR(__xludf.DUMMYFUNCTION("""COMPUTED_VALUE"""),"carbon claw (Shiny Scizor)")</f>
        <v>carbon claw (Shiny Scizor)</v>
      </c>
      <c r="I45" s="62"/>
      <c r="J45" s="62"/>
      <c r="K45" s="62"/>
      <c r="L45" s="62"/>
    </row>
    <row r="46">
      <c r="A46" s="62" t="str">
        <f>IFERROR(__xludf.DUMMYFUNCTION("""COMPUTED_VALUE"""),"Skarmory")</f>
        <v>Skarmory</v>
      </c>
      <c r="B46" s="62">
        <f>IFERROR(__xludf.DUMMYFUNCTION("""COMPUTED_VALUE"""),1.0)</f>
        <v>1</v>
      </c>
      <c r="C46" s="62" t="str">
        <f>IFERROR(__xludf.DUMMYFUNCTION("""COMPUTED_VALUE"""),"steel fragment")</f>
        <v>steel fragment</v>
      </c>
      <c r="D46" s="62" t="str">
        <f>IFERROR(__xludf.DUMMYFUNCTION("""COMPUTED_VALUE"""),"metal stone")</f>
        <v>metal stone</v>
      </c>
      <c r="E46" s="62" t="str">
        <f>IFERROR(__xludf.DUMMYFUNCTION("""COMPUTED_VALUE"""),"magnet (Magneton)")</f>
        <v>magnet (Magneton)</v>
      </c>
      <c r="F46" s="62" t="str">
        <f>IFERROR(__xludf.DUMMYFUNCTION("""COMPUTED_VALUE"""),"steel wing (Skarmory)")</f>
        <v>steel wing (Skarmory)</v>
      </c>
      <c r="G46" s="62" t="str">
        <f>IFERROR(__xludf.DUMMYFUNCTION("""COMPUTED_VALUE"""),"scizor claw (Scizor)")</f>
        <v>scizor claw (Scizor)</v>
      </c>
      <c r="H46" s="62" t="str">
        <f>IFERROR(__xludf.DUMMYFUNCTION("""COMPUTED_VALUE"""),"yellow steel wing (Shiny Skarmory)")</f>
        <v>yellow steel wing (Shiny Skarmory)</v>
      </c>
      <c r="I46" s="62"/>
      <c r="J46" s="62"/>
      <c r="K46" s="62"/>
      <c r="L46" s="62"/>
    </row>
    <row r="47">
      <c r="A47" s="62" t="str">
        <f>IFERROR(__xludf.DUMMYFUNCTION("""COMPUTED_VALUE"""),"Spinarak")</f>
        <v>Spinarak</v>
      </c>
      <c r="B47" s="62">
        <f>IFERROR(__xludf.DUMMYFUNCTION("""COMPUTED_VALUE"""),1.0)</f>
        <v>1</v>
      </c>
      <c r="C47" s="62" t="str">
        <f>IFERROR(__xludf.DUMMYFUNCTION("""COMPUTED_VALUE"""),"poison fragment")</f>
        <v>poison fragment</v>
      </c>
      <c r="D47" s="62" t="str">
        <f>IFERROR(__xludf.DUMMYFUNCTION("""COMPUTED_VALUE"""),"cocoon stone")</f>
        <v>cocoon stone</v>
      </c>
      <c r="E47" s="62" t="str">
        <f>IFERROR(__xludf.DUMMYFUNCTION("""COMPUTED_VALUE"""),"spider legs (Spinarak)")</f>
        <v>spider legs (Spinarak)</v>
      </c>
      <c r="F47" s="62" t="str">
        <f>IFERROR(__xludf.DUMMYFUNCTION("""COMPUTED_VALUE"""),"poisoned arachnid legs (Ariados)")</f>
        <v>poisoned arachnid legs (Ariados)</v>
      </c>
      <c r="G47" s="62"/>
      <c r="H47" s="62"/>
      <c r="I47" s="62"/>
      <c r="J47" s="62"/>
      <c r="K47" s="62"/>
      <c r="L47" s="62"/>
    </row>
    <row r="48">
      <c r="A48" s="62" t="str">
        <f>IFERROR(__xludf.DUMMYFUNCTION("""COMPUTED_VALUE"""),"Steelix")</f>
        <v>Steelix</v>
      </c>
      <c r="B48" s="62">
        <f>IFERROR(__xludf.DUMMYFUNCTION("""COMPUTED_VALUE"""),1.0)</f>
        <v>1</v>
      </c>
      <c r="C48" s="62" t="str">
        <f>IFERROR(__xludf.DUMMYFUNCTION("""COMPUTED_VALUE"""),"steel fragment")</f>
        <v>steel fragment</v>
      </c>
      <c r="D48" s="62" t="str">
        <f>IFERROR(__xludf.DUMMYFUNCTION("""COMPUTED_VALUE"""),"metal stone")</f>
        <v>metal stone</v>
      </c>
      <c r="E48" s="62" t="str">
        <f>IFERROR(__xludf.DUMMYFUNCTION("""COMPUTED_VALUE"""),"earth stone")</f>
        <v>earth stone</v>
      </c>
      <c r="F48" s="62" t="str">
        <f>IFERROR(__xludf.DUMMYFUNCTION("""COMPUTED_VALUE"""),"steel wing (Skarmory)")</f>
        <v>steel wing (Skarmory)</v>
      </c>
      <c r="G48" s="62" t="str">
        <f>IFERROR(__xludf.DUMMYFUNCTION("""COMPUTED_VALUE"""),"onix tail (Onix)")</f>
        <v>onix tail (Onix)</v>
      </c>
      <c r="H48" s="62" t="str">
        <f>IFERROR(__xludf.DUMMYFUNCTION("""COMPUTED_VALUE"""),"steelix tail (Steelix)")</f>
        <v>steelix tail (Steelix)</v>
      </c>
      <c r="I48" s="62" t="str">
        <f>IFERROR(__xludf.DUMMYFUNCTION("""COMPUTED_VALUE"""),"horn drill (Rhydon)")</f>
        <v>horn drill (Rhydon)</v>
      </c>
      <c r="J48" s="62" t="str">
        <f>IFERROR(__xludf.DUMMYFUNCTION("""COMPUTED_VALUE"""),"golden steelix tail (Shiny Steelix)")</f>
        <v>golden steelix tail (Shiny Steelix)</v>
      </c>
      <c r="K48" s="62"/>
      <c r="L48" s="62"/>
    </row>
    <row r="49">
      <c r="A49" s="62" t="str">
        <f>IFERROR(__xludf.DUMMYFUNCTION("""COMPUTED_VALUE"""),"Swinub")</f>
        <v>Swinub</v>
      </c>
      <c r="B49" s="62">
        <f>IFERROR(__xludf.DUMMYFUNCTION("""COMPUTED_VALUE"""),1.0)</f>
        <v>1</v>
      </c>
      <c r="C49" s="62" t="str">
        <f>IFERROR(__xludf.DUMMYFUNCTION("""COMPUTED_VALUE"""),"ice fragment")</f>
        <v>ice fragment</v>
      </c>
      <c r="D49" s="62" t="str">
        <f>IFERROR(__xludf.DUMMYFUNCTION("""COMPUTED_VALUE"""),"ice stone")</f>
        <v>ice stone</v>
      </c>
      <c r="E49" s="62" t="str">
        <f>IFERROR(__xludf.DUMMYFUNCTION("""COMPUTED_VALUE"""),"baby hair (Smoochoom)")</f>
        <v>baby hair (Smoochoom)</v>
      </c>
      <c r="F49" s="62" t="str">
        <f>IFERROR(__xludf.DUMMYFUNCTION("""COMPUTED_VALUE"""),"furry hair (Swinub)")</f>
        <v>furry hair (Swinub)</v>
      </c>
      <c r="G49" s="62" t="str">
        <f>IFERROR(__xludf.DUMMYFUNCTION("""COMPUTED_VALUE"""),"gray furry hair (Shiny Swinub)")</f>
        <v>gray furry hair (Shiny Swinub)</v>
      </c>
      <c r="H49" s="62" t="str">
        <f>IFERROR(__xludf.DUMMYFUNCTION("""COMPUTED_VALUE"""),"frozen tusks (Shiny Piloswine)")</f>
        <v>frozen tusks (Shiny Piloswine)</v>
      </c>
      <c r="I49" s="62"/>
      <c r="J49" s="62"/>
      <c r="K49" s="62"/>
      <c r="L49" s="62"/>
    </row>
    <row r="50">
      <c r="A50" s="62" t="str">
        <f>IFERROR(__xludf.DUMMYFUNCTION("""COMPUTED_VALUE"""),"Tauros")</f>
        <v>Tauros</v>
      </c>
      <c r="B50" s="62">
        <f>IFERROR(__xludf.DUMMYFUNCTION("""COMPUTED_VALUE"""),1.0)</f>
        <v>1</v>
      </c>
      <c r="C50" s="62" t="str">
        <f>IFERROR(__xludf.DUMMYFUNCTION("""COMPUTED_VALUE"""),"normal fragment")</f>
        <v>normal fragment</v>
      </c>
      <c r="D50" s="62" t="str">
        <f>IFERROR(__xludf.DUMMYFUNCTION("""COMPUTED_VALUE"""),"heart stone")</f>
        <v>heart stone</v>
      </c>
      <c r="E50" s="62" t="str">
        <f>IFERROR(__xludf.DUMMYFUNCTION("""COMPUTED_VALUE"""),"bull tail (Tauros)")</f>
        <v>bull tail (Tauros)</v>
      </c>
      <c r="F50" s="62" t="str">
        <f>IFERROR(__xludf.DUMMYFUNCTION("""COMPUTED_VALUE"""),"kangaskhan ear (Kangaskhan)")</f>
        <v>kangaskhan ear (Kangaskhan)</v>
      </c>
      <c r="G50" s="62" t="str">
        <f>IFERROR(__xludf.DUMMYFUNCTION("""COMPUTED_VALUE"""),"snorlax paw (Snorlax)")</f>
        <v>snorlax paw (Snorlax)</v>
      </c>
      <c r="H50" s="62" t="str">
        <f>IFERROR(__xludf.DUMMYFUNCTION("""COMPUTED_VALUE"""),"green bull tail (Shiny Tauros)")</f>
        <v>green bull tail (Shiny Tauros)</v>
      </c>
      <c r="I50" s="62"/>
      <c r="J50" s="62"/>
      <c r="K50" s="62"/>
      <c r="L50" s="62"/>
    </row>
    <row r="51">
      <c r="A51" s="62" t="str">
        <f>IFERROR(__xludf.DUMMYFUNCTION("""COMPUTED_VALUE"""),"Totodile")</f>
        <v>Totodile</v>
      </c>
      <c r="B51" s="62">
        <f>IFERROR(__xludf.DUMMYFUNCTION("""COMPUTED_VALUE"""),1.0)</f>
        <v>1</v>
      </c>
      <c r="C51" s="62" t="str">
        <f>IFERROR(__xludf.DUMMYFUNCTION("""COMPUTED_VALUE"""),"water fragment")</f>
        <v>water fragment</v>
      </c>
      <c r="D51" s="62" t="str">
        <f>IFERROR(__xludf.DUMMYFUNCTION("""COMPUTED_VALUE"""),"water stone")</f>
        <v>water stone</v>
      </c>
      <c r="E51" s="62" t="str">
        <f>IFERROR(__xludf.DUMMYFUNCTION("""COMPUTED_VALUE"""),"totodile tail (Totodile)")</f>
        <v>totodile tail (Totodile)</v>
      </c>
      <c r="F51" s="62" t="str">
        <f>IFERROR(__xludf.DUMMYFUNCTION("""COMPUTED_VALUE"""),"aquatic tail (Maril)")</f>
        <v>aquatic tail (Maril)</v>
      </c>
      <c r="G51" s="62" t="str">
        <f>IFERROR(__xludf.DUMMYFUNCTION("""COMPUTED_VALUE"""),"squirtle hull (Squirtle)")</f>
        <v>squirtle hull (Squirtle)</v>
      </c>
      <c r="H51" s="62" t="str">
        <f>IFERROR(__xludf.DUMMYFUNCTION("""COMPUTED_VALUE"""),"cyan tail (Shiny Totodile)")</f>
        <v>cyan tail (Shiny Totodile)</v>
      </c>
      <c r="I51" s="62" t="str">
        <f>IFERROR(__xludf.DUMMYFUNCTION("""COMPUTED_VALUE"""),"blue mohawk (Shiny Croconaw)")</f>
        <v>blue mohawk (Shiny Croconaw)</v>
      </c>
      <c r="J51" s="62"/>
      <c r="K51" s="62"/>
      <c r="L51" s="62"/>
    </row>
    <row r="52">
      <c r="A52" s="62" t="str">
        <f>IFERROR(__xludf.DUMMYFUNCTION("""COMPUTED_VALUE"""),"Toxicroak")</f>
        <v>Toxicroak</v>
      </c>
      <c r="B52" s="62">
        <f>IFERROR(__xludf.DUMMYFUNCTION("""COMPUTED_VALUE"""),1.0)</f>
        <v>1</v>
      </c>
      <c r="C52" s="62" t="str">
        <f>IFERROR(__xludf.DUMMYFUNCTION("""COMPUTED_VALUE"""),"poison fragment")</f>
        <v>poison fragment</v>
      </c>
      <c r="D52" s="62" t="str">
        <f>IFERROR(__xludf.DUMMYFUNCTION("""COMPUTED_VALUE"""),"venom stone")</f>
        <v>venom stone</v>
      </c>
      <c r="E52" s="62" t="str">
        <f>IFERROR(__xludf.DUMMYFUNCTION("""COMPUTED_VALUE"""),"poison bladder (Toxicroak)")</f>
        <v>poison bladder (Toxicroak)</v>
      </c>
      <c r="F52" s="62" t="str">
        <f>IFERROR(__xludf.DUMMYFUNCTION("""COMPUTED_VALUE"""),"queen ear (Nidoqueen)")</f>
        <v>queen ear (Nidoqueen)</v>
      </c>
      <c r="G52" s="62" t="str">
        <f>IFERROR(__xludf.DUMMYFUNCTION("""COMPUTED_VALUE"""),"king ear (Nidoking)")</f>
        <v>king ear (Nidoking)</v>
      </c>
      <c r="H52" s="62" t="str">
        <f>IFERROR(__xludf.DUMMYFUNCTION("""COMPUTED_VALUE"""),"pink poison bladder (Shiny Toxicroak)")</f>
        <v>pink poison bladder (Shiny Toxicroak)</v>
      </c>
      <c r="I52" s="62"/>
      <c r="J52" s="62"/>
      <c r="K52" s="62"/>
      <c r="L52" s="62"/>
    </row>
    <row r="53">
      <c r="A53" s="62" t="str">
        <f>IFERROR(__xludf.DUMMYFUNCTION("""COMPUTED_VALUE"""),"Typhlosion")</f>
        <v>Typhlosion</v>
      </c>
      <c r="B53" s="62">
        <f>IFERROR(__xludf.DUMMYFUNCTION("""COMPUTED_VALUE"""),1.0)</f>
        <v>1</v>
      </c>
      <c r="C53" s="62" t="str">
        <f>IFERROR(__xludf.DUMMYFUNCTION("""COMPUTED_VALUE"""),"fire fragment")</f>
        <v>fire fragment</v>
      </c>
      <c r="D53" s="62" t="str">
        <f>IFERROR(__xludf.DUMMYFUNCTION("""COMPUTED_VALUE"""),"fire stone")</f>
        <v>fire stone</v>
      </c>
      <c r="E53" s="62" t="str">
        <f>IFERROR(__xludf.DUMMYFUNCTION("""COMPUTED_VALUE"""),"giant piece of fur (Arcanine)")</f>
        <v>giant piece of fur (Arcanine)</v>
      </c>
      <c r="F53" s="62" t="str">
        <f>IFERROR(__xludf.DUMMYFUNCTION("""COMPUTED_VALUE"""),"fire wing (Charizard)")</f>
        <v>fire wing (Charizard)</v>
      </c>
      <c r="G53" s="62" t="str">
        <f>IFERROR(__xludf.DUMMYFUNCTION("""COMPUTED_VALUE"""),"typhlosion fur (Typhlosion)")</f>
        <v>typhlosion fur (Typhlosion)</v>
      </c>
      <c r="H53" s="62" t="str">
        <f>IFERROR(__xludf.DUMMYFUNCTION("""COMPUTED_VALUE"""),"blaze tail (Flareon)")</f>
        <v>blaze tail (Flareon)</v>
      </c>
      <c r="I53" s="62" t="str">
        <f>IFERROR(__xludf.DUMMYFUNCTION("""COMPUTED_VALUE"""),"volcano fur (Shiny Typhlosion)")</f>
        <v>volcano fur (Shiny Typhlosion)</v>
      </c>
      <c r="J53" s="62"/>
      <c r="K53" s="62"/>
      <c r="L53" s="62"/>
    </row>
    <row r="54">
      <c r="A54" s="62" t="str">
        <f>IFERROR(__xludf.DUMMYFUNCTION("""COMPUTED_VALUE"""),"Tyranitar")</f>
        <v>Tyranitar</v>
      </c>
      <c r="B54" s="62">
        <f>IFERROR(__xludf.DUMMYFUNCTION("""COMPUTED_VALUE"""),1.0)</f>
        <v>1</v>
      </c>
      <c r="C54" s="62" t="str">
        <f>IFERROR(__xludf.DUMMYFUNCTION("""COMPUTED_VALUE"""),"rock fragment")</f>
        <v>rock fragment</v>
      </c>
      <c r="D54" s="62" t="str">
        <f>IFERROR(__xludf.DUMMYFUNCTION("""COMPUTED_VALUE"""),"rock stone")</f>
        <v>rock stone</v>
      </c>
      <c r="E54" s="62" t="str">
        <f>IFERROR(__xludf.DUMMYFUNCTION("""COMPUTED_VALUE"""),"tyranitar tail (Tyranitar)")</f>
        <v>tyranitar tail (Tyranitar)</v>
      </c>
      <c r="F54" s="62" t="str">
        <f>IFERROR(__xludf.DUMMYFUNCTION("""COMPUTED_VALUE"""),"spike shell (Omastar)")</f>
        <v>spike shell (Omastar)</v>
      </c>
      <c r="G54" s="62" t="str">
        <f>IFERROR(__xludf.DUMMYFUNCTION("""COMPUTED_VALUE"""),"gray scythe (Kabutops)")</f>
        <v>gray scythe (Kabutops)</v>
      </c>
      <c r="H54" s="62" t="str">
        <f>IFERROR(__xludf.DUMMYFUNCTION("""COMPUTED_VALUE"""),"godzilla tail (Shiny Tyranitar)")</f>
        <v>godzilla tail (Shiny Tyranitar)</v>
      </c>
      <c r="I54" s="62"/>
      <c r="J54" s="62"/>
      <c r="K54" s="62"/>
      <c r="L54" s="62"/>
    </row>
    <row r="55">
      <c r="A55" s="62" t="str">
        <f>IFERROR(__xludf.DUMMYFUNCTION("""COMPUTED_VALUE"""),"Zubat")</f>
        <v>Zubat</v>
      </c>
      <c r="B55" s="62">
        <f>IFERROR(__xludf.DUMMYFUNCTION("""COMPUTED_VALUE"""),1.0)</f>
        <v>1</v>
      </c>
      <c r="C55" s="62" t="str">
        <f>IFERROR(__xludf.DUMMYFUNCTION("""COMPUTED_VALUE"""),"poison fragment")</f>
        <v>poison fragment</v>
      </c>
      <c r="D55" s="62" t="str">
        <f>IFERROR(__xludf.DUMMYFUNCTION("""COMPUTED_VALUE"""),"venom stone")</f>
        <v>venom stone</v>
      </c>
      <c r="E55" s="62" t="str">
        <f>IFERROR(__xludf.DUMMYFUNCTION("""COMPUTED_VALUE"""),"poison pore (Koffing)")</f>
        <v>poison pore (Koffing)</v>
      </c>
      <c r="F55" s="62" t="str">
        <f>IFERROR(__xludf.DUMMYFUNCTION("""COMPUTED_VALUE"""),"snake tail (Ekans)")</f>
        <v>snake tail (Ekans)</v>
      </c>
      <c r="G55" s="62" t="str">
        <f>IFERROR(__xludf.DUMMYFUNCTION("""COMPUTED_VALUE"""),"bat wing (Zubat)")</f>
        <v>bat wing (Zubat)</v>
      </c>
      <c r="H55" s="62" t="str">
        <f>IFERROR(__xludf.DUMMYFUNCTION("""COMPUTED_VALUE"""),"green vampire wing (Shiny Golbat)")</f>
        <v>green vampire wing (Shiny Golbat)</v>
      </c>
      <c r="I55" s="62"/>
      <c r="J55" s="62"/>
      <c r="K55" s="62"/>
      <c r="L55" s="62"/>
    </row>
    <row r="56">
      <c r="A56" s="62" t="str">
        <f>IFERROR(__xludf.DUMMYFUNCTION("""COMPUTED_VALUE"""),"Zweilous")</f>
        <v>Zweilous</v>
      </c>
      <c r="B56" s="62">
        <f>IFERROR(__xludf.DUMMYFUNCTION("""COMPUTED_VALUE"""),1.0)</f>
        <v>1</v>
      </c>
      <c r="C56" s="62" t="str">
        <f>IFERROR(__xludf.DUMMYFUNCTION("""COMPUTED_VALUE"""),"dark fragment")</f>
        <v>dark fragment</v>
      </c>
      <c r="D56" s="62" t="str">
        <f>IFERROR(__xludf.DUMMYFUNCTION("""COMPUTED_VALUE"""),"darkness stone")</f>
        <v>darkness stone</v>
      </c>
      <c r="E56" s="62" t="str">
        <f>IFERROR(__xludf.DUMMYFUNCTION("""COMPUTED_VALUE"""),"yellow beak (Murkrow)")</f>
        <v>yellow beak (Murkrow)</v>
      </c>
      <c r="F56" s="62" t="str">
        <f>IFERROR(__xludf.DUMMYFUNCTION("""COMPUTED_VALUE"""),"puffer tail (Qwilfish)")</f>
        <v>puffer tail (Qwilfish)</v>
      </c>
      <c r="G56" s="62" t="str">
        <f>IFERROR(__xludf.DUMMYFUNCTION("""COMPUTED_VALUE"""),"tweezers (Zweilous)")</f>
        <v>tweezers (Zweilous)</v>
      </c>
      <c r="H56" s="62" t="str">
        <f>IFERROR(__xludf.DUMMYFUNCTION("""COMPUTED_VALUE"""),"greenish tweezers (Shiny Zweilous)")</f>
        <v>greenish tweezers (Shiny Zweilous)</v>
      </c>
      <c r="I56" s="62"/>
      <c r="J56" s="62"/>
      <c r="K56" s="62"/>
      <c r="L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tr">
        <f>IFERROR(__xludf.DUMMYFUNCTION("IMPORTRANGE(""https://docs.google.com/spreadsheets/d/1ID3qu1P4Zey82OSLntg4O0xoZlY1hGK58tte0D_Cv_s/edit?pli=1&amp;gid=1397904418#gid=1397904418"", ""Boost!A1:Z50"")"),"Bug")</f>
        <v>Bug</v>
      </c>
      <c r="B1" s="11" t="str">
        <f>IFERROR(__xludf.DUMMYFUNCTION("""COMPUTED_VALUE"""),"bug fragment")</f>
        <v>bug fragment</v>
      </c>
      <c r="C1" s="11" t="str">
        <f>IFERROR(__xludf.DUMMYFUNCTION("""COMPUTED_VALUE"""),"cocoon stone")</f>
        <v>cocoon stone</v>
      </c>
      <c r="D1" s="11" t="str">
        <f>IFERROR(__xludf.DUMMYFUNCTION("""COMPUTED_VALUE"""),"scythe (Scyther)")</f>
        <v>scythe (Scyther)</v>
      </c>
      <c r="E1" s="11" t="str">
        <f>IFERROR(__xludf.DUMMYFUNCTION("""COMPUTED_VALUE"""),"scizor claw (Scizor)")</f>
        <v>scizor claw (Scizor)</v>
      </c>
      <c r="F1" s="11" t="str">
        <f>IFERROR(__xludf.DUMMYFUNCTION("""COMPUTED_VALUE"""),"pinsir horn (Pinsir)")</f>
        <v>pinsir horn (Pinsir)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62"/>
      <c r="X1" s="62"/>
      <c r="Y1" s="62"/>
      <c r="Z1" s="62"/>
    </row>
    <row r="2">
      <c r="A2" s="11" t="str">
        <f>IFERROR(__xludf.DUMMYFUNCTION("""COMPUTED_VALUE"""),"Dark")</f>
        <v>Dark</v>
      </c>
      <c r="B2" s="11" t="str">
        <f>IFERROR(__xludf.DUMMYFUNCTION("""COMPUTED_VALUE"""),"dark fragment")</f>
        <v>dark fragment</v>
      </c>
      <c r="C2" s="11" t="str">
        <f>IFERROR(__xludf.DUMMYFUNCTION("""COMPUTED_VALUE"""),"darkness stone")</f>
        <v>darkness stone</v>
      </c>
      <c r="D2" s="11" t="str">
        <f>IFERROR(__xludf.DUMMYFUNCTION("""COMPUTED_VALUE"""),"tyranitar tail (Tyranitar)")</f>
        <v>tyranitar tail (Tyranitar)</v>
      </c>
      <c r="E2" s="11" t="str">
        <f>IFERROR(__xludf.DUMMYFUNCTION("""COMPUTED_VALUE"""),"dark canine horns (Houndoom)")</f>
        <v>dark canine horns (Houndoom)</v>
      </c>
      <c r="F2" s="11" t="str">
        <f>IFERROR(__xludf.DUMMYFUNCTION("""COMPUTED_VALUE"""),"shadow tail (Hydreidon)")</f>
        <v>shadow tail (Hydreidon)</v>
      </c>
      <c r="G2" s="11" t="str">
        <f>IFERROR(__xludf.DUMMYFUNCTION("""COMPUTED_VALUE"""),"dark ears (Umbreon)")</f>
        <v>dark ears (Umbreon)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62"/>
      <c r="X2" s="62"/>
      <c r="Y2" s="62"/>
      <c r="Z2" s="62"/>
    </row>
    <row r="3">
      <c r="A3" s="11" t="str">
        <f>IFERROR(__xludf.DUMMYFUNCTION("""COMPUTED_VALUE"""),"Dragon")</f>
        <v>Dragon</v>
      </c>
      <c r="B3" s="11" t="str">
        <f>IFERROR(__xludf.DUMMYFUNCTION("""COMPUTED_VALUE"""),"dragon fragment")</f>
        <v>dragon fragment</v>
      </c>
      <c r="C3" s="11" t="str">
        <f>IFERROR(__xludf.DUMMYFUNCTION("""COMPUTED_VALUE"""),"crystal stone")</f>
        <v>crystal stone</v>
      </c>
      <c r="D3" s="11" t="str">
        <f>IFERROR(__xludf.DUMMYFUNCTION("""COMPUTED_VALUE"""),"dragonair tail (Dragonair)")</f>
        <v>dragonair tail (Dragonair)</v>
      </c>
      <c r="E3" s="11" t="str">
        <f>IFERROR(__xludf.DUMMYFUNCTION("""COMPUTED_VALUE"""),"shadow tail (Hydreidon)")</f>
        <v>shadow tail (Hydreidon)</v>
      </c>
      <c r="F3" s="11" t="str">
        <f>IFERROR(__xludf.DUMMYFUNCTION("""COMPUTED_VALUE"""),"sea dragon fin (Kingdra)")</f>
        <v>sea dragon fin (Kingdra)</v>
      </c>
      <c r="G3" s="11" t="str">
        <f>IFERROR(__xludf.DUMMYFUNCTION("""COMPUTED_VALUE"""),"dragonite tail (Dragonite)")</f>
        <v>dragonite tail (Dragonite)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62"/>
      <c r="X3" s="62"/>
      <c r="Y3" s="62"/>
      <c r="Z3" s="62"/>
    </row>
    <row r="4">
      <c r="A4" s="11" t="str">
        <f>IFERROR(__xludf.DUMMYFUNCTION("""COMPUTED_VALUE"""),"Electric")</f>
        <v>Electric</v>
      </c>
      <c r="B4" s="11" t="str">
        <f>IFERROR(__xludf.DUMMYFUNCTION("""COMPUTED_VALUE"""),"electric fragment")</f>
        <v>electric fragment</v>
      </c>
      <c r="C4" s="11" t="str">
        <f>IFERROR(__xludf.DUMMYFUNCTION("""COMPUTED_VALUE"""),"thunder stone")</f>
        <v>thunder stone</v>
      </c>
      <c r="D4" s="11" t="str">
        <f>IFERROR(__xludf.DUMMYFUNCTION("""COMPUTED_VALUE"""),"electric collar (Jolteon)")</f>
        <v>electric collar (Jolteon)</v>
      </c>
      <c r="E4" s="11" t="str">
        <f>IFERROR(__xludf.DUMMYFUNCTION("""COMPUTED_VALUE"""),"electric ear (Raichu)")</f>
        <v>electric ear (Raichu)</v>
      </c>
      <c r="F4" s="11" t="str">
        <f>IFERROR(__xludf.DUMMYFUNCTION("""COMPUTED_VALUE"""),"electric tail (Electabuzz)")</f>
        <v>electric tail (Electabuzz)</v>
      </c>
      <c r="G4" s="11" t="str">
        <f>IFERROR(__xludf.DUMMYFUNCTION("""COMPUTED_VALUE"""),"electric sheep tail (Ampharos)")</f>
        <v>electric sheep tail (Ampharos)</v>
      </c>
      <c r="H4" s="11" t="str">
        <f>IFERROR(__xludf.DUMMYFUNCTION("""COMPUTED_VALUE"""),"luxray ear (Luxray)")</f>
        <v>luxray ear (Luxray)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62"/>
      <c r="X4" s="62"/>
      <c r="Y4" s="62"/>
      <c r="Z4" s="62"/>
    </row>
    <row r="5">
      <c r="A5" s="11" t="str">
        <f>IFERROR(__xludf.DUMMYFUNCTION("""COMPUTED_VALUE"""),"Fairy")</f>
        <v>Fairy</v>
      </c>
      <c r="B5" s="11" t="str">
        <f>IFERROR(__xludf.DUMMYFUNCTION("""COMPUTED_VALUE"""),"fairy fragment")</f>
        <v>fairy fragment</v>
      </c>
      <c r="C5" s="11" t="str">
        <f>IFERROR(__xludf.DUMMYFUNCTION("""COMPUTED_VALUE"""),"heart stone")</f>
        <v>heart stone</v>
      </c>
      <c r="D5" s="11" t="str">
        <f>IFERROR(__xludf.DUMMYFUNCTION("""COMPUTED_VALUE"""),"mimic clothes (Mr. Mime)")</f>
        <v>mimic clothes (Mr. Mime)</v>
      </c>
      <c r="E5" s="11" t="str">
        <f>IFERROR(__xludf.DUMMYFUNCTION("""COMPUTED_VALUE"""),"pink fairy bow (Sylveon)")</f>
        <v>pink fairy bow (Sylveon)</v>
      </c>
      <c r="F5" s="11" t="str">
        <f>IFERROR(__xludf.DUMMYFUNCTION("""COMPUTED_VALUE"""),"mystic petal (Florges)")</f>
        <v>mystic petal (Florges)</v>
      </c>
      <c r="G5" s="11" t="str">
        <f>IFERROR(__xludf.DUMMYFUNCTION("""COMPUTED_VALUE"""),"yellow mimikyu head (Mimikyu)")</f>
        <v>yellow mimikyu head (Mimikyu)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62"/>
      <c r="X5" s="62"/>
      <c r="Y5" s="62"/>
      <c r="Z5" s="62"/>
    </row>
    <row r="6">
      <c r="A6" s="11" t="str">
        <f>IFERROR(__xludf.DUMMYFUNCTION("""COMPUTED_VALUE"""),"Fighting")</f>
        <v>Fighting</v>
      </c>
      <c r="B6" s="11" t="str">
        <f>IFERROR(__xludf.DUMMYFUNCTION("""COMPUTED_VALUE"""),"fighting fragment")</f>
        <v>fighting fragment</v>
      </c>
      <c r="C6" s="11" t="str">
        <f>IFERROR(__xludf.DUMMYFUNCTION("""COMPUTED_VALUE"""),"punch stone")</f>
        <v>punch stone</v>
      </c>
      <c r="D6" s="11" t="str">
        <f>IFERROR(__xludf.DUMMYFUNCTION("""COMPUTED_VALUE"""),"belt of champions (Machamp)")</f>
        <v>belt of champions (Machamp)</v>
      </c>
      <c r="E6" s="11" t="str">
        <f>IFERROR(__xludf.DUMMYFUNCTION("""COMPUTED_VALUE"""),"big fist gloves (Poliwrath)")</f>
        <v>big fist gloves (Poliwrath)</v>
      </c>
      <c r="F6" s="11" t="str">
        <f>IFERROR(__xludf.DUMMYFUNCTION("""COMPUTED_VALUE"""),"martial arts tail (Hitmontop)")</f>
        <v>martial arts tail (Hitmontop)</v>
      </c>
      <c r="G6" s="11" t="str">
        <f>IFERROR(__xludf.DUMMYFUNCTION("""COMPUTED_VALUE"""),"kick machine (Hitmonlee)")</f>
        <v>kick machine (Hitmonlee)</v>
      </c>
      <c r="H6" s="11" t="str">
        <f>IFERROR(__xludf.DUMMYFUNCTION("""COMPUTED_VALUE"""),"punching machine (Hitmonchan)")</f>
        <v>punching machine (Hitmonchan)</v>
      </c>
      <c r="I6" s="11" t="str">
        <f>IFERROR(__xludf.DUMMYFUNCTION("""COMPUTED_VALUE"""),"poison bladder (Toxicroak)")</f>
        <v>poison bladder (Toxicroak)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62"/>
      <c r="X6" s="62"/>
      <c r="Y6" s="62"/>
      <c r="Z6" s="62"/>
    </row>
    <row r="7">
      <c r="A7" s="11" t="str">
        <f>IFERROR(__xludf.DUMMYFUNCTION("""COMPUTED_VALUE"""),"Fire")</f>
        <v>Fire</v>
      </c>
      <c r="B7" s="11" t="str">
        <f>IFERROR(__xludf.DUMMYFUNCTION("""COMPUTED_VALUE"""),"fire fragment")</f>
        <v>fire fragment</v>
      </c>
      <c r="C7" s="11" t="str">
        <f>IFERROR(__xludf.DUMMYFUNCTION("""COMPUTED_VALUE"""),"fire stone")</f>
        <v>fire stone</v>
      </c>
      <c r="D7" s="11" t="str">
        <f>IFERROR(__xludf.DUMMYFUNCTION("""COMPUTED_VALUE"""),"fire roof (Rapidash)")</f>
        <v>fire roof (Rapidash)</v>
      </c>
      <c r="E7" s="11" t="str">
        <f>IFERROR(__xludf.DUMMYFUNCTION("""COMPUTED_VALUE"""),"magma shell (Magcargo)")</f>
        <v>magma shell (Magcargo)</v>
      </c>
      <c r="F7" s="11" t="str">
        <f>IFERROR(__xludf.DUMMYFUNCTION("""COMPUTED_VALUE"""),"fox tail (Ninetales)")</f>
        <v>fox tail (Ninetales)</v>
      </c>
      <c r="G7" s="11" t="str">
        <f>IFERROR(__xludf.DUMMYFUNCTION("""COMPUTED_VALUE"""),"dark canine horns (Houndoom)")</f>
        <v>dark canine horns (Houndoom)</v>
      </c>
      <c r="H7" s="11" t="str">
        <f>IFERROR(__xludf.DUMMYFUNCTION("""COMPUTED_VALUE"""),"blaze tail (Flareon)")</f>
        <v>blaze tail (Flareon)</v>
      </c>
      <c r="I7" s="11" t="str">
        <f>IFERROR(__xludf.DUMMYFUNCTION("""COMPUTED_VALUE"""),"giant piece of fur (Arcanine)")</f>
        <v>giant piece of fur (Arcanine)</v>
      </c>
      <c r="J7" s="11" t="str">
        <f>IFERROR(__xludf.DUMMYFUNCTION("""COMPUTED_VALUE"""),"magma foot (Magmar)")</f>
        <v>magma foot (Magmar)</v>
      </c>
      <c r="K7" s="11" t="str">
        <f>IFERROR(__xludf.DUMMYFUNCTION("""COMPUTED_VALUE"""),"fire wings (Charizard)")</f>
        <v>fire wings (Charizard)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62"/>
      <c r="X7" s="62"/>
      <c r="Y7" s="62"/>
      <c r="Z7" s="62"/>
    </row>
    <row r="8">
      <c r="A8" s="11" t="str">
        <f>IFERROR(__xludf.DUMMYFUNCTION("""COMPUTED_VALUE"""),"Flying")</f>
        <v>Flying</v>
      </c>
      <c r="B8" s="11" t="str">
        <f>IFERROR(__xludf.DUMMYFUNCTION("""COMPUTED_VALUE"""),"flying fragment")</f>
        <v>flying fragment</v>
      </c>
      <c r="C8" s="11" t="str">
        <f>IFERROR(__xludf.DUMMYFUNCTION("""COMPUTED_VALUE"""),"feather stone")</f>
        <v>feather stone</v>
      </c>
      <c r="D8" s="11" t="str">
        <f>IFERROR(__xludf.DUMMYFUNCTION("""COMPUTED_VALUE"""),"farfetch'd wing (Farfetch'd)")</f>
        <v>farfetch'd wing (Farfetch'd)</v>
      </c>
      <c r="E8" s="11" t="str">
        <f>IFERROR(__xludf.DUMMYFUNCTION("""COMPUTED_VALUE"""),"fire wing (Charizard)")</f>
        <v>fire wing (Charizard)</v>
      </c>
      <c r="F8" s="11" t="str">
        <f>IFERROR(__xludf.DUMMYFUNCTION("""COMPUTED_VALUE"""),"steel wing (Skarmory)")</f>
        <v>steel wing (Skarmory)</v>
      </c>
      <c r="G8" s="11" t="str">
        <f>IFERROR(__xludf.DUMMYFUNCTION("""COMPUTED_VALUE"""),"dodrio feather (Dodrio)")</f>
        <v>dodrio feather (Dodrio)</v>
      </c>
      <c r="H8" s="11" t="str">
        <f>IFERROR(__xludf.DUMMYFUNCTION("""COMPUTED_VALUE"""),"dragonite tail (Dragonite)")</f>
        <v>dragonite tail (Dragonite)</v>
      </c>
      <c r="I8" s="11" t="str">
        <f>IFERROR(__xludf.DUMMYFUNCTION("""COMPUTED_VALUE"""),"gyarados tail (Gyarados)")</f>
        <v>gyarados tail (Gyarados)</v>
      </c>
      <c r="J8" s="11" t="str">
        <f>IFERROR(__xludf.DUMMYFUNCTION("""COMPUTED_VALUE"""),"scythe (Scyther)")</f>
        <v>scythe (Scyther)</v>
      </c>
      <c r="K8" s="11" t="str">
        <f>IFERROR(__xludf.DUMMYFUNCTION("""COMPUTED_VALUE"""),"blue ray tail (Mantine)")</f>
        <v>blue ray tail (Mantine)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62"/>
      <c r="X8" s="62"/>
      <c r="Y8" s="62"/>
      <c r="Z8" s="62"/>
    </row>
    <row r="9">
      <c r="A9" s="11" t="str">
        <f>IFERROR(__xludf.DUMMYFUNCTION("""COMPUTED_VALUE"""),"Ghost")</f>
        <v>Ghost</v>
      </c>
      <c r="B9" s="11" t="str">
        <f>IFERROR(__xludf.DUMMYFUNCTION("""COMPUTED_VALUE"""),"ghost fragment")</f>
        <v>ghost fragment</v>
      </c>
      <c r="C9" s="11" t="str">
        <f>IFERROR(__xludf.DUMMYFUNCTION("""COMPUTED_VALUE"""),"ghost stone")</f>
        <v>ghost stone</v>
      </c>
      <c r="D9" s="11" t="str">
        <f>IFERROR(__xludf.DUMMYFUNCTION("""COMPUTED_VALUE"""),"ectoplasm (Gengar)")</f>
        <v>ectoplasm (Gengar)</v>
      </c>
      <c r="E9" s="11" t="str">
        <f>IFERROR(__xludf.DUMMYFUNCTION("""COMPUTED_VALUE"""),"miss traces (Misdreavus)")</f>
        <v>miss traces (Misdreavus)</v>
      </c>
      <c r="F9" s="11" t="str">
        <f>IFERROR(__xludf.DUMMYFUNCTION("""COMPUTED_VALUE"""),"yellow mimikyu head (Mimikyu)")</f>
        <v>yellow mimikyu head (Mimikyu)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62"/>
      <c r="X9" s="62"/>
      <c r="Y9" s="62"/>
      <c r="Z9" s="62"/>
    </row>
    <row r="10">
      <c r="A10" s="11" t="str">
        <f>IFERROR(__xludf.DUMMYFUNCTION("""COMPUTED_VALUE"""),"Grass")</f>
        <v>Grass</v>
      </c>
      <c r="B10" s="11" t="str">
        <f>IFERROR(__xludf.DUMMYFUNCTION("""COMPUTED_VALUE"""),"grass fragment")</f>
        <v>grass fragment</v>
      </c>
      <c r="C10" s="11" t="str">
        <f>IFERROR(__xludf.DUMMYFUNCTION("""COMPUTED_VALUE"""),"leaf stone")</f>
        <v>leaf stone</v>
      </c>
      <c r="D10" s="11" t="str">
        <f>IFERROR(__xludf.DUMMYFUNCTION("""COMPUTED_VALUE"""),"red petal (Venusaur)")</f>
        <v>red petal (Venusaur)</v>
      </c>
      <c r="E10" s="11" t="str">
        <f>IFERROR(__xludf.DUMMYFUNCTION("""COMPUTED_VALUE"""),"big petal (Meganium)")</f>
        <v>big petal (Meganium)</v>
      </c>
      <c r="F10" s="11" t="str">
        <f>IFERROR(__xludf.DUMMYFUNCTION("""COMPUTED_VALUE"""),"gaia hands (Tangrowth)")</f>
        <v>gaia hands (Tangrowth)</v>
      </c>
      <c r="G10" s="11" t="str">
        <f>IFERROR(__xludf.DUMMYFUNCTION("""COMPUTED_VALUE"""),"piece of rock (Torterra)")</f>
        <v>piece of rock (Torterra)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62"/>
      <c r="X10" s="62"/>
      <c r="Y10" s="62"/>
      <c r="Z10" s="62"/>
    </row>
    <row r="11">
      <c r="A11" s="11" t="str">
        <f>IFERROR(__xludf.DUMMYFUNCTION("""COMPUTED_VALUE"""),"Ground")</f>
        <v>Ground</v>
      </c>
      <c r="B11" s="11" t="str">
        <f>IFERROR(__xludf.DUMMYFUNCTION("""COMPUTED_VALUE"""),"ground fragment")</f>
        <v>ground fragment</v>
      </c>
      <c r="C11" s="11" t="str">
        <f>IFERROR(__xludf.DUMMYFUNCTION("""COMPUTED_VALUE"""),"earth stone")</f>
        <v>earth stone</v>
      </c>
      <c r="D11" s="11" t="str">
        <f>IFERROR(__xludf.DUMMYFUNCTION("""COMPUTED_VALUE"""),"king ear (Nidoking)")</f>
        <v>king ear (Nidoking)</v>
      </c>
      <c r="E11" s="11" t="str">
        <f>IFERROR(__xludf.DUMMYFUNCTION("""COMPUTED_VALUE"""),"queen ear (Nidoqueen)")</f>
        <v>queen ear (Nidoqueen)</v>
      </c>
      <c r="F11" s="11" t="str">
        <f>IFERROR(__xludf.DUMMYFUNCTION("""COMPUTED_VALUE"""),"stone rocks (Golem)")</f>
        <v>stone rocks (Golem)</v>
      </c>
      <c r="G11" s="11" t="str">
        <f>IFERROR(__xludf.DUMMYFUNCTION("""COMPUTED_VALUE"""),"rock plate (Pupitar)")</f>
        <v>rock plate (Pupitar)</v>
      </c>
      <c r="H11" s="11" t="str">
        <f>IFERROR(__xludf.DUMMYFUNCTION("""COMPUTED_VALUE"""),"steelix tail (Steelix)")</f>
        <v>steelix tail (Steelix)</v>
      </c>
      <c r="I11" s="11" t="str">
        <f>IFERROR(__xludf.DUMMYFUNCTION("""COMPUTED_VALUE"""),"bone (Marowak)")</f>
        <v>bone (Marowak)</v>
      </c>
      <c r="J11" s="11" t="str">
        <f>IFERROR(__xludf.DUMMYFUNCTION("""COMPUTED_VALUE"""),"piece of rock (Torterra)")</f>
        <v>piece of rock (Torterra)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62"/>
      <c r="X11" s="62"/>
      <c r="Y11" s="62"/>
      <c r="Z11" s="62"/>
    </row>
    <row r="12">
      <c r="A12" s="11" t="str">
        <f>IFERROR(__xludf.DUMMYFUNCTION("""COMPUTED_VALUE"""),"Ice")</f>
        <v>Ice</v>
      </c>
      <c r="B12" s="11" t="str">
        <f>IFERROR(__xludf.DUMMYFUNCTION("""COMPUTED_VALUE"""),"ice fragment")</f>
        <v>ice fragment</v>
      </c>
      <c r="C12" s="11" t="str">
        <f>IFERROR(__xludf.DUMMYFUNCTION("""COMPUTED_VALUE"""),"ice stone")</f>
        <v>ice stone</v>
      </c>
      <c r="D12" s="11" t="str">
        <f>IFERROR(__xludf.DUMMYFUNCTION("""COMPUTED_VALUE"""),"lapras fin (Lapras)")</f>
        <v>lapras fin (Lapras)</v>
      </c>
      <c r="E12" s="11" t="str">
        <f>IFERROR(__xludf.DUMMYFUNCTION("""COMPUTED_VALUE"""),"psychic wig (Jynx)")</f>
        <v>psychic wig (Jynx)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62"/>
      <c r="X12" s="62"/>
      <c r="Y12" s="62"/>
      <c r="Z12" s="62"/>
    </row>
    <row r="13">
      <c r="A13" s="11" t="str">
        <f>IFERROR(__xludf.DUMMYFUNCTION("""COMPUTED_VALUE"""),"Normal")</f>
        <v>Normal</v>
      </c>
      <c r="B13" s="11" t="str">
        <f>IFERROR(__xludf.DUMMYFUNCTION("""COMPUTED_VALUE"""),"normal fragment")</f>
        <v>normal fragment</v>
      </c>
      <c r="C13" s="11" t="str">
        <f>IFERROR(__xludf.DUMMYFUNCTION("""COMPUTED_VALUE"""),"heart stone")</f>
        <v>heart stone</v>
      </c>
      <c r="D13" s="11" t="str">
        <f>IFERROR(__xludf.DUMMYFUNCTION("""COMPUTED_VALUE"""),"cow tail (Miltank)")</f>
        <v>cow tail (Miltank)</v>
      </c>
      <c r="E13" s="11" t="str">
        <f>IFERROR(__xludf.DUMMYFUNCTION("""COMPUTED_VALUE"""),"bull tail (Tauros)")</f>
        <v>bull tail (Tauros)</v>
      </c>
      <c r="F13" s="11" t="str">
        <f>IFERROR(__xludf.DUMMYFUNCTION("""COMPUTED_VALUE"""),"kangaskhan ear (Kangaskhan)")</f>
        <v>kangaskhan ear (Kangaskhan)</v>
      </c>
      <c r="G13" s="11" t="str">
        <f>IFERROR(__xludf.DUMMYFUNCTION("""COMPUTED_VALUE"""),"farfetch'd wing (Farfetch'd)")</f>
        <v>farfetch'd wing (Farfetch'd)</v>
      </c>
      <c r="H13" s="11" t="str">
        <f>IFERROR(__xludf.DUMMYFUNCTION("""COMPUTED_VALUE"""),"big crest (Pidgeot)")</f>
        <v>big crest (Pidgeot)</v>
      </c>
      <c r="I13" s="11" t="str">
        <f>IFERROR(__xludf.DUMMYFUNCTION("""COMPUTED_VALUE"""),"snorlax paw (Snorlax)")</f>
        <v>snorlax paw (Snorlax)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62"/>
      <c r="X13" s="62"/>
      <c r="Y13" s="62"/>
      <c r="Z13" s="62"/>
    </row>
    <row r="14">
      <c r="A14" s="11" t="str">
        <f>IFERROR(__xludf.DUMMYFUNCTION("""COMPUTED_VALUE"""),"Poison")</f>
        <v>Poison</v>
      </c>
      <c r="B14" s="11" t="str">
        <f>IFERROR(__xludf.DUMMYFUNCTION("""COMPUTED_VALUE"""),"poison fragment")</f>
        <v>poison fragment</v>
      </c>
      <c r="C14" s="11" t="str">
        <f>IFERROR(__xludf.DUMMYFUNCTION("""COMPUTED_VALUE"""),"venom stone")</f>
        <v>venom stone</v>
      </c>
      <c r="D14" s="11" t="str">
        <f>IFERROR(__xludf.DUMMYFUNCTION("""COMPUTED_VALUE"""),"red petal (Venusaur)")</f>
        <v>red petal (Venusaur)</v>
      </c>
      <c r="E14" s="11" t="str">
        <f>IFERROR(__xludf.DUMMYFUNCTION("""COMPUTED_VALUE"""),"ectoplasm (Gengar)")</f>
        <v>ectoplasm (Gengar)</v>
      </c>
      <c r="F14" s="11" t="str">
        <f>IFERROR(__xludf.DUMMYFUNCTION("""COMPUTED_VALUE"""),"stinky hand (Muk)")</f>
        <v>stinky hand (Muk)</v>
      </c>
      <c r="G14" s="11" t="str">
        <f>IFERROR(__xludf.DUMMYFUNCTION("""COMPUTED_VALUE"""),"giant ruby (Tentacruel)")</f>
        <v>giant ruby (Tentacruel)</v>
      </c>
      <c r="H14" s="11" t="str">
        <f>IFERROR(__xludf.DUMMYFUNCTION("""COMPUTED_VALUE"""),"king ear (Nidoking)")</f>
        <v>king ear (Nidoking)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62"/>
      <c r="X14" s="62"/>
      <c r="Y14" s="62"/>
      <c r="Z14" s="62"/>
    </row>
    <row r="15">
      <c r="A15" s="11" t="str">
        <f>IFERROR(__xludf.DUMMYFUNCTION("""COMPUTED_VALUE"""),"Psychic")</f>
        <v>Psychic</v>
      </c>
      <c r="B15" s="11" t="str">
        <f>IFERROR(__xludf.DUMMYFUNCTION("""COMPUTED_VALUE"""),"psychic fragment")</f>
        <v>psychic fragment</v>
      </c>
      <c r="C15" s="11" t="str">
        <f>IFERROR(__xludf.DUMMYFUNCTION("""COMPUTED_VALUE"""),"enigma stone")</f>
        <v>enigma stone</v>
      </c>
      <c r="D15" s="11" t="str">
        <f>IFERROR(__xludf.DUMMYFUNCTION("""COMPUTED_VALUE"""),"psychic wig (Jynx)")</f>
        <v>psychic wig (Jynx)</v>
      </c>
      <c r="E15" s="11" t="str">
        <f>IFERROR(__xludf.DUMMYFUNCTION("""COMPUTED_VALUE"""),"mimic clothes (Mr. Mime)")</f>
        <v>mimic clothes (Mr. Mime)</v>
      </c>
      <c r="F15" s="11" t="str">
        <f>IFERROR(__xludf.DUMMYFUNCTION("""COMPUTED_VALUE"""),"two-eyed black tail (Wobbuffet)")</f>
        <v>two-eyed black tail (Wobbuffet)</v>
      </c>
      <c r="G15" s="11" t="str">
        <f>IFERROR(__xludf.DUMMYFUNCTION("""COMPUTED_VALUE"""),"psychic moustache (Alakazam)")</f>
        <v>psychic moustache (Alakazam)</v>
      </c>
      <c r="H15" s="11" t="str">
        <f>IFERROR(__xludf.DUMMYFUNCTION("""COMPUTED_VALUE"""),"psychic ears (Espeon)")</f>
        <v>psychic ears (Espeon)</v>
      </c>
      <c r="I15" s="11" t="str">
        <f>IFERROR(__xludf.DUMMYFUNCTION("""COMPUTED_VALUE"""),"slowking necklace (Slowking)")</f>
        <v>slowking necklace (Slowking)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62"/>
      <c r="X15" s="62"/>
      <c r="Y15" s="62"/>
      <c r="Z15" s="62"/>
    </row>
    <row r="16">
      <c r="A16" s="11" t="str">
        <f>IFERROR(__xludf.DUMMYFUNCTION("""COMPUTED_VALUE"""),"Rock")</f>
        <v>Rock</v>
      </c>
      <c r="B16" s="11" t="str">
        <f>IFERROR(__xludf.DUMMYFUNCTION("""COMPUTED_VALUE"""),"rock fragment")</f>
        <v>rock fragment</v>
      </c>
      <c r="C16" s="11" t="str">
        <f>IFERROR(__xludf.DUMMYFUNCTION("""COMPUTED_VALUE"""),"rock stone")</f>
        <v>rock stone</v>
      </c>
      <c r="D16" s="11" t="str">
        <f>IFERROR(__xludf.DUMMYFUNCTION("""COMPUTED_VALUE"""),"tyranitar tail (Tyranitar)")</f>
        <v>tyranitar tail (Tyranitar)</v>
      </c>
      <c r="E16" s="11" t="str">
        <f>IFERROR(__xludf.DUMMYFUNCTION("""COMPUTED_VALUE"""),"magma shell  (Magcargo)")</f>
        <v>magma shell  (Magcargo)</v>
      </c>
      <c r="F16" s="11" t="str">
        <f>IFERROR(__xludf.DUMMYFUNCTION("""COMPUTED_VALUE"""),"rock plate (Pupitar)")</f>
        <v>rock plate (Pupitar)</v>
      </c>
      <c r="G16" s="11" t="str">
        <f>IFERROR(__xludf.DUMMYFUNCTION("""COMPUTED_VALUE"""),"stone rocks (Golem)")</f>
        <v>stone rocks (Golem)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62"/>
      <c r="X16" s="62"/>
      <c r="Y16" s="62"/>
      <c r="Z16" s="62"/>
    </row>
    <row r="17">
      <c r="A17" s="11" t="str">
        <f>IFERROR(__xludf.DUMMYFUNCTION("""COMPUTED_VALUE"""),"Steel")</f>
        <v>Steel</v>
      </c>
      <c r="B17" s="11" t="str">
        <f>IFERROR(__xludf.DUMMYFUNCTION("""COMPUTED_VALUE"""),"steel fragment")</f>
        <v>steel fragment</v>
      </c>
      <c r="C17" s="11" t="str">
        <f>IFERROR(__xludf.DUMMYFUNCTION("""COMPUTED_VALUE"""),"metal stone")</f>
        <v>metal stone</v>
      </c>
      <c r="D17" s="11" t="str">
        <f>IFERROR(__xludf.DUMMYFUNCTION("""COMPUTED_VALUE"""),"steel wing (Skarmory)")</f>
        <v>steel wing (Skarmory)</v>
      </c>
      <c r="E17" s="11" t="str">
        <f>IFERROR(__xludf.DUMMYFUNCTION("""COMPUTED_VALUE"""),"steelix tail (Steelix)")</f>
        <v>steelix tail (Steelix)</v>
      </c>
      <c r="F17" s="11" t="str">
        <f>IFERROR(__xludf.DUMMYFUNCTION("""COMPUTED_VALUE"""),"scizor claw (Scizor)")</f>
        <v>scizor claw (Scizor)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62"/>
      <c r="X17" s="62"/>
      <c r="Y17" s="62"/>
      <c r="Z17" s="62"/>
    </row>
    <row r="18">
      <c r="A18" s="11" t="str">
        <f>IFERROR(__xludf.DUMMYFUNCTION("""COMPUTED_VALUE"""),"Water")</f>
        <v>Water</v>
      </c>
      <c r="B18" s="11" t="str">
        <f>IFERROR(__xludf.DUMMYFUNCTION("""COMPUTED_VALUE"""),"water fragment")</f>
        <v>water fragment</v>
      </c>
      <c r="C18" s="11" t="str">
        <f>IFERROR(__xludf.DUMMYFUNCTION("""COMPUTED_VALUE"""),"water stone")</f>
        <v>water stone</v>
      </c>
      <c r="D18" s="11" t="str">
        <f>IFERROR(__xludf.DUMMYFUNCTION("""COMPUTED_VALUE"""),"blue ray tail (Mantine)")</f>
        <v>blue ray tail (Mantine)</v>
      </c>
      <c r="E18" s="11" t="str">
        <f>IFERROR(__xludf.DUMMYFUNCTION("""COMPUTED_VALUE"""),"frog topknot (Politoed)")</f>
        <v>frog topknot (Politoed)</v>
      </c>
      <c r="F18" s="11" t="str">
        <f>IFERROR(__xludf.DUMMYFUNCTION("""COMPUTED_VALUE"""),"big fist gloves (Poliwrath)")</f>
        <v>big fist gloves (Poliwrath)</v>
      </c>
      <c r="G18" s="11" t="str">
        <f>IFERROR(__xludf.DUMMYFUNCTION("""COMPUTED_VALUE"""),"red hair (Feraligatr)")</f>
        <v>red hair (Feraligatr)</v>
      </c>
      <c r="H18" s="11" t="str">
        <f>IFERROR(__xludf.DUMMYFUNCTION("""COMPUTED_VALUE"""),"giant ruby (Tentacruel)")</f>
        <v>giant ruby (Tentacruel)</v>
      </c>
      <c r="I18" s="11" t="str">
        <f>IFERROR(__xludf.DUMMYFUNCTION("""COMPUTED_VALUE"""),"lapras fin (Lapras)")</f>
        <v>lapras fin (Lapras)</v>
      </c>
      <c r="J18" s="11" t="str">
        <f>IFERROR(__xludf.DUMMYFUNCTION("""COMPUTED_VALUE"""),"sea dragon fin (Kingdra)")</f>
        <v>sea dragon fin (Kingdra)</v>
      </c>
      <c r="K18" s="11" t="str">
        <f>IFERROR(__xludf.DUMMYFUNCTION("""COMPUTED_VALUE"""),"aquatic tail (Vaporeon)")</f>
        <v>aquatic tail (Vaporeon)</v>
      </c>
      <c r="L18" s="11" t="str">
        <f>IFERROR(__xludf.DUMMYFUNCTION("""COMPUTED_VALUE"""),"gyarados tail (Gyarados)")</f>
        <v>gyarados tail (Gyarados)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62"/>
      <c r="X18" s="62"/>
      <c r="Y18" s="62"/>
      <c r="Z18" s="62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</sheetData>
  <drawing r:id="rId1"/>
</worksheet>
</file>