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c_T\Programas Python\"/>
    </mc:Choice>
  </mc:AlternateContent>
  <xr:revisionPtr revIDLastSave="0" documentId="8_{C21E4B13-1146-42FA-B9F1-9AAF031900B1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Capa" sheetId="7" r:id="rId1"/>
    <sheet name="BP" sheetId="1" r:id="rId2"/>
    <sheet name="DRE" sheetId="2" r:id="rId3"/>
    <sheet name="DFC" sheetId="3" r:id="rId4"/>
    <sheet name="FCx" sheetId="4" r:id="rId5"/>
    <sheet name="Fluxo de Caixa dos Investidores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4" i="1"/>
  <c r="I61" i="1"/>
  <c r="J61" i="1" s="1"/>
  <c r="K61" i="1" s="1"/>
  <c r="L61" i="1" s="1"/>
  <c r="M61" i="1" s="1"/>
  <c r="I60" i="1"/>
  <c r="J60" i="1" s="1"/>
  <c r="K60" i="1" s="1"/>
  <c r="L60" i="1" s="1"/>
  <c r="M60" i="1" s="1"/>
  <c r="I59" i="1"/>
  <c r="J59" i="1" s="1"/>
  <c r="K59" i="1" s="1"/>
  <c r="L59" i="1" s="1"/>
  <c r="M59" i="1" s="1"/>
  <c r="C42" i="4"/>
  <c r="I78" i="1"/>
  <c r="J78" i="1" s="1"/>
  <c r="K78" i="1" s="1"/>
  <c r="L78" i="1" s="1"/>
  <c r="M78" i="1" s="1"/>
  <c r="J53" i="1"/>
  <c r="L53" i="1" s="1"/>
  <c r="I53" i="1"/>
  <c r="K53" i="1" s="1"/>
  <c r="M53" i="1" s="1"/>
  <c r="I62" i="1"/>
  <c r="J62" i="1" s="1"/>
  <c r="K62" i="1" s="1"/>
  <c r="L62" i="1" s="1"/>
  <c r="M62" i="1" s="1"/>
  <c r="C163" i="1"/>
  <c r="D163" i="1"/>
  <c r="E163" i="1"/>
  <c r="F163" i="1"/>
  <c r="G163" i="1"/>
  <c r="H163" i="1"/>
  <c r="B163" i="1"/>
  <c r="C162" i="1"/>
  <c r="D162" i="1"/>
  <c r="E162" i="1"/>
  <c r="F162" i="1"/>
  <c r="G162" i="1"/>
  <c r="H162" i="1"/>
  <c r="B162" i="1"/>
  <c r="I17" i="1"/>
  <c r="J17" i="1" s="1"/>
  <c r="K17" i="1" s="1"/>
  <c r="L17" i="1" s="1"/>
  <c r="M17" i="1" s="1"/>
  <c r="E88" i="1"/>
  <c r="E89" i="1" s="1"/>
  <c r="F88" i="1"/>
  <c r="F89" i="1" s="1"/>
  <c r="G88" i="1"/>
  <c r="G89" i="1" s="1"/>
  <c r="H88" i="1"/>
  <c r="H89" i="1" s="1"/>
  <c r="I88" i="1"/>
  <c r="J88" i="1"/>
  <c r="K88" i="1"/>
  <c r="L88" i="1"/>
  <c r="M88" i="1"/>
  <c r="D88" i="1"/>
  <c r="D89" i="1" s="1"/>
  <c r="D164" i="1" l="1"/>
  <c r="G164" i="1"/>
  <c r="H164" i="1"/>
  <c r="F164" i="1"/>
  <c r="E164" i="1"/>
  <c r="C164" i="1"/>
  <c r="I89" i="1"/>
  <c r="J89" i="1" s="1"/>
  <c r="I87" i="1" l="1"/>
  <c r="I11" i="1" s="1"/>
  <c r="J87" i="1"/>
  <c r="J11" i="1" s="1"/>
  <c r="K89" i="1"/>
  <c r="K87" i="1" s="1"/>
  <c r="K11" i="1" s="1"/>
  <c r="L89" i="1" l="1"/>
  <c r="L87" i="1" s="1"/>
  <c r="L11" i="1" s="1"/>
  <c r="M89" i="1" l="1"/>
  <c r="M87" i="1" s="1"/>
  <c r="M11" i="1" s="1"/>
  <c r="M17" i="4" l="1"/>
  <c r="M16" i="4"/>
  <c r="H42" i="4"/>
  <c r="I71" i="1"/>
  <c r="J71" i="1" s="1"/>
  <c r="K71" i="1" s="1"/>
  <c r="L71" i="1" s="1"/>
  <c r="M71" i="1" s="1"/>
  <c r="I70" i="1"/>
  <c r="J70" i="1" s="1"/>
  <c r="K70" i="1" s="1"/>
  <c r="I72" i="1"/>
  <c r="J72" i="1" s="1"/>
  <c r="K72" i="1" s="1"/>
  <c r="I69" i="1"/>
  <c r="H45" i="4"/>
  <c r="L9" i="2"/>
  <c r="H11" i="2"/>
  <c r="H61" i="2" s="1"/>
  <c r="H62" i="2" s="1"/>
  <c r="H73" i="2"/>
  <c r="D39" i="3"/>
  <c r="E39" i="3"/>
  <c r="D12" i="2"/>
  <c r="C38" i="3"/>
  <c r="C39" i="3" s="1"/>
  <c r="B40" i="3" s="1"/>
  <c r="J2" i="3" s="1"/>
  <c r="G6" i="3" s="1"/>
  <c r="I12" i="4" s="1"/>
  <c r="I17" i="4" s="1"/>
  <c r="D38" i="3"/>
  <c r="E38" i="3"/>
  <c r="F38" i="3"/>
  <c r="F39" i="3" s="1"/>
  <c r="B38" i="3"/>
  <c r="I22" i="4"/>
  <c r="I20" i="4"/>
  <c r="I15" i="4"/>
  <c r="E11" i="4"/>
  <c r="F11" i="4"/>
  <c r="G11" i="4"/>
  <c r="H11" i="4"/>
  <c r="C62" i="2"/>
  <c r="I45" i="4" l="1"/>
  <c r="I36" i="4" s="1"/>
  <c r="I42" i="4"/>
  <c r="I24" i="4"/>
  <c r="L70" i="1"/>
  <c r="K42" i="4"/>
  <c r="J42" i="4"/>
  <c r="L72" i="1"/>
  <c r="K45" i="4"/>
  <c r="J45" i="4"/>
  <c r="H6" i="3"/>
  <c r="H12" i="2"/>
  <c r="J36" i="4" l="1"/>
  <c r="K36" i="4"/>
  <c r="M70" i="1"/>
  <c r="M42" i="4" s="1"/>
  <c r="L42" i="4"/>
  <c r="M72" i="1"/>
  <c r="M45" i="4" s="1"/>
  <c r="L45" i="4"/>
  <c r="L36" i="4" s="1"/>
  <c r="I6" i="3"/>
  <c r="J12" i="4"/>
  <c r="J17" i="4" s="1"/>
  <c r="M36" i="4" l="1"/>
  <c r="J6" i="3"/>
  <c r="K12" i="4"/>
  <c r="K17" i="4" s="1"/>
  <c r="K6" i="3" l="1"/>
  <c r="M12" i="4" s="1"/>
  <c r="L12" i="4"/>
  <c r="L17" i="4" s="1"/>
  <c r="I77" i="1" l="1"/>
  <c r="J77" i="1" s="1"/>
  <c r="K77" i="1" s="1"/>
  <c r="L77" i="1" s="1"/>
  <c r="M77" i="1" s="1"/>
  <c r="H153" i="1"/>
  <c r="F153" i="1"/>
  <c r="G153" i="1"/>
  <c r="F148" i="1"/>
  <c r="G148" i="1"/>
  <c r="H148" i="1"/>
  <c r="E149" i="1"/>
  <c r="F149" i="1"/>
  <c r="G149" i="1"/>
  <c r="H149" i="1"/>
  <c r="D149" i="1"/>
  <c r="E155" i="1"/>
  <c r="E35" i="4" s="1"/>
  <c r="F155" i="1"/>
  <c r="F35" i="4" s="1"/>
  <c r="G155" i="1"/>
  <c r="G35" i="4" s="1"/>
  <c r="H155" i="1"/>
  <c r="D155" i="1"/>
  <c r="D35" i="4" s="1"/>
  <c r="E154" i="1"/>
  <c r="F154" i="1"/>
  <c r="G154" i="1"/>
  <c r="H154" i="1"/>
  <c r="D154" i="1"/>
  <c r="E142" i="1"/>
  <c r="F142" i="1"/>
  <c r="G142" i="1"/>
  <c r="H142" i="1"/>
  <c r="D142" i="1"/>
  <c r="I63" i="1"/>
  <c r="J63" i="1" s="1"/>
  <c r="K63" i="1" s="1"/>
  <c r="L63" i="1" s="1"/>
  <c r="M63" i="1" s="1"/>
  <c r="H35" i="4" l="1"/>
  <c r="H156" i="1"/>
  <c r="F150" i="1"/>
  <c r="G150" i="1"/>
  <c r="H150" i="1"/>
  <c r="D156" i="1"/>
  <c r="G156" i="1"/>
  <c r="F156" i="1"/>
  <c r="E156" i="1"/>
  <c r="I142" i="1"/>
  <c r="I141" i="1" s="1"/>
  <c r="I156" i="1" l="1"/>
  <c r="I150" i="1"/>
  <c r="J150" i="1" s="1"/>
  <c r="K150" i="1" s="1"/>
  <c r="J142" i="1"/>
  <c r="K142" i="1" s="1"/>
  <c r="L142" i="1" s="1"/>
  <c r="I64" i="1"/>
  <c r="L150" i="1" l="1"/>
  <c r="M150" i="1" s="1"/>
  <c r="J156" i="1"/>
  <c r="J141" i="1"/>
  <c r="K141" i="1" s="1"/>
  <c r="M142" i="1"/>
  <c r="K156" i="1" l="1"/>
  <c r="J64" i="1"/>
  <c r="L141" i="1"/>
  <c r="K64" i="1"/>
  <c r="L156" i="1" l="1"/>
  <c r="M141" i="1"/>
  <c r="M64" i="1" s="1"/>
  <c r="L64" i="1"/>
  <c r="M156" i="1" l="1"/>
  <c r="I58" i="1" l="1"/>
  <c r="I56" i="4" s="1"/>
  <c r="D91" i="2"/>
  <c r="E91" i="2"/>
  <c r="F91" i="2"/>
  <c r="G91" i="2"/>
  <c r="C91" i="2"/>
  <c r="D88" i="2"/>
  <c r="E88" i="2"/>
  <c r="F88" i="2"/>
  <c r="G88" i="2"/>
  <c r="C88" i="2"/>
  <c r="D82" i="2"/>
  <c r="E82" i="2"/>
  <c r="F82" i="2"/>
  <c r="G82" i="2"/>
  <c r="C82" i="2"/>
  <c r="D79" i="2"/>
  <c r="E79" i="2"/>
  <c r="F79" i="2"/>
  <c r="G79" i="2"/>
  <c r="C79" i="2"/>
  <c r="D54" i="2"/>
  <c r="E54" i="2"/>
  <c r="F54" i="2"/>
  <c r="G54" i="2"/>
  <c r="C54" i="2"/>
  <c r="G73" i="2"/>
  <c r="F73" i="2"/>
  <c r="E73" i="2"/>
  <c r="D73" i="2"/>
  <c r="C73" i="2"/>
  <c r="G70" i="2"/>
  <c r="F70" i="2"/>
  <c r="E70" i="2"/>
  <c r="D70" i="2"/>
  <c r="C70" i="2"/>
  <c r="G67" i="2"/>
  <c r="F67" i="2"/>
  <c r="E67" i="2"/>
  <c r="D67" i="2"/>
  <c r="C67" i="2"/>
  <c r="G64" i="2"/>
  <c r="F64" i="2"/>
  <c r="E64" i="2"/>
  <c r="D64" i="2"/>
  <c r="C64" i="2"/>
  <c r="D61" i="2"/>
  <c r="E61" i="2"/>
  <c r="F61" i="2"/>
  <c r="G61" i="2"/>
  <c r="C61" i="2"/>
  <c r="D27" i="2"/>
  <c r="J58" i="1" l="1"/>
  <c r="J56" i="4" s="1"/>
  <c r="I57" i="1"/>
  <c r="E116" i="1"/>
  <c r="E123" i="1" s="1"/>
  <c r="F116" i="1"/>
  <c r="F123" i="1" s="1"/>
  <c r="G116" i="1"/>
  <c r="G129" i="1" s="1"/>
  <c r="H116" i="1"/>
  <c r="H120" i="1" s="1"/>
  <c r="D116" i="1"/>
  <c r="D120" i="1" s="1"/>
  <c r="D117" i="1"/>
  <c r="E117" i="1"/>
  <c r="F117" i="1"/>
  <c r="G117" i="1"/>
  <c r="H117" i="1"/>
  <c r="C117" i="1"/>
  <c r="E104" i="1"/>
  <c r="E105" i="1" s="1"/>
  <c r="E106" i="1" s="1"/>
  <c r="F104" i="1"/>
  <c r="F105" i="1" s="1"/>
  <c r="F106" i="1" s="1"/>
  <c r="G104" i="1"/>
  <c r="G105" i="1" s="1"/>
  <c r="G106" i="1" s="1"/>
  <c r="H104" i="1"/>
  <c r="H105" i="1" s="1"/>
  <c r="H106" i="1" s="1"/>
  <c r="D104" i="1"/>
  <c r="D105" i="1" s="1"/>
  <c r="D106" i="1" s="1"/>
  <c r="I108" i="1"/>
  <c r="J108" i="1" s="1"/>
  <c r="K108" i="1" s="1"/>
  <c r="L108" i="1" s="1"/>
  <c r="M108" i="1" s="1"/>
  <c r="E99" i="1"/>
  <c r="E100" i="1" s="1"/>
  <c r="E101" i="1" s="1"/>
  <c r="F99" i="1"/>
  <c r="F100" i="1" s="1"/>
  <c r="F101" i="1" s="1"/>
  <c r="G99" i="1"/>
  <c r="G100" i="1" s="1"/>
  <c r="G101" i="1" s="1"/>
  <c r="H99" i="1"/>
  <c r="H100" i="1" s="1"/>
  <c r="H101" i="1" s="1"/>
  <c r="D99" i="1"/>
  <c r="D100" i="1" s="1"/>
  <c r="D101" i="1" s="1"/>
  <c r="E94" i="1"/>
  <c r="E95" i="1" s="1"/>
  <c r="E96" i="1" s="1"/>
  <c r="F94" i="1"/>
  <c r="F95" i="1" s="1"/>
  <c r="F96" i="1" s="1"/>
  <c r="G94" i="1"/>
  <c r="G95" i="1" s="1"/>
  <c r="G96" i="1" s="1"/>
  <c r="H94" i="1"/>
  <c r="H95" i="1" s="1"/>
  <c r="H96" i="1" s="1"/>
  <c r="D94" i="1"/>
  <c r="D95" i="1" s="1"/>
  <c r="D96" i="1" s="1"/>
  <c r="I49" i="1"/>
  <c r="I45" i="1"/>
  <c r="J45" i="1" s="1"/>
  <c r="K45" i="1" s="1"/>
  <c r="L45" i="1" s="1"/>
  <c r="M45" i="1" s="1"/>
  <c r="I68" i="1"/>
  <c r="I41" i="4" s="1"/>
  <c r="I43" i="4" s="1"/>
  <c r="J69" i="1"/>
  <c r="K69" i="1" s="1"/>
  <c r="L69" i="1" s="1"/>
  <c r="M69" i="1" s="1"/>
  <c r="D50" i="4"/>
  <c r="C94" i="2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E50" i="4"/>
  <c r="F50" i="4"/>
  <c r="G50" i="4"/>
  <c r="H50" i="4"/>
  <c r="C45" i="4"/>
  <c r="C41" i="4"/>
  <c r="D41" i="4"/>
  <c r="E41" i="4"/>
  <c r="F41" i="4"/>
  <c r="G41" i="4"/>
  <c r="H41" i="4"/>
  <c r="D42" i="4"/>
  <c r="E42" i="4"/>
  <c r="F42" i="4"/>
  <c r="G42" i="4"/>
  <c r="D45" i="4"/>
  <c r="E45" i="4"/>
  <c r="F45" i="4"/>
  <c r="G45" i="4"/>
  <c r="H36" i="4" s="1"/>
  <c r="D22" i="4"/>
  <c r="H12" i="4"/>
  <c r="H17" i="4" s="1"/>
  <c r="J49" i="1" l="1"/>
  <c r="I55" i="4"/>
  <c r="I57" i="4" s="1"/>
  <c r="J68" i="1"/>
  <c r="J41" i="4" s="1"/>
  <c r="J43" i="4" s="1"/>
  <c r="J37" i="4" s="1"/>
  <c r="K58" i="1"/>
  <c r="K56" i="4" s="1"/>
  <c r="J57" i="1"/>
  <c r="D115" i="1"/>
  <c r="G115" i="1"/>
  <c r="F115" i="1"/>
  <c r="H115" i="1"/>
  <c r="E115" i="1"/>
  <c r="E129" i="1"/>
  <c r="G120" i="1"/>
  <c r="F120" i="1"/>
  <c r="H126" i="1"/>
  <c r="F126" i="1"/>
  <c r="F129" i="1"/>
  <c r="D123" i="1"/>
  <c r="D126" i="1"/>
  <c r="E120" i="1"/>
  <c r="G126" i="1"/>
  <c r="H123" i="1"/>
  <c r="E126" i="1"/>
  <c r="I106" i="1"/>
  <c r="J106" i="1" s="1"/>
  <c r="G123" i="1"/>
  <c r="D129" i="1"/>
  <c r="H129" i="1"/>
  <c r="I96" i="1"/>
  <c r="J96" i="1" s="1"/>
  <c r="I101" i="1"/>
  <c r="D57" i="4"/>
  <c r="F36" i="4"/>
  <c r="C57" i="4"/>
  <c r="E57" i="4"/>
  <c r="F57" i="4"/>
  <c r="D36" i="4"/>
  <c r="H57" i="4"/>
  <c r="G57" i="4"/>
  <c r="E36" i="4"/>
  <c r="G43" i="4"/>
  <c r="G36" i="4"/>
  <c r="H43" i="4"/>
  <c r="I37" i="4" s="1"/>
  <c r="C43" i="4"/>
  <c r="E43" i="4"/>
  <c r="F43" i="4"/>
  <c r="D43" i="4"/>
  <c r="I58" i="4" l="1"/>
  <c r="I51" i="4" s="1"/>
  <c r="K49" i="1"/>
  <c r="J55" i="4"/>
  <c r="J57" i="4" s="1"/>
  <c r="J58" i="4" s="1"/>
  <c r="J51" i="4" s="1"/>
  <c r="L58" i="1"/>
  <c r="L56" i="4" s="1"/>
  <c r="K57" i="1"/>
  <c r="K68" i="1"/>
  <c r="K41" i="4" s="1"/>
  <c r="K43" i="4" s="1"/>
  <c r="K37" i="4" s="1"/>
  <c r="I126" i="1"/>
  <c r="J126" i="1" s="1"/>
  <c r="I120" i="1"/>
  <c r="J120" i="1" s="1"/>
  <c r="I129" i="1"/>
  <c r="J129" i="1" s="1"/>
  <c r="I123" i="1"/>
  <c r="J123" i="1" s="1"/>
  <c r="K123" i="1" s="1"/>
  <c r="K106" i="1"/>
  <c r="K96" i="1"/>
  <c r="J101" i="1"/>
  <c r="D58" i="4"/>
  <c r="D51" i="4" s="1"/>
  <c r="D52" i="4" s="1"/>
  <c r="E58" i="4"/>
  <c r="E51" i="4" s="1"/>
  <c r="E52" i="4" s="1"/>
  <c r="F37" i="4"/>
  <c r="F38" i="4" s="1"/>
  <c r="F58" i="4"/>
  <c r="F51" i="4" s="1"/>
  <c r="F52" i="4" s="1"/>
  <c r="G58" i="4"/>
  <c r="G51" i="4" s="1"/>
  <c r="G52" i="4" s="1"/>
  <c r="H58" i="4"/>
  <c r="H51" i="4" s="1"/>
  <c r="H52" i="4" s="1"/>
  <c r="D37" i="4"/>
  <c r="D38" i="4" s="1"/>
  <c r="H37" i="4"/>
  <c r="H38" i="4" s="1"/>
  <c r="E37" i="4"/>
  <c r="E38" i="4" s="1"/>
  <c r="G37" i="4"/>
  <c r="G38" i="4" s="1"/>
  <c r="L49" i="1" l="1"/>
  <c r="K55" i="4"/>
  <c r="K57" i="4" s="1"/>
  <c r="K58" i="4" s="1"/>
  <c r="K51" i="4" s="1"/>
  <c r="L68" i="1"/>
  <c r="L41" i="4" s="1"/>
  <c r="L43" i="4" s="1"/>
  <c r="L37" i="4" s="1"/>
  <c r="M58" i="1"/>
  <c r="L57" i="1"/>
  <c r="L123" i="1"/>
  <c r="K129" i="1"/>
  <c r="L129" i="1" s="1"/>
  <c r="K120" i="1"/>
  <c r="L120" i="1" s="1"/>
  <c r="K126" i="1"/>
  <c r="L126" i="1" s="1"/>
  <c r="L106" i="1"/>
  <c r="L96" i="1"/>
  <c r="K101" i="1"/>
  <c r="L101" i="1" s="1"/>
  <c r="M57" i="1" l="1"/>
  <c r="M56" i="4"/>
  <c r="M49" i="1"/>
  <c r="M55" i="4" s="1"/>
  <c r="M57" i="4" s="1"/>
  <c r="L55" i="4"/>
  <c r="L57" i="4" s="1"/>
  <c r="L58" i="4" s="1"/>
  <c r="L51" i="4" s="1"/>
  <c r="M68" i="1"/>
  <c r="M41" i="4" s="1"/>
  <c r="M43" i="4" s="1"/>
  <c r="M37" i="4" s="1"/>
  <c r="M126" i="1"/>
  <c r="M120" i="1"/>
  <c r="M123" i="1"/>
  <c r="M129" i="1"/>
  <c r="M106" i="1"/>
  <c r="M96" i="1"/>
  <c r="M101" i="1"/>
  <c r="M58" i="4" l="1"/>
  <c r="M51" i="4" s="1"/>
  <c r="D11" i="4"/>
  <c r="D10" i="4"/>
  <c r="D94" i="2" l="1"/>
  <c r="D95" i="2" s="1"/>
  <c r="E94" i="2"/>
  <c r="E95" i="2" s="1"/>
  <c r="F94" i="2"/>
  <c r="F95" i="2" s="1"/>
  <c r="G94" i="2"/>
  <c r="G95" i="2" s="1"/>
  <c r="C95" i="2"/>
  <c r="D92" i="2"/>
  <c r="E92" i="2"/>
  <c r="F92" i="2"/>
  <c r="G92" i="2"/>
  <c r="C92" i="2"/>
  <c r="D89" i="2"/>
  <c r="E89" i="2"/>
  <c r="F89" i="2"/>
  <c r="G89" i="2"/>
  <c r="C89" i="2"/>
  <c r="D83" i="2"/>
  <c r="E83" i="2"/>
  <c r="F83" i="2"/>
  <c r="G83" i="2"/>
  <c r="C83" i="2"/>
  <c r="C80" i="2"/>
  <c r="D80" i="2"/>
  <c r="E80" i="2"/>
  <c r="F80" i="2"/>
  <c r="G80" i="2"/>
  <c r="G74" i="2"/>
  <c r="F74" i="2"/>
  <c r="E74" i="2"/>
  <c r="D74" i="2"/>
  <c r="C74" i="2"/>
  <c r="G71" i="2"/>
  <c r="F71" i="2"/>
  <c r="E71" i="2"/>
  <c r="D71" i="2"/>
  <c r="C71" i="2"/>
  <c r="G68" i="2"/>
  <c r="F68" i="2"/>
  <c r="E68" i="2"/>
  <c r="D68" i="2"/>
  <c r="C68" i="2"/>
  <c r="G65" i="2"/>
  <c r="F65" i="2"/>
  <c r="E65" i="2"/>
  <c r="D65" i="2"/>
  <c r="C65" i="2"/>
  <c r="G62" i="2"/>
  <c r="F62" i="2"/>
  <c r="E62" i="2"/>
  <c r="D62" i="2"/>
  <c r="D45" i="2" l="1"/>
  <c r="E45" i="2"/>
  <c r="F45" i="2"/>
  <c r="G45" i="2"/>
  <c r="C45" i="2"/>
  <c r="D36" i="2"/>
  <c r="E36" i="2"/>
  <c r="F36" i="2"/>
  <c r="G36" i="2"/>
  <c r="C36" i="2"/>
  <c r="D18" i="2"/>
  <c r="E18" i="2"/>
  <c r="F18" i="2"/>
  <c r="G18" i="2"/>
  <c r="C18" i="2"/>
  <c r="G51" i="2"/>
  <c r="F51" i="2"/>
  <c r="E51" i="2"/>
  <c r="D51" i="2"/>
  <c r="G48" i="2"/>
  <c r="F48" i="2"/>
  <c r="E48" i="2"/>
  <c r="D48" i="2"/>
  <c r="G42" i="2"/>
  <c r="F42" i="2"/>
  <c r="E42" i="2"/>
  <c r="D42" i="2"/>
  <c r="G39" i="2"/>
  <c r="F39" i="2"/>
  <c r="E39" i="2"/>
  <c r="D39" i="2"/>
  <c r="G33" i="2"/>
  <c r="F33" i="2"/>
  <c r="E33" i="2"/>
  <c r="D33" i="2"/>
  <c r="G30" i="2"/>
  <c r="F30" i="2"/>
  <c r="E30" i="2"/>
  <c r="D30" i="2"/>
  <c r="G27" i="2"/>
  <c r="F27" i="2"/>
  <c r="E27" i="2"/>
  <c r="G24" i="2"/>
  <c r="F24" i="2"/>
  <c r="E24" i="2"/>
  <c r="D24" i="2"/>
  <c r="G21" i="2"/>
  <c r="F21" i="2"/>
  <c r="E21" i="2"/>
  <c r="D21" i="2"/>
  <c r="G15" i="2"/>
  <c r="E15" i="2"/>
  <c r="F15" i="2"/>
  <c r="D15" i="2"/>
  <c r="E12" i="2"/>
  <c r="F12" i="2"/>
  <c r="G12" i="2"/>
  <c r="H16" i="4"/>
  <c r="E15" i="4"/>
  <c r="D16" i="4" s="1"/>
  <c r="F15" i="4"/>
  <c r="E16" i="4" s="1"/>
  <c r="G15" i="4"/>
  <c r="F16" i="4" s="1"/>
  <c r="H15" i="4"/>
  <c r="G16" i="4" s="1"/>
  <c r="D15" i="4"/>
  <c r="E23" i="4"/>
  <c r="F23" i="4"/>
  <c r="G23" i="4"/>
  <c r="H23" i="4"/>
  <c r="D23" i="4"/>
  <c r="E22" i="4"/>
  <c r="F22" i="4"/>
  <c r="G22" i="4"/>
  <c r="H22" i="4"/>
  <c r="E21" i="4"/>
  <c r="F21" i="4"/>
  <c r="G21" i="4"/>
  <c r="H21" i="4"/>
  <c r="D21" i="4"/>
  <c r="E20" i="4"/>
  <c r="F20" i="4"/>
  <c r="G20" i="4"/>
  <c r="H20" i="4"/>
  <c r="D20" i="4"/>
  <c r="E12" i="4"/>
  <c r="E17" i="4" s="1"/>
  <c r="F12" i="4"/>
  <c r="F17" i="4" s="1"/>
  <c r="G12" i="4"/>
  <c r="G17" i="4" s="1"/>
  <c r="D12" i="4"/>
  <c r="D17" i="4" l="1"/>
  <c r="D18" i="4" s="1"/>
  <c r="D13" i="4"/>
  <c r="G18" i="4"/>
  <c r="F25" i="4"/>
  <c r="D25" i="4"/>
  <c r="E24" i="4"/>
  <c r="H24" i="4"/>
  <c r="E25" i="4"/>
  <c r="F18" i="4"/>
  <c r="F24" i="4"/>
  <c r="H25" i="4"/>
  <c r="G25" i="4"/>
  <c r="D24" i="4"/>
  <c r="G24" i="4"/>
  <c r="E18" i="4"/>
  <c r="H18" i="4"/>
  <c r="M133" i="1" l="1"/>
  <c r="I11" i="2"/>
  <c r="I104" i="1"/>
  <c r="I103" i="1" s="1"/>
  <c r="I15" i="1" s="1"/>
  <c r="I94" i="1"/>
  <c r="I93" i="1" s="1"/>
  <c r="I13" i="1" s="1"/>
  <c r="I116" i="1"/>
  <c r="H15" i="2"/>
  <c r="H14" i="2" s="1"/>
  <c r="H17" i="2" s="1"/>
  <c r="D26" i="4"/>
  <c r="D28" i="4" s="1"/>
  <c r="F20" i="5"/>
  <c r="F26" i="4"/>
  <c r="H10" i="4"/>
  <c r="H13" i="4" s="1"/>
  <c r="G10" i="4"/>
  <c r="G13" i="4" s="1"/>
  <c r="F10" i="4"/>
  <c r="F13" i="4" s="1"/>
  <c r="E10" i="4"/>
  <c r="E13" i="4" s="1"/>
  <c r="I20" i="5"/>
  <c r="E26" i="4"/>
  <c r="G26" i="4"/>
  <c r="G20" i="5"/>
  <c r="H26" i="4"/>
  <c r="H20" i="5"/>
  <c r="I134" i="1" l="1"/>
  <c r="I136" i="1"/>
  <c r="I122" i="1"/>
  <c r="I27" i="1" s="1"/>
  <c r="I128" i="1"/>
  <c r="I33" i="1" s="1"/>
  <c r="I119" i="1"/>
  <c r="I20" i="1" s="1"/>
  <c r="I125" i="1"/>
  <c r="I29" i="1" s="1"/>
  <c r="J15" i="4" s="1"/>
  <c r="I16" i="4" s="1"/>
  <c r="I18" i="4" s="1"/>
  <c r="I12" i="2"/>
  <c r="I15" i="2" s="1"/>
  <c r="I14" i="2" s="1"/>
  <c r="J99" i="1" s="1"/>
  <c r="J98" i="1" s="1"/>
  <c r="J14" i="1" s="1"/>
  <c r="J11" i="2"/>
  <c r="H18" i="2"/>
  <c r="I99" i="1"/>
  <c r="I98" i="1" s="1"/>
  <c r="I14" i="1" s="1"/>
  <c r="I10" i="1" s="1"/>
  <c r="J94" i="1"/>
  <c r="J93" i="1" s="1"/>
  <c r="J13" i="1" s="1"/>
  <c r="J104" i="1"/>
  <c r="J103" i="1" s="1"/>
  <c r="J15" i="1" s="1"/>
  <c r="J116" i="1"/>
  <c r="E28" i="4"/>
  <c r="F28" i="4"/>
  <c r="H82" i="2"/>
  <c r="H32" i="2"/>
  <c r="H79" i="2"/>
  <c r="H20" i="2"/>
  <c r="H64" i="2"/>
  <c r="H23" i="2" s="1"/>
  <c r="H67" i="2"/>
  <c r="H70" i="2"/>
  <c r="H28" i="4"/>
  <c r="G28" i="4"/>
  <c r="E20" i="5"/>
  <c r="I39" i="1" l="1"/>
  <c r="J20" i="4"/>
  <c r="I21" i="4"/>
  <c r="J136" i="1"/>
  <c r="I42" i="1"/>
  <c r="J134" i="1"/>
  <c r="J10" i="1"/>
  <c r="K94" i="1"/>
  <c r="K93" i="1" s="1"/>
  <c r="K13" i="1" s="1"/>
  <c r="I17" i="2"/>
  <c r="I19" i="1"/>
  <c r="I36" i="1" s="1"/>
  <c r="J122" i="1"/>
  <c r="J27" i="1" s="1"/>
  <c r="J125" i="1"/>
  <c r="J29" i="1" s="1"/>
  <c r="K15" i="4" s="1"/>
  <c r="J16" i="4" s="1"/>
  <c r="J18" i="4" s="1"/>
  <c r="J119" i="1"/>
  <c r="J20" i="1" s="1"/>
  <c r="J128" i="1"/>
  <c r="J33" i="1" s="1"/>
  <c r="K11" i="2"/>
  <c r="L11" i="2" s="1"/>
  <c r="H33" i="2"/>
  <c r="K104" i="1"/>
  <c r="K103" i="1" s="1"/>
  <c r="K15" i="1" s="1"/>
  <c r="J12" i="2"/>
  <c r="J15" i="2" s="1"/>
  <c r="J14" i="2" s="1"/>
  <c r="K99" i="1" s="1"/>
  <c r="K98" i="1" s="1"/>
  <c r="K14" i="1" s="1"/>
  <c r="K116" i="1"/>
  <c r="H74" i="2"/>
  <c r="I73" i="2" s="1"/>
  <c r="I61" i="2"/>
  <c r="H65" i="2"/>
  <c r="I64" i="2" s="1"/>
  <c r="H24" i="2"/>
  <c r="H80" i="2"/>
  <c r="I79" i="2" s="1"/>
  <c r="H38" i="2"/>
  <c r="H39" i="2" s="1"/>
  <c r="H83" i="2"/>
  <c r="I82" i="2" s="1"/>
  <c r="H41" i="2"/>
  <c r="H71" i="2"/>
  <c r="I70" i="2" s="1"/>
  <c r="H29" i="2"/>
  <c r="H68" i="2"/>
  <c r="I67" i="2" s="1"/>
  <c r="H26" i="2"/>
  <c r="I117" i="1" l="1"/>
  <c r="I162" i="1"/>
  <c r="H35" i="2"/>
  <c r="H30" i="2"/>
  <c r="J21" i="4"/>
  <c r="K20" i="4"/>
  <c r="I23" i="4"/>
  <c r="I25" i="4" s="1"/>
  <c r="I26" i="4" s="1"/>
  <c r="J22" i="4"/>
  <c r="J24" i="4" s="1"/>
  <c r="H42" i="2"/>
  <c r="I50" i="4"/>
  <c r="I52" i="4" s="1"/>
  <c r="J39" i="1"/>
  <c r="K134" i="1"/>
  <c r="J42" i="1"/>
  <c r="J38" i="1" s="1"/>
  <c r="K136" i="1"/>
  <c r="K10" i="1"/>
  <c r="H27" i="2"/>
  <c r="I10" i="4"/>
  <c r="K12" i="2"/>
  <c r="K15" i="2" s="1"/>
  <c r="K14" i="2" s="1"/>
  <c r="K17" i="2" s="1"/>
  <c r="J17" i="2"/>
  <c r="J19" i="1"/>
  <c r="J36" i="1" s="1"/>
  <c r="K122" i="1"/>
  <c r="K27" i="1" s="1"/>
  <c r="K125" i="1"/>
  <c r="K29" i="1" s="1"/>
  <c r="L15" i="4" s="1"/>
  <c r="K16" i="4" s="1"/>
  <c r="K18" i="4" s="1"/>
  <c r="K119" i="1"/>
  <c r="K20" i="1" s="1"/>
  <c r="K128" i="1"/>
  <c r="K33" i="1" s="1"/>
  <c r="L94" i="1"/>
  <c r="L93" i="1" s="1"/>
  <c r="L13" i="1" s="1"/>
  <c r="L116" i="1"/>
  <c r="L104" i="1"/>
  <c r="L103" i="1" s="1"/>
  <c r="L15" i="1" s="1"/>
  <c r="L12" i="2"/>
  <c r="L15" i="2" s="1"/>
  <c r="M94" i="1"/>
  <c r="M93" i="1" s="1"/>
  <c r="M13" i="1" s="1"/>
  <c r="M104" i="1"/>
  <c r="M103" i="1" s="1"/>
  <c r="M15" i="1" s="1"/>
  <c r="M116" i="1"/>
  <c r="I41" i="2"/>
  <c r="I83" i="2"/>
  <c r="J82" i="2" s="1"/>
  <c r="I68" i="2"/>
  <c r="J67" i="2" s="1"/>
  <c r="I26" i="2"/>
  <c r="I27" i="2" s="1"/>
  <c r="I65" i="2"/>
  <c r="J64" i="2" s="1"/>
  <c r="I23" i="2"/>
  <c r="I24" i="2" s="1"/>
  <c r="I18" i="2"/>
  <c r="I80" i="2"/>
  <c r="J79" i="2" s="1"/>
  <c r="I38" i="2"/>
  <c r="I39" i="2" s="1"/>
  <c r="I71" i="2"/>
  <c r="J70" i="2" s="1"/>
  <c r="I29" i="2"/>
  <c r="I30" i="2" s="1"/>
  <c r="I74" i="2"/>
  <c r="J73" i="2" s="1"/>
  <c r="I32" i="2"/>
  <c r="I33" i="2" s="1"/>
  <c r="H21" i="2"/>
  <c r="I62" i="2"/>
  <c r="J61" i="2" s="1"/>
  <c r="I20" i="2"/>
  <c r="J117" i="1" l="1"/>
  <c r="J162" i="1"/>
  <c r="I42" i="2"/>
  <c r="J50" i="4"/>
  <c r="J52" i="4" s="1"/>
  <c r="L20" i="4"/>
  <c r="K21" i="4"/>
  <c r="K22" i="4"/>
  <c r="K24" i="4" s="1"/>
  <c r="J23" i="4"/>
  <c r="J25" i="4" s="1"/>
  <c r="J26" i="4" s="1"/>
  <c r="I35" i="2"/>
  <c r="J10" i="4" s="1"/>
  <c r="K42" i="1"/>
  <c r="L136" i="1"/>
  <c r="K39" i="1"/>
  <c r="L134" i="1"/>
  <c r="H44" i="2"/>
  <c r="H45" i="2" s="1"/>
  <c r="H36" i="2"/>
  <c r="K19" i="1"/>
  <c r="K36" i="1" s="1"/>
  <c r="M125" i="1"/>
  <c r="M29" i="1" s="1"/>
  <c r="M128" i="1"/>
  <c r="M33" i="1" s="1"/>
  <c r="M122" i="1"/>
  <c r="M27" i="1" s="1"/>
  <c r="M119" i="1"/>
  <c r="M20" i="1" s="1"/>
  <c r="L128" i="1"/>
  <c r="L33" i="1" s="1"/>
  <c r="L125" i="1"/>
  <c r="L29" i="1" s="1"/>
  <c r="M15" i="4" s="1"/>
  <c r="M18" i="4" s="1"/>
  <c r="L122" i="1"/>
  <c r="L27" i="1" s="1"/>
  <c r="L119" i="1"/>
  <c r="L20" i="1" s="1"/>
  <c r="L14" i="2"/>
  <c r="L17" i="2" s="1"/>
  <c r="L99" i="1"/>
  <c r="L98" i="1" s="1"/>
  <c r="L14" i="1" s="1"/>
  <c r="L10" i="1" s="1"/>
  <c r="K18" i="2"/>
  <c r="I21" i="2"/>
  <c r="J71" i="2"/>
  <c r="K70" i="2" s="1"/>
  <c r="J29" i="2"/>
  <c r="J30" i="2" s="1"/>
  <c r="J62" i="2"/>
  <c r="K61" i="2" s="1"/>
  <c r="K20" i="2" s="1"/>
  <c r="J20" i="2"/>
  <c r="J83" i="2"/>
  <c r="K82" i="2" s="1"/>
  <c r="J41" i="2"/>
  <c r="J18" i="2"/>
  <c r="J68" i="2"/>
  <c r="K67" i="2" s="1"/>
  <c r="J26" i="2"/>
  <c r="J27" i="2" s="1"/>
  <c r="J80" i="2"/>
  <c r="K79" i="2" s="1"/>
  <c r="J38" i="2"/>
  <c r="J39" i="2" s="1"/>
  <c r="J65" i="2"/>
  <c r="K64" i="2" s="1"/>
  <c r="J23" i="2"/>
  <c r="J24" i="2" s="1"/>
  <c r="J74" i="2"/>
  <c r="K73" i="2" s="1"/>
  <c r="J32" i="2"/>
  <c r="J33" i="2" s="1"/>
  <c r="K117" i="1" l="1"/>
  <c r="K162" i="1"/>
  <c r="I36" i="2"/>
  <c r="I44" i="2"/>
  <c r="J42" i="2"/>
  <c r="K50" i="4"/>
  <c r="K52" i="4" s="1"/>
  <c r="L22" i="4"/>
  <c r="L24" i="4" s="1"/>
  <c r="K23" i="4"/>
  <c r="K25" i="4" s="1"/>
  <c r="K26" i="4" s="1"/>
  <c r="M20" i="4"/>
  <c r="L21" i="4"/>
  <c r="L16" i="4"/>
  <c r="L18" i="4" s="1"/>
  <c r="H88" i="2"/>
  <c r="H47" i="2" s="1"/>
  <c r="H91" i="2"/>
  <c r="H92" i="2" s="1"/>
  <c r="L39" i="1"/>
  <c r="M134" i="1"/>
  <c r="M136" i="1"/>
  <c r="M42" i="1" s="1"/>
  <c r="L42" i="1"/>
  <c r="K38" i="1"/>
  <c r="J35" i="2"/>
  <c r="M19" i="1"/>
  <c r="L19" i="1"/>
  <c r="L36" i="1" s="1"/>
  <c r="L18" i="2"/>
  <c r="M99" i="1"/>
  <c r="M98" i="1" s="1"/>
  <c r="M14" i="1" s="1"/>
  <c r="M10" i="1" s="1"/>
  <c r="M21" i="4" s="1"/>
  <c r="J21" i="2"/>
  <c r="K21" i="2"/>
  <c r="K62" i="2"/>
  <c r="L61" i="2" s="1"/>
  <c r="L62" i="2" s="1"/>
  <c r="K65" i="2"/>
  <c r="L64" i="2" s="1"/>
  <c r="K23" i="2"/>
  <c r="I45" i="2"/>
  <c r="K80" i="2"/>
  <c r="L79" i="2" s="1"/>
  <c r="K38" i="2"/>
  <c r="K39" i="2" s="1"/>
  <c r="K83" i="2"/>
  <c r="L82" i="2" s="1"/>
  <c r="K41" i="2"/>
  <c r="K74" i="2"/>
  <c r="L73" i="2" s="1"/>
  <c r="K32" i="2"/>
  <c r="K33" i="2" s="1"/>
  <c r="K68" i="2"/>
  <c r="L67" i="2" s="1"/>
  <c r="K26" i="2"/>
  <c r="K27" i="2" s="1"/>
  <c r="K71" i="2"/>
  <c r="L70" i="2" s="1"/>
  <c r="K29" i="2"/>
  <c r="K30" i="2" s="1"/>
  <c r="L117" i="1" l="1"/>
  <c r="L162" i="1"/>
  <c r="M39" i="1"/>
  <c r="M38" i="1" s="1"/>
  <c r="I91" i="2"/>
  <c r="I50" i="2" s="1"/>
  <c r="I11" i="4"/>
  <c r="I13" i="4" s="1"/>
  <c r="I28" i="4" s="1"/>
  <c r="H50" i="2"/>
  <c r="H51" i="2" s="1"/>
  <c r="H89" i="2"/>
  <c r="I88" i="2" s="1"/>
  <c r="I89" i="2" s="1"/>
  <c r="M22" i="4"/>
  <c r="M24" i="4" s="1"/>
  <c r="L23" i="4"/>
  <c r="L25" i="4" s="1"/>
  <c r="L26" i="4" s="1"/>
  <c r="J44" i="2"/>
  <c r="J45" i="2" s="1"/>
  <c r="K10" i="4"/>
  <c r="H94" i="2"/>
  <c r="H95" i="2" s="1"/>
  <c r="K42" i="2"/>
  <c r="L50" i="4"/>
  <c r="L52" i="4" s="1"/>
  <c r="L38" i="1"/>
  <c r="M36" i="1"/>
  <c r="J36" i="2"/>
  <c r="K35" i="2"/>
  <c r="K44" i="2"/>
  <c r="H53" i="2"/>
  <c r="L20" i="2"/>
  <c r="L74" i="2"/>
  <c r="L32" i="2"/>
  <c r="L33" i="2" s="1"/>
  <c r="L71" i="2"/>
  <c r="L29" i="2"/>
  <c r="L30" i="2" s="1"/>
  <c r="H48" i="2"/>
  <c r="L80" i="2"/>
  <c r="L38" i="2"/>
  <c r="L39" i="2" s="1"/>
  <c r="L68" i="2"/>
  <c r="L26" i="2"/>
  <c r="L27" i="2" s="1"/>
  <c r="K24" i="2"/>
  <c r="L83" i="2"/>
  <c r="L41" i="2"/>
  <c r="L65" i="2"/>
  <c r="L23" i="2"/>
  <c r="L24" i="2" s="1"/>
  <c r="M117" i="1" l="1"/>
  <c r="M162" i="1"/>
  <c r="M23" i="4"/>
  <c r="M25" i="4" s="1"/>
  <c r="M26" i="4" s="1"/>
  <c r="M28" i="4" s="1"/>
  <c r="I51" i="2"/>
  <c r="I92" i="2"/>
  <c r="I47" i="2"/>
  <c r="J11" i="4" s="1"/>
  <c r="J13" i="4" s="1"/>
  <c r="J28" i="4" s="1"/>
  <c r="I94" i="2"/>
  <c r="I95" i="2" s="1"/>
  <c r="K36" i="2"/>
  <c r="L10" i="4"/>
  <c r="L42" i="2"/>
  <c r="M50" i="4"/>
  <c r="M52" i="4" s="1"/>
  <c r="J88" i="2"/>
  <c r="J47" i="2" s="1"/>
  <c r="K11" i="4" s="1"/>
  <c r="K13" i="4" s="1"/>
  <c r="K28" i="4" s="1"/>
  <c r="J91" i="2"/>
  <c r="J50" i="2" s="1"/>
  <c r="J51" i="2" s="1"/>
  <c r="H54" i="2"/>
  <c r="I154" i="1"/>
  <c r="I149" i="1"/>
  <c r="I148" i="1" s="1"/>
  <c r="L35" i="2"/>
  <c r="I53" i="2"/>
  <c r="L21" i="2"/>
  <c r="K45" i="2"/>
  <c r="I155" i="1" l="1"/>
  <c r="I35" i="4" s="1"/>
  <c r="I38" i="4" s="1"/>
  <c r="I153" i="1"/>
  <c r="I152" i="1" s="1"/>
  <c r="I48" i="2"/>
  <c r="J94" i="2"/>
  <c r="J95" i="2" s="1"/>
  <c r="L36" i="2"/>
  <c r="M10" i="4"/>
  <c r="J92" i="2"/>
  <c r="K91" i="2" s="1"/>
  <c r="K92" i="2" s="1"/>
  <c r="J89" i="2"/>
  <c r="K88" i="2" s="1"/>
  <c r="K47" i="2" s="1"/>
  <c r="L44" i="2"/>
  <c r="L45" i="2" s="1"/>
  <c r="I54" i="2"/>
  <c r="J154" i="1"/>
  <c r="J149" i="1"/>
  <c r="J148" i="1" s="1"/>
  <c r="J74" i="1" s="1"/>
  <c r="I147" i="1"/>
  <c r="I74" i="1"/>
  <c r="J53" i="2"/>
  <c r="J48" i="2"/>
  <c r="I75" i="1" l="1"/>
  <c r="J153" i="1"/>
  <c r="J152" i="1" s="1"/>
  <c r="J75" i="1" s="1"/>
  <c r="J73" i="1" s="1"/>
  <c r="J66" i="1" s="1"/>
  <c r="J80" i="1" s="1"/>
  <c r="J163" i="1" s="1"/>
  <c r="J164" i="1" s="1"/>
  <c r="J155" i="1"/>
  <c r="J35" i="4" s="1"/>
  <c r="J38" i="4" s="1"/>
  <c r="I73" i="1"/>
  <c r="I66" i="1" s="1"/>
  <c r="J147" i="1"/>
  <c r="K50" i="2"/>
  <c r="K51" i="2" s="1"/>
  <c r="L91" i="2"/>
  <c r="L50" i="2" s="1"/>
  <c r="L51" i="2" s="1"/>
  <c r="K53" i="2"/>
  <c r="L154" i="1" s="1"/>
  <c r="L11" i="4"/>
  <c r="L13" i="4" s="1"/>
  <c r="L28" i="4" s="1"/>
  <c r="K94" i="2"/>
  <c r="K95" i="2" s="1"/>
  <c r="K89" i="2"/>
  <c r="L88" i="2" s="1"/>
  <c r="L89" i="2" s="1"/>
  <c r="J54" i="2"/>
  <c r="K149" i="1"/>
  <c r="K148" i="1" s="1"/>
  <c r="K74" i="1" s="1"/>
  <c r="K154" i="1"/>
  <c r="L149" i="1"/>
  <c r="L148" i="1" s="1"/>
  <c r="L74" i="1" s="1"/>
  <c r="K54" i="2"/>
  <c r="K48" i="2"/>
  <c r="L92" i="2"/>
  <c r="L153" i="1" l="1"/>
  <c r="L155" i="1"/>
  <c r="L35" i="4" s="1"/>
  <c r="L38" i="4" s="1"/>
  <c r="K153" i="1"/>
  <c r="K152" i="1" s="1"/>
  <c r="K155" i="1"/>
  <c r="K35" i="4" s="1"/>
  <c r="K38" i="4" s="1"/>
  <c r="L94" i="2"/>
  <c r="L95" i="2" s="1"/>
  <c r="L47" i="2"/>
  <c r="M11" i="4" s="1"/>
  <c r="M13" i="4" s="1"/>
  <c r="K75" i="1"/>
  <c r="K73" i="1" s="1"/>
  <c r="K66" i="1" s="1"/>
  <c r="K80" i="1" s="1"/>
  <c r="K163" i="1" s="1"/>
  <c r="K164" i="1" s="1"/>
  <c r="K147" i="1"/>
  <c r="L147" i="1" s="1"/>
  <c r="L53" i="2"/>
  <c r="L54" i="2" s="1"/>
  <c r="L48" i="2"/>
  <c r="L152" i="1" l="1"/>
  <c r="M149" i="1"/>
  <c r="M148" i="1" s="1"/>
  <c r="M74" i="1" s="1"/>
  <c r="M154" i="1"/>
  <c r="M155" i="1" s="1"/>
  <c r="L75" i="1" l="1"/>
  <c r="L73" i="1" s="1"/>
  <c r="L66" i="1" s="1"/>
  <c r="L80" i="1" s="1"/>
  <c r="L163" i="1" s="1"/>
  <c r="L164" i="1" s="1"/>
  <c r="M153" i="1"/>
  <c r="M152" i="1" s="1"/>
  <c r="M75" i="1" s="1"/>
  <c r="M73" i="1" s="1"/>
  <c r="M66" i="1" s="1"/>
  <c r="M80" i="1" s="1"/>
  <c r="M163" i="1" s="1"/>
  <c r="M164" i="1" s="1"/>
  <c r="M35" i="4"/>
  <c r="M38" i="4" s="1"/>
  <c r="M147" i="1"/>
  <c r="I38" i="1"/>
  <c r="I80" i="1" s="1"/>
</calcChain>
</file>

<file path=xl/sharedStrings.xml><?xml version="1.0" encoding="utf-8"?>
<sst xmlns="http://schemas.openxmlformats.org/spreadsheetml/2006/main" count="329" uniqueCount="223">
  <si>
    <t>INSPER - INSTITUTO DE ENSINO E PESQUISA</t>
  </si>
  <si>
    <t>ADMINISTRAÇÃO/ECONOMIA</t>
  </si>
  <si>
    <t>ATIVIDADE PRÁTICA SUPERVISIONADA 1 - FINANÇAS 1</t>
  </si>
  <si>
    <t xml:space="preserve">EMPRESA ESCOLHIDA: </t>
  </si>
  <si>
    <t>CAMIL</t>
  </si>
  <si>
    <t>INTEGRANTES DO GRUPO:</t>
  </si>
  <si>
    <t>Beatriz Emi Ueda (beatrizeu@al.insper.edu.br)</t>
  </si>
  <si>
    <t>Beatriz Fernandes da Silva (beatrizfs1@al.insper.edu.br)</t>
  </si>
  <si>
    <t>Gabriela Abib (gabrielaa6@al.insper.edu.br)</t>
  </si>
  <si>
    <t>Hicham Munir Tayfour (hichamt@al.insper.edu.br)</t>
  </si>
  <si>
    <t>Júlia de Aquino Rocha (juliaar1@al.insper.edu.br)</t>
  </si>
  <si>
    <t>Raynnara Silva de Freitas (raynnarasf@al.insper.edu.br)</t>
  </si>
  <si>
    <t>TURMA 3A - PROF LEONARDO PAGANO</t>
  </si>
  <si>
    <t>PROFª CINTHIA BARBOSA</t>
  </si>
  <si>
    <t xml:space="preserve">Finanças I </t>
  </si>
  <si>
    <t xml:space="preserve">CAMIL </t>
  </si>
  <si>
    <t>2023E</t>
  </si>
  <si>
    <t>2024E</t>
  </si>
  <si>
    <t>2025E</t>
  </si>
  <si>
    <t>2026E</t>
  </si>
  <si>
    <t>2027E</t>
  </si>
  <si>
    <t>Balanço Patrimonial</t>
  </si>
  <si>
    <t>Ativo Circulante</t>
  </si>
  <si>
    <t xml:space="preserve"> Caixa e equivalentes de caixa</t>
  </si>
  <si>
    <t xml:space="preserve"> Aplicacoes financeiras</t>
  </si>
  <si>
    <t xml:space="preserve"> Contas a receber CP</t>
  </si>
  <si>
    <t xml:space="preserve"> Estoques</t>
  </si>
  <si>
    <t xml:space="preserve"> Impostos a Recuperar</t>
  </si>
  <si>
    <t xml:space="preserve"> Despesas pagas antecip</t>
  </si>
  <si>
    <t xml:space="preserve"> Outros ativos circulante</t>
  </si>
  <si>
    <t xml:space="preserve"> Ativo não circulante</t>
  </si>
  <si>
    <t xml:space="preserve"> Realizavel LP</t>
  </si>
  <si>
    <t xml:space="preserve"> Aplicacao financeira avaliada a valor justo LP</t>
  </si>
  <si>
    <t xml:space="preserve"> Aplicacao financeira avaliada a custo amortizado LP</t>
  </si>
  <si>
    <t xml:space="preserve"> Estoques LP</t>
  </si>
  <si>
    <t xml:space="preserve"> Impostos Diferidos</t>
  </si>
  <si>
    <t xml:space="preserve"> A receb de partes relaci</t>
  </si>
  <si>
    <t xml:space="preserve"> Outros ativos nao circul</t>
  </si>
  <si>
    <t xml:space="preserve"> Investimentos</t>
  </si>
  <si>
    <t xml:space="preserve"> Inv em subsid e outros</t>
  </si>
  <si>
    <t>-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</si>
  <si>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</si>
  <si>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</si>
  <si>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</si>
  <si>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</si>
  <si>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</si>
  <si>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</si>
  <si>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Ativo total</t>
  </si>
  <si>
    <t xml:space="preserve"> Passivo Circulante</t>
  </si>
  <si>
    <t xml:space="preserve"> Obrigações sociais e trabalhistas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</si>
  <si>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</si>
  <si>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</si>
  <si>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</si>
  <si>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</si>
  <si>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</si>
  <si>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</si>
  <si>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</si>
  <si>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</si>
  <si>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</si>
  <si>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</si>
  <si>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</si>
  <si>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</si>
  <si>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</si>
  <si>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</si>
  <si>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</si>
  <si>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Outros CP</t>
  </si>
  <si>
    <t xml:space="preserve"> Passivo Não Circulante</t>
  </si>
  <si>
    <t xml:space="preserve"> Total empres e financ LP</t>
  </si>
  <si>
    <t xml:space="preserve"> Financiamento LP</t>
  </si>
  <si>
    <t xml:space="preserve"> Debentures LP</t>
  </si>
  <si>
    <t xml:space="preserve"> Financ por arrend fin LP</t>
  </si>
  <si>
    <t xml:space="preserve"> Outras obrigacoes</t>
  </si>
  <si>
    <t xml:space="preserve"> Impostos Diferidos LP</t>
  </si>
  <si>
    <t xml:space="preserve"> Provisoes LP</t>
  </si>
  <si>
    <t xml:space="preserve"> Patrimônio Líquido Consolidado</t>
  </si>
  <si>
    <t>( + ) Part acionistas minorit</t>
  </si>
  <si>
    <t xml:space="preserve"> Capital social</t>
  </si>
  <si>
    <t xml:space="preserve"> Reservas de Capital</t>
  </si>
  <si>
    <t xml:space="preserve"> Res esp de agio na incor</t>
  </si>
  <si>
    <t xml:space="preserve"> Opcoes outorgadas</t>
  </si>
  <si>
    <t xml:space="preserve"> Acoes em tesour (re cap)</t>
  </si>
  <si>
    <t xml:space="preserve"> Reserva de Lucros</t>
  </si>
  <si>
    <t xml:space="preserve"> Reserva Legal</t>
  </si>
  <si>
    <t xml:space="preserve"> Resv de Retencao de Luc</t>
  </si>
  <si>
    <t xml:space="preserve"> Resv Esp p/ Div nao Dist</t>
  </si>
  <si>
    <t xml:space="preserve"> Reserva de incen fiscais</t>
  </si>
  <si>
    <t xml:space="preserve"> Outr result abrangentes</t>
  </si>
  <si>
    <t xml:space="preserve"> Passivo e patrimônio líquido</t>
  </si>
  <si>
    <t>Premissas do BP</t>
  </si>
  <si>
    <t>Caixa e equivalentes de caixa</t>
  </si>
  <si>
    <t>Receita Líquida (Vendas)</t>
  </si>
  <si>
    <t>% Receita Líquida</t>
  </si>
  <si>
    <t>Giro de contas a receber</t>
  </si>
  <si>
    <t>Prazo Médio de Recebimento (em dias)</t>
  </si>
  <si>
    <t>CPV</t>
  </si>
  <si>
    <t>Giro do Estoque</t>
  </si>
  <si>
    <t>Prazo Médio de Estocagem (em dias)</t>
  </si>
  <si>
    <t>Giro</t>
  </si>
  <si>
    <t>Quantidade de dias</t>
  </si>
  <si>
    <t>Ativo Não Circulante</t>
  </si>
  <si>
    <t>Nível de intensidade de capital</t>
  </si>
  <si>
    <t>Ativo Total</t>
  </si>
  <si>
    <t>Passivo Circulante</t>
  </si>
  <si>
    <t>tx. cresc =</t>
  </si>
  <si>
    <t xml:space="preserve"> Obrig sociais e trabalhistas</t>
  </si>
  <si>
    <t>Passivo Não Circulante</t>
  </si>
  <si>
    <t>Patrimônio Líquido</t>
  </si>
  <si>
    <t>Variação da Reserva Legal</t>
  </si>
  <si>
    <t>Lucro Líquido</t>
  </si>
  <si>
    <t>% Reserva Legal</t>
  </si>
  <si>
    <t>Var. Reserva de Retenção de Lucros</t>
  </si>
  <si>
    <t>Dividendos Pagos</t>
  </si>
  <si>
    <t>Payout</t>
  </si>
  <si>
    <t>Fechamento do Balanço</t>
  </si>
  <si>
    <t>NAF</t>
  </si>
  <si>
    <t>(Valores em BRL '000)</t>
  </si>
  <si>
    <t>DRE</t>
  </si>
  <si>
    <t>Receita operacional líquida</t>
  </si>
  <si>
    <t>% var.</t>
  </si>
  <si>
    <t>Custo Produtos Vendidos</t>
  </si>
  <si>
    <t>Lucro Bruto</t>
  </si>
  <si>
    <t>Margem Bruta - %</t>
  </si>
  <si>
    <t>Despesas com Vendas</t>
  </si>
  <si>
    <t>Despesas Gerais e Administrativas</t>
  </si>
  <si>
    <t>Outras Receitas Operacionais</t>
  </si>
  <si>
    <t>Outras Despesas Operacionais</t>
  </si>
  <si>
    <t>Resultado da Equivalência Patrimonial</t>
  </si>
  <si>
    <t>EBIT</t>
  </si>
  <si>
    <t>Margem EBIT - %</t>
  </si>
  <si>
    <t>Receitas Financeiras</t>
  </si>
  <si>
    <t>Despesas Financeiras</t>
  </si>
  <si>
    <t>Resultado antes de imposto de renda e contribuição social</t>
  </si>
  <si>
    <t>Margem EBT - %</t>
  </si>
  <si>
    <t xml:space="preserve"> Provisão imposto de renda</t>
  </si>
  <si>
    <t xml:space="preserve"> IR Diferido</t>
  </si>
  <si>
    <t>Margem Líquida - %</t>
  </si>
  <si>
    <t>Premissas da DRE</t>
  </si>
  <si>
    <t>Resultado Operacional</t>
  </si>
  <si>
    <t>Representação em relação à receita líquida - %</t>
  </si>
  <si>
    <t>Despesas administrativ</t>
  </si>
  <si>
    <t>Outras rec operacionais</t>
  </si>
  <si>
    <t>Outras Despesas Operac</t>
  </si>
  <si>
    <t>Equivalenc patrimonial</t>
  </si>
  <si>
    <t>Resultado Financeiro</t>
  </si>
  <si>
    <t>Imposto de Renda e Constribuição Social</t>
  </si>
  <si>
    <t>Representação em relação ao EBT - %</t>
  </si>
  <si>
    <t xml:space="preserve"> Imposto Total Pago</t>
  </si>
  <si>
    <t>Consolidado</t>
  </si>
  <si>
    <t>Demonstração de Fluxo de Caixa</t>
  </si>
  <si>
    <t xml:space="preserve">tx Crescimento Depreciação </t>
  </si>
  <si>
    <t>+Caixa gerado por operac</t>
  </si>
  <si>
    <t xml:space="preserve"> Caixa gerado nas operac</t>
  </si>
  <si>
    <t xml:space="preserve"> Lucro liquido</t>
  </si>
  <si>
    <t xml:space="preserve"> Deprec, amortiz e exaust</t>
  </si>
  <si>
    <t xml:space="preserve"> Perd(gan) var monet&amp;camb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</si>
  <si>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</si>
  <si>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</si>
  <si>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</si>
  <si>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</si>
  <si>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</si>
  <si>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</si>
  <si>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</si>
  <si>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</si>
  <si>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</si>
  <si>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</si>
  <si>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</si>
  <si>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</si>
  <si>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</si>
  <si>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</si>
  <si>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</si>
  <si>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</si>
  <si>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</si>
  <si>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</si>
  <si>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</si>
  <si>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</si>
  <si>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</si>
  <si>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</si>
  <si>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</si>
  <si>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</si>
  <si>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</si>
  <si>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</si>
  <si>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</si>
  <si>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 xml:space="preserve">DEPRECIAÇÃO </t>
  </si>
  <si>
    <t>var (%)</t>
  </si>
  <si>
    <t>média (%)</t>
  </si>
  <si>
    <t>FLUXO DE CAIXA DOS ATIVOS</t>
  </si>
  <si>
    <t>Imposto de Renda e CSLL corrente</t>
  </si>
  <si>
    <t>Depreciação</t>
  </si>
  <si>
    <t>FLUXO DE CAIXA OPERACIONAL (FC(O))</t>
  </si>
  <si>
    <t>Ativo Imobilizado Ano Anterior</t>
  </si>
  <si>
    <t>Ativo Imobilizado Ano Atual</t>
  </si>
  <si>
    <t>INVESTIMENTOS EM ATIVOS NÃO CIRCULANTES (CAPEX)</t>
  </si>
  <si>
    <t>Ativo Circulante Ano Anterior</t>
  </si>
  <si>
    <t>Ativo Circulante Ano Atual</t>
  </si>
  <si>
    <t>Passivo Circulante Operacional Ano Anterior</t>
  </si>
  <si>
    <t>Passivo Circulante Operacional Ano Atual</t>
  </si>
  <si>
    <t xml:space="preserve">CCL Ano Anterior </t>
  </si>
  <si>
    <t>CCL Ano Atual</t>
  </si>
  <si>
    <t>VARIAÇÃO DO CAPITAL DE GIRO LÍQUIDO</t>
  </si>
  <si>
    <t>FLUXO DE CAIXA DOS ATIVOS = FC(O) - CAPEX - VARIAÇÃO DO CGL</t>
  </si>
  <si>
    <t>FLUXO DE CAIXA DOS INVESTIDORES</t>
  </si>
  <si>
    <t>Fluxo de Caixa dos Acionistas</t>
  </si>
  <si>
    <t>(+) Dividendos</t>
  </si>
  <si>
    <t>(+) Recompra de Ações / Ações em tesouraria</t>
  </si>
  <si>
    <t>(-) Emissão de Ações</t>
  </si>
  <si>
    <t>FC(S) =</t>
  </si>
  <si>
    <t>Cálculo da emissão de ações</t>
  </si>
  <si>
    <t>(-) Capital Social</t>
  </si>
  <si>
    <t xml:space="preserve">(-) Reservas de Capital </t>
  </si>
  <si>
    <t>SOMA =</t>
  </si>
  <si>
    <t>(+) Ações em Tesouraria</t>
  </si>
  <si>
    <t>Fluxo de Caixa dos Credores</t>
  </si>
  <si>
    <t>(+) Juros</t>
  </si>
  <si>
    <t>(-) Delta Dívida</t>
  </si>
  <si>
    <t>FC(B) =</t>
  </si>
  <si>
    <t>CÁLCULO DO DELTA DÍVIDA</t>
  </si>
  <si>
    <t>Soma (CP +LP)</t>
  </si>
  <si>
    <t>DELTA DÍVIDA</t>
  </si>
  <si>
    <t>FLUXO DE CAIXA DOS ACIONISTAS</t>
  </si>
  <si>
    <t>FLUXO DE CAIXA DOS INVESTIDORES =</t>
  </si>
  <si>
    <t>FC(S) + FC(B)</t>
  </si>
  <si>
    <t>Calculo FCA</t>
  </si>
  <si>
    <t>Soma FCS+FCB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</si>
</sst>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5" formatCode="_-* #,##0_-;\-* #,##0_-;_-* &quot;-&quot;??_-;_-@_-"/>
    <numFmt numFmtId="166" formatCode="#,##0.0;\(#,##0.0\)"/>
    <numFmt numFmtId="167" formatCode="0.0%;\(0.0%\);&quot;-&quot;"/>
    <numFmt numFmtId="168" formatCode="#,##0;\(#,##0\);&quot;-&quot;"/>
    <numFmt numFmtId="169" formatCode="#,##0.0_);\(#,##0.0\);&quot;-&quot;_)"/>
    <numFmt numFmtId="170" formatCode="#,##0_);\(#,##0\);&quot;-&quot;_)"/>
    <numFmt numFmtId="171" formatCode="0.0%"/>
    <numFmt numFmtId="172" formatCode="#,##0.0"/>
    <numFmt numFmtId="173" formatCode="0.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15AA"/>
      <name val="Calibri"/>
      <family val="2"/>
      <scheme val="minor"/>
    </font>
    <font>
      <sz val="11"/>
      <color rgb="FF3297D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8"/>
      <color theme="1"/>
      <name val="Arial"/>
      <family val="2"/>
    </font>
    <font>
      <sz val="10"/>
      <name val="Arial"/>
      <family val="2"/>
    </font>
    <font>
      <i/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i/>
      <sz val="9"/>
      <color rgb="FF0000FF"/>
      <name val="Calibri"/>
      <family val="2"/>
      <scheme val="minor"/>
    </font>
    <font>
      <b/>
      <sz val="9"/>
      <name val="Calibri"/>
      <family val="2"/>
      <scheme val="minor"/>
    </font>
    <font>
      <i/>
      <sz val="8"/>
      <color rgb="FF00B050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i/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rgb="FF000000"/>
      <name val="Calibri"/>
      <family val="2"/>
    </font>
    <font>
      <sz val="9"/>
      <color rgb="FF0015AA"/>
      <name val="Calibri"/>
      <family val="2"/>
      <scheme val="minor"/>
    </font>
    <font>
      <sz val="8"/>
      <color rgb="FF33CC33"/>
      <name val="Calibri"/>
      <family val="2"/>
      <scheme val="minor"/>
    </font>
    <font>
      <sz val="9"/>
      <color rgb="FF0033CC"/>
      <name val="Calibri"/>
      <family val="2"/>
      <scheme val="minor"/>
    </font>
    <font>
      <b/>
      <sz val="8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gray06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166" fontId="19" fillId="0" borderId="0" applyBorder="0"/>
  </cellStyleXfs>
  <cellXfs count="199">
    <xf numFmtId="0" fontId="0" fillId="0" borderId="0" xfId="0"/>
    <xf numFmtId="0" fontId="3" fillId="3" borderId="1" xfId="0" applyFont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right" vertical="center" shrinkToFit="1"/>
    </xf>
    <xf numFmtId="3" fontId="3" fillId="3" borderId="1" xfId="0" applyNumberFormat="1" applyFont="1" applyFill="1" applyBorder="1" applyAlignment="1">
      <alignment horizontal="right" vertical="center" shrinkToFit="1"/>
    </xf>
    <xf numFmtId="0" fontId="4" fillId="3" borderId="1" xfId="0" applyFont="1" applyFill="1" applyBorder="1" applyAlignment="1">
      <alignment horizontal="left" vertical="center" indent="1" shrinkToFit="1"/>
    </xf>
    <xf numFmtId="0" fontId="5" fillId="3" borderId="1" xfId="0" applyFont="1" applyFill="1" applyBorder="1" applyAlignment="1">
      <alignment horizontal="left" vertical="center" indent="2" shrinkToFit="1"/>
    </xf>
    <xf numFmtId="0" fontId="3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right" vertical="center" shrinkToFit="1"/>
    </xf>
    <xf numFmtId="0" fontId="6" fillId="3" borderId="1" xfId="0" applyFont="1" applyFill="1" applyBorder="1" applyAlignment="1">
      <alignment horizontal="left" vertical="center" shrinkToFit="1"/>
    </xf>
    <xf numFmtId="0" fontId="2" fillId="0" borderId="0" xfId="0" applyFont="1"/>
    <xf numFmtId="0" fontId="0" fillId="4" borderId="0" xfId="0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3" fontId="0" fillId="0" borderId="0" xfId="0" applyNumberFormat="1"/>
    <xf numFmtId="0" fontId="12" fillId="0" borderId="0" xfId="1" applyFont="1"/>
    <xf numFmtId="0" fontId="12" fillId="4" borderId="0" xfId="1" applyFont="1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7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0" fillId="6" borderId="0" xfId="0" applyFill="1"/>
    <xf numFmtId="0" fontId="14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7" fillId="6" borderId="0" xfId="0" applyFont="1" applyFill="1"/>
    <xf numFmtId="0" fontId="2" fillId="6" borderId="0" xfId="0" applyFont="1" applyFill="1" applyAlignment="1">
      <alignment vertical="center"/>
    </xf>
    <xf numFmtId="10" fontId="0" fillId="0" borderId="0" xfId="0" applyNumberFormat="1"/>
    <xf numFmtId="165" fontId="0" fillId="0" borderId="0" xfId="0" applyNumberFormat="1"/>
    <xf numFmtId="0" fontId="7" fillId="0" borderId="0" xfId="0" applyFont="1"/>
    <xf numFmtId="0" fontId="22" fillId="0" borderId="0" xfId="0" applyFont="1"/>
    <xf numFmtId="0" fontId="22" fillId="8" borderId="0" xfId="0" applyFont="1" applyFill="1"/>
    <xf numFmtId="0" fontId="22" fillId="0" borderId="0" xfId="0" applyFont="1" applyAlignment="1">
      <alignment horizontal="right"/>
    </xf>
    <xf numFmtId="0" fontId="23" fillId="7" borderId="2" xfId="4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right"/>
    </xf>
    <xf numFmtId="0" fontId="25" fillId="7" borderId="2" xfId="0" applyFont="1" applyFill="1" applyBorder="1" applyAlignment="1">
      <alignment horizontal="right"/>
    </xf>
    <xf numFmtId="0" fontId="24" fillId="0" borderId="0" xfId="0" applyFont="1"/>
    <xf numFmtId="0" fontId="22" fillId="8" borderId="0" xfId="0" applyFont="1" applyFill="1" applyAlignment="1">
      <alignment horizontal="left" vertical="center" shrinkToFit="1"/>
    </xf>
    <xf numFmtId="0" fontId="26" fillId="8" borderId="0" xfId="0" applyFont="1" applyFill="1" applyAlignment="1">
      <alignment horizontal="right" vertical="center" shrinkToFit="1"/>
    </xf>
    <xf numFmtId="0" fontId="26" fillId="8" borderId="0" xfId="0" applyFont="1" applyFill="1"/>
    <xf numFmtId="0" fontId="27" fillId="0" borderId="0" xfId="0" applyFont="1" applyAlignment="1">
      <alignment horizontal="left" vertical="center" shrinkToFit="1"/>
    </xf>
    <xf numFmtId="0" fontId="28" fillId="0" borderId="0" xfId="0" applyFont="1" applyAlignment="1">
      <alignment horizontal="right" vertical="center" shrinkToFit="1"/>
    </xf>
    <xf numFmtId="3" fontId="28" fillId="0" borderId="3" xfId="0" applyNumberFormat="1" applyFont="1" applyBorder="1" applyAlignment="1">
      <alignment horizontal="right" vertical="center" shrinkToFit="1"/>
    </xf>
    <xf numFmtId="3" fontId="28" fillId="0" borderId="0" xfId="0" applyNumberFormat="1" applyFont="1" applyAlignment="1">
      <alignment horizontal="right" vertical="center" shrinkToFit="1"/>
    </xf>
    <xf numFmtId="167" fontId="29" fillId="10" borderId="4" xfId="0" applyNumberFormat="1" applyFont="1" applyFill="1" applyBorder="1" applyAlignment="1">
      <alignment horizontal="right"/>
    </xf>
    <xf numFmtId="166" fontId="30" fillId="4" borderId="3" xfId="5" applyFont="1" applyFill="1" applyBorder="1"/>
    <xf numFmtId="168" fontId="31" fillId="11" borderId="0" xfId="0" applyNumberFormat="1" applyFont="1" applyFill="1"/>
    <xf numFmtId="169" fontId="32" fillId="0" borderId="3" xfId="3" applyNumberFormat="1" applyFont="1" applyFill="1" applyBorder="1"/>
    <xf numFmtId="3" fontId="33" fillId="0" borderId="0" xfId="0" applyNumberFormat="1" applyFont="1" applyAlignment="1">
      <alignment horizontal="right" vertical="center" shrinkToFit="1"/>
    </xf>
    <xf numFmtId="168" fontId="20" fillId="11" borderId="0" xfId="0" applyNumberFormat="1" applyFont="1" applyFill="1"/>
    <xf numFmtId="171" fontId="34" fillId="0" borderId="0" xfId="2" applyNumberFormat="1" applyFont="1" applyFill="1" applyBorder="1" applyAlignment="1">
      <alignment horizontal="right" vertical="center" shrinkToFit="1"/>
    </xf>
    <xf numFmtId="171" fontId="36" fillId="0" borderId="0" xfId="2" applyNumberFormat="1" applyFont="1" applyFill="1" applyBorder="1" applyAlignment="1">
      <alignment horizontal="right" vertical="center" shrinkToFit="1"/>
    </xf>
    <xf numFmtId="171" fontId="36" fillId="0" borderId="0" xfId="2" applyNumberFormat="1" applyFont="1" applyFill="1" applyBorder="1"/>
    <xf numFmtId="170" fontId="24" fillId="0" borderId="3" xfId="0" applyNumberFormat="1" applyFont="1" applyBorder="1"/>
    <xf numFmtId="171" fontId="24" fillId="0" borderId="0" xfId="2" applyNumberFormat="1" applyFont="1" applyFill="1" applyAlignment="1">
      <alignment horizontal="left"/>
    </xf>
    <xf numFmtId="169" fontId="32" fillId="0" borderId="0" xfId="3" applyNumberFormat="1" applyFont="1" applyFill="1" applyBorder="1"/>
    <xf numFmtId="0" fontId="35" fillId="0" borderId="3" xfId="0" applyFont="1" applyBorder="1" applyAlignment="1">
      <alignment horizontal="left" vertical="center" shrinkToFit="1"/>
    </xf>
    <xf numFmtId="0" fontId="36" fillId="0" borderId="0" xfId="0" applyFont="1" applyAlignment="1">
      <alignment horizontal="left" indent="3"/>
    </xf>
    <xf numFmtId="0" fontId="35" fillId="0" borderId="0" xfId="0" applyFont="1" applyAlignment="1">
      <alignment horizontal="left" vertical="center" shrinkToFit="1"/>
    </xf>
    <xf numFmtId="0" fontId="35" fillId="0" borderId="0" xfId="0" applyFont="1" applyAlignment="1">
      <alignment horizontal="left" vertical="center" indent="1" shrinkToFit="1"/>
    </xf>
    <xf numFmtId="0" fontId="24" fillId="8" borderId="0" xfId="0" applyFont="1" applyFill="1"/>
    <xf numFmtId="0" fontId="22" fillId="8" borderId="0" xfId="0" applyFont="1" applyFill="1" applyAlignment="1">
      <alignment horizontal="left" vertical="center"/>
    </xf>
    <xf numFmtId="169" fontId="21" fillId="0" borderId="0" xfId="3" applyNumberFormat="1" applyFont="1" applyFill="1" applyBorder="1"/>
    <xf numFmtId="3" fontId="33" fillId="12" borderId="0" xfId="0" applyNumberFormat="1" applyFont="1" applyFill="1" applyAlignment="1">
      <alignment horizontal="right" vertical="center" shrinkToFit="1"/>
    </xf>
    <xf numFmtId="0" fontId="24" fillId="12" borderId="0" xfId="0" applyFont="1" applyFill="1"/>
    <xf numFmtId="0" fontId="22" fillId="12" borderId="0" xfId="0" applyFont="1" applyFill="1" applyAlignment="1">
      <alignment horizontal="left" vertical="center" shrinkToFit="1"/>
    </xf>
    <xf numFmtId="169" fontId="37" fillId="0" borderId="0" xfId="3" applyNumberFormat="1" applyFont="1" applyFill="1" applyBorder="1"/>
    <xf numFmtId="167" fontId="29" fillId="0" borderId="0" xfId="0" applyNumberFormat="1" applyFont="1" applyAlignment="1">
      <alignment horizontal="right"/>
    </xf>
    <xf numFmtId="169" fontId="24" fillId="0" borderId="0" xfId="0" applyNumberFormat="1" applyFont="1"/>
    <xf numFmtId="0" fontId="22" fillId="12" borderId="0" xfId="0" applyFont="1" applyFill="1" applyAlignment="1">
      <alignment vertical="center"/>
    </xf>
    <xf numFmtId="3" fontId="24" fillId="0" borderId="0" xfId="0" applyNumberFormat="1" applyFont="1"/>
    <xf numFmtId="0" fontId="22" fillId="0" borderId="0" xfId="0" applyFont="1" applyAlignment="1">
      <alignment horizontal="left" vertical="center" shrinkToFit="1"/>
    </xf>
    <xf numFmtId="0" fontId="26" fillId="0" borderId="0" xfId="0" applyFont="1" applyAlignment="1">
      <alignment horizontal="right" vertical="center" shrinkToFit="1"/>
    </xf>
    <xf numFmtId="0" fontId="26" fillId="0" borderId="0" xfId="0" applyFont="1"/>
    <xf numFmtId="0" fontId="38" fillId="13" borderId="0" xfId="0" applyFont="1" applyFill="1" applyAlignment="1">
      <alignment horizontal="right"/>
    </xf>
    <xf numFmtId="171" fontId="38" fillId="13" borderId="0" xfId="2" applyNumberFormat="1" applyFont="1" applyFill="1" applyAlignment="1">
      <alignment horizontal="left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12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 shrinkToFit="1"/>
    </xf>
    <xf numFmtId="0" fontId="24" fillId="3" borderId="0" xfId="0" applyFont="1" applyFill="1" applyAlignment="1">
      <alignment horizontal="left" vertical="center" shrinkToFit="1"/>
    </xf>
    <xf numFmtId="167" fontId="39" fillId="10" borderId="4" xfId="0" applyNumberFormat="1" applyFont="1" applyFill="1" applyBorder="1" applyAlignment="1">
      <alignment horizontal="right"/>
    </xf>
    <xf numFmtId="167" fontId="39" fillId="0" borderId="0" xfId="0" applyNumberFormat="1" applyFont="1" applyAlignment="1">
      <alignment horizontal="right"/>
    </xf>
    <xf numFmtId="0" fontId="35" fillId="9" borderId="0" xfId="0" applyFont="1" applyFill="1" applyAlignment="1">
      <alignment horizontal="left" vertical="center" indent="1" shrinkToFit="1"/>
    </xf>
    <xf numFmtId="0" fontId="25" fillId="0" borderId="6" xfId="0" applyFont="1" applyBorder="1" applyAlignment="1">
      <alignment horizontal="left" vertical="center" shrinkToFit="1"/>
    </xf>
    <xf numFmtId="0" fontId="27" fillId="0" borderId="6" xfId="0" applyFont="1" applyBorder="1" applyAlignment="1">
      <alignment horizontal="left" vertical="center" shrinkToFit="1"/>
    </xf>
    <xf numFmtId="0" fontId="27" fillId="15" borderId="0" xfId="0" applyFont="1" applyFill="1" applyAlignment="1">
      <alignment horizontal="left" vertical="center" shrinkToFit="1"/>
    </xf>
    <xf numFmtId="3" fontId="28" fillId="3" borderId="0" xfId="0" applyNumberFormat="1" applyFont="1" applyFill="1" applyAlignment="1">
      <alignment horizontal="right" vertical="center" shrinkToFit="1"/>
    </xf>
    <xf numFmtId="0" fontId="21" fillId="0" borderId="0" xfId="0" applyFont="1" applyAlignment="1">
      <alignment horizontal="center" vertical="center"/>
    </xf>
    <xf numFmtId="0" fontId="22" fillId="8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7" borderId="2" xfId="4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right" vertical="center"/>
    </xf>
    <xf numFmtId="0" fontId="25" fillId="7" borderId="2" xfId="0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25" fillId="8" borderId="0" xfId="0" applyFont="1" applyFill="1" applyAlignment="1">
      <alignment vertical="center"/>
    </xf>
    <xf numFmtId="0" fontId="24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24" fillId="0" borderId="0" xfId="0" applyNumberFormat="1" applyFont="1" applyAlignment="1">
      <alignment vertical="center"/>
    </xf>
    <xf numFmtId="0" fontId="23" fillId="0" borderId="6" xfId="0" applyFont="1" applyBorder="1" applyAlignment="1">
      <alignment vertical="center"/>
    </xf>
    <xf numFmtId="3" fontId="24" fillId="0" borderId="6" xfId="0" applyNumberFormat="1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5" fillId="0" borderId="3" xfId="0" applyFont="1" applyBorder="1" applyAlignment="1">
      <alignment vertical="center"/>
    </xf>
    <xf numFmtId="3" fontId="40" fillId="4" borderId="3" xfId="0" applyNumberFormat="1" applyFont="1" applyFill="1" applyBorder="1" applyAlignment="1">
      <alignment vertical="center"/>
    </xf>
    <xf numFmtId="3" fontId="24" fillId="8" borderId="0" xfId="0" applyNumberFormat="1" applyFont="1" applyFill="1" applyAlignment="1">
      <alignment vertical="center"/>
    </xf>
    <xf numFmtId="0" fontId="24" fillId="12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3" fontId="25" fillId="0" borderId="0" xfId="0" applyNumberFormat="1" applyFont="1" applyAlignment="1">
      <alignment vertical="center"/>
    </xf>
    <xf numFmtId="0" fontId="41" fillId="0" borderId="5" xfId="0" applyFont="1" applyBorder="1" applyAlignment="1">
      <alignment vertical="center"/>
    </xf>
    <xf numFmtId="3" fontId="25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5" xfId="0" applyFont="1" applyBorder="1" applyAlignment="1">
      <alignment vertical="center"/>
    </xf>
    <xf numFmtId="3" fontId="33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0" borderId="5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3" fontId="24" fillId="0" borderId="7" xfId="0" applyNumberFormat="1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3" fontId="35" fillId="0" borderId="0" xfId="0" applyNumberFormat="1" applyFont="1" applyAlignment="1">
      <alignment vertical="center"/>
    </xf>
    <xf numFmtId="0" fontId="49" fillId="16" borderId="0" xfId="0" quotePrefix="1" applyFont="1" applyFill="1" applyAlignment="1">
      <alignment horizontal="center" vertical="center"/>
    </xf>
    <xf numFmtId="0" fontId="49" fillId="16" borderId="0" xfId="0" applyFont="1" applyFill="1" applyAlignment="1">
      <alignment horizontal="center" vertical="center"/>
    </xf>
    <xf numFmtId="0" fontId="50" fillId="0" borderId="0" xfId="0" applyFont="1" applyAlignment="1">
      <alignment vertical="center"/>
    </xf>
    <xf numFmtId="0" fontId="24" fillId="13" borderId="0" xfId="0" applyFont="1" applyFill="1" applyAlignment="1">
      <alignment horizontal="center" vertical="center"/>
    </xf>
    <xf numFmtId="0" fontId="50" fillId="16" borderId="0" xfId="0" applyFont="1" applyFill="1" applyAlignment="1">
      <alignment horizontal="center" vertical="center"/>
    </xf>
    <xf numFmtId="0" fontId="49" fillId="13" borderId="0" xfId="0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3" fillId="17" borderId="1" xfId="0" applyFont="1" applyFill="1" applyBorder="1" applyAlignment="1">
      <alignment horizontal="left" vertical="center" shrinkToFit="1"/>
    </xf>
    <xf numFmtId="0" fontId="0" fillId="17" borderId="0" xfId="0" applyFill="1"/>
    <xf numFmtId="0" fontId="0" fillId="18" borderId="0" xfId="0" applyFill="1"/>
    <xf numFmtId="10" fontId="0" fillId="18" borderId="0" xfId="0" applyNumberFormat="1" applyFill="1"/>
    <xf numFmtId="0" fontId="2" fillId="19" borderId="0" xfId="0" applyFont="1" applyFill="1"/>
    <xf numFmtId="0" fontId="2" fillId="13" borderId="0" xfId="0" applyFont="1" applyFill="1"/>
    <xf numFmtId="10" fontId="2" fillId="13" borderId="0" xfId="0" applyNumberFormat="1" applyFont="1" applyFill="1"/>
    <xf numFmtId="3" fontId="24" fillId="20" borderId="0" xfId="0" applyNumberFormat="1" applyFont="1" applyFill="1" applyAlignment="1">
      <alignment vertical="center"/>
    </xf>
    <xf numFmtId="3" fontId="24" fillId="20" borderId="6" xfId="0" applyNumberFormat="1" applyFont="1" applyFill="1" applyBorder="1" applyAlignment="1">
      <alignment vertical="center"/>
    </xf>
    <xf numFmtId="3" fontId="35" fillId="20" borderId="0" xfId="0" applyNumberFormat="1" applyFont="1" applyFill="1" applyAlignment="1">
      <alignment vertical="center"/>
    </xf>
    <xf numFmtId="3" fontId="25" fillId="0" borderId="6" xfId="0" applyNumberFormat="1" applyFont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169" fontId="32" fillId="0" borderId="6" xfId="3" applyNumberFormat="1" applyFont="1" applyBorder="1" applyAlignment="1">
      <alignment vertical="center"/>
    </xf>
    <xf numFmtId="172" fontId="21" fillId="0" borderId="6" xfId="0" applyNumberFormat="1" applyFont="1" applyBorder="1" applyAlignment="1">
      <alignment vertical="center"/>
    </xf>
    <xf numFmtId="169" fontId="32" fillId="0" borderId="0" xfId="3" applyNumberFormat="1" applyFont="1" applyAlignment="1">
      <alignment vertical="center"/>
    </xf>
    <xf numFmtId="169" fontId="37" fillId="0" borderId="0" xfId="3" applyNumberFormat="1" applyFont="1" applyAlignment="1">
      <alignment vertical="center"/>
    </xf>
    <xf numFmtId="0" fontId="25" fillId="14" borderId="0" xfId="0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172" fontId="24" fillId="0" borderId="6" xfId="0" applyNumberFormat="1" applyFont="1" applyBorder="1" applyAlignment="1">
      <alignment vertical="center"/>
    </xf>
    <xf numFmtId="169" fontId="24" fillId="0" borderId="0" xfId="0" applyNumberFormat="1" applyFont="1" applyAlignment="1">
      <alignment vertical="center"/>
    </xf>
    <xf numFmtId="0" fontId="43" fillId="3" borderId="0" xfId="0" applyFont="1" applyFill="1" applyAlignment="1">
      <alignment horizontal="left" vertical="center" shrinkToFit="1"/>
    </xf>
    <xf numFmtId="169" fontId="21" fillId="0" borderId="0" xfId="3" applyNumberFormat="1" applyFont="1" applyAlignment="1">
      <alignment vertical="center"/>
    </xf>
    <xf numFmtId="0" fontId="24" fillId="14" borderId="0" xfId="0" applyFont="1" applyFill="1" applyAlignment="1">
      <alignment horizontal="center" vertical="center"/>
    </xf>
    <xf numFmtId="169" fontId="46" fillId="15" borderId="0" xfId="3" applyNumberFormat="1" applyFont="1" applyFill="1" applyAlignment="1">
      <alignment vertical="center"/>
    </xf>
    <xf numFmtId="172" fontId="25" fillId="15" borderId="0" xfId="0" applyNumberFormat="1" applyFont="1" applyFill="1" applyAlignment="1">
      <alignment vertical="center"/>
    </xf>
    <xf numFmtId="169" fontId="32" fillId="9" borderId="0" xfId="3" applyNumberFormat="1" applyFont="1" applyFill="1" applyAlignment="1">
      <alignment vertical="center"/>
    </xf>
    <xf numFmtId="169" fontId="21" fillId="0" borderId="0" xfId="0" applyNumberFormat="1" applyFont="1" applyAlignment="1">
      <alignment vertical="center"/>
    </xf>
    <xf numFmtId="172" fontId="24" fillId="0" borderId="0" xfId="0" applyNumberFormat="1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left" vertical="center" shrinkToFit="1"/>
    </xf>
    <xf numFmtId="3" fontId="24" fillId="4" borderId="0" xfId="0" applyNumberFormat="1" applyFont="1" applyFill="1" applyAlignment="1">
      <alignment vertical="center"/>
    </xf>
    <xf numFmtId="0" fontId="24" fillId="4" borderId="0" xfId="0" applyFont="1" applyFill="1" applyAlignment="1">
      <alignment vertical="center"/>
    </xf>
    <xf numFmtId="169" fontId="32" fillId="0" borderId="0" xfId="3" applyNumberFormat="1" applyFont="1" applyAlignment="1">
      <alignment horizontal="right" vertical="center"/>
    </xf>
    <xf numFmtId="168" fontId="20" fillId="11" borderId="0" xfId="0" applyNumberFormat="1" applyFont="1" applyFill="1" applyAlignment="1">
      <alignment vertical="center"/>
    </xf>
    <xf numFmtId="169" fontId="44" fillId="0" borderId="0" xfId="3" applyNumberFormat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5" fillId="3" borderId="0" xfId="0" applyFont="1" applyFill="1" applyAlignment="1">
      <alignment horizontal="left" vertical="center" shrinkToFit="1"/>
    </xf>
    <xf numFmtId="168" fontId="51" fillId="11" borderId="0" xfId="0" applyNumberFormat="1" applyFont="1" applyFill="1" applyAlignment="1">
      <alignment vertical="center"/>
    </xf>
    <xf numFmtId="171" fontId="37" fillId="0" borderId="0" xfId="2" applyNumberFormat="1" applyFont="1" applyAlignment="1">
      <alignment vertical="center"/>
    </xf>
    <xf numFmtId="171" fontId="29" fillId="10" borderId="4" xfId="2" applyNumberFormat="1" applyFont="1" applyFill="1" applyBorder="1" applyAlignment="1">
      <alignment horizontal="right" vertical="center"/>
    </xf>
    <xf numFmtId="173" fontId="29" fillId="10" borderId="4" xfId="2" applyNumberFormat="1" applyFont="1" applyFill="1" applyBorder="1" applyAlignment="1">
      <alignment horizontal="right" vertical="center"/>
    </xf>
    <xf numFmtId="2" fontId="25" fillId="0" borderId="5" xfId="0" applyNumberFormat="1" applyFont="1" applyBorder="1" applyAlignment="1">
      <alignment vertical="center"/>
    </xf>
    <xf numFmtId="169" fontId="45" fillId="0" borderId="0" xfId="0" applyNumberFormat="1" applyFont="1" applyAlignment="1">
      <alignment vertical="center"/>
    </xf>
    <xf numFmtId="0" fontId="41" fillId="0" borderId="0" xfId="0" applyFont="1" applyAlignment="1">
      <alignment horizontal="center" vertical="center"/>
    </xf>
    <xf numFmtId="0" fontId="34" fillId="3" borderId="0" xfId="0" applyFont="1" applyFill="1" applyAlignment="1">
      <alignment horizontal="left" vertical="center" shrinkToFit="1"/>
    </xf>
    <xf numFmtId="171" fontId="47" fillId="0" borderId="0" xfId="2" applyNumberFormat="1" applyFont="1" applyAlignment="1">
      <alignment vertical="center"/>
    </xf>
    <xf numFmtId="167" fontId="29" fillId="10" borderId="4" xfId="0" applyNumberFormat="1" applyFont="1" applyFill="1" applyBorder="1" applyAlignment="1">
      <alignment horizontal="right" vertical="center"/>
    </xf>
    <xf numFmtId="0" fontId="38" fillId="13" borderId="0" xfId="0" applyFont="1" applyFill="1" applyAlignment="1">
      <alignment horizontal="right" vertical="center"/>
    </xf>
    <xf numFmtId="171" fontId="38" fillId="13" borderId="0" xfId="2" applyNumberFormat="1" applyFont="1" applyFill="1" applyAlignment="1">
      <alignment horizontal="left" vertical="center"/>
    </xf>
    <xf numFmtId="168" fontId="20" fillId="0" borderId="0" xfId="0" applyNumberFormat="1" applyFont="1" applyAlignment="1">
      <alignment vertical="center"/>
    </xf>
    <xf numFmtId="167" fontId="29" fillId="0" borderId="0" xfId="0" applyNumberFormat="1" applyFont="1" applyAlignment="1">
      <alignment horizontal="right" vertical="center"/>
    </xf>
    <xf numFmtId="172" fontId="21" fillId="0" borderId="0" xfId="0" applyNumberFormat="1" applyFont="1" applyAlignment="1">
      <alignment vertical="center"/>
    </xf>
    <xf numFmtId="169" fontId="44" fillId="0" borderId="0" xfId="3" applyNumberFormat="1" applyFont="1" applyAlignment="1">
      <alignment horizontal="right" vertical="center"/>
    </xf>
    <xf numFmtId="171" fontId="37" fillId="0" borderId="0" xfId="2" applyNumberFormat="1" applyFont="1" applyAlignment="1">
      <alignment horizontal="right" vertical="center"/>
    </xf>
    <xf numFmtId="171" fontId="32" fillId="0" borderId="0" xfId="2" applyNumberFormat="1" applyFont="1" applyAlignment="1">
      <alignment vertical="center"/>
    </xf>
    <xf numFmtId="0" fontId="30" fillId="0" borderId="0" xfId="0" applyFont="1" applyAlignment="1">
      <alignment vertical="center"/>
    </xf>
    <xf numFmtId="169" fontId="35" fillId="0" borderId="0" xfId="0" applyNumberFormat="1" applyFont="1" applyAlignment="1">
      <alignment vertical="center"/>
    </xf>
    <xf numFmtId="0" fontId="30" fillId="9" borderId="0" xfId="0" applyFont="1" applyFill="1" applyAlignment="1">
      <alignment vertical="center"/>
    </xf>
    <xf numFmtId="169" fontId="52" fillId="9" borderId="0" xfId="3" applyNumberFormat="1" applyFont="1" applyFill="1" applyAlignment="1">
      <alignment vertical="center"/>
    </xf>
    <xf numFmtId="169" fontId="32" fillId="0" borderId="0" xfId="3" applyNumberFormat="1" applyFont="1" applyFill="1" applyAlignment="1">
      <alignment vertical="center"/>
    </xf>
  </cellXfs>
  <cellStyles count="6">
    <cellStyle name="Hiperlink" xfId="1" builtinId="8"/>
    <cellStyle name="Normal" xfId="0" builtinId="0"/>
    <cellStyle name="Normal 3" xfId="4" xr:uid="{82C20A6F-C0E7-45CE-BE14-81306A9E48F5}"/>
    <cellStyle name="Normal_Valuation_Maia_V6" xfId="5" xr:uid="{964C9017-E6A2-4E4B-8F9C-E28CAEE70662}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0000FF"/>
      <color rgb="FF33CC3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7620</xdr:colOff>
      <xdr:row>3</xdr:row>
      <xdr:rowOff>89535</xdr:rowOff>
    </xdr:to>
    <xdr:pic>
      <xdr:nvPicPr>
        <xdr:cNvPr id="10" name="Imagem 1">
          <a:extLst>
            <a:ext uri="{FF2B5EF4-FFF2-40B4-BE49-F238E27FC236}">
              <a16:creationId xmlns:a16="http://schemas.microsoft.com/office/drawing/2014/main" id="{BEAA9F41-45DA-38D9-1F96-0757C4BB5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900" cy="676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brielaa6@al.insper.edu.br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beatrizfs1@al.insper.edu.br" TargetMode="External"/><Relationship Id="rId1" Type="http://schemas.openxmlformats.org/officeDocument/2006/relationships/hyperlink" Target="mailto:beatrizeu@al.insper.edu.br" TargetMode="External"/><Relationship Id="rId6" Type="http://schemas.openxmlformats.org/officeDocument/2006/relationships/hyperlink" Target="mailto:raynnarasf@al.insper.edu.br" TargetMode="External"/><Relationship Id="rId5" Type="http://schemas.openxmlformats.org/officeDocument/2006/relationships/hyperlink" Target="mailto:juliaar1@al.insper.edu.br" TargetMode="External"/><Relationship Id="rId4" Type="http://schemas.openxmlformats.org/officeDocument/2006/relationships/hyperlink" Target="mailto:hichamt@al.insper.ed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BB71-1868-4146-AEC2-60740E22F0D5}">
  <dimension ref="A1:J18"/>
  <sheetViews>
    <sheetView workbookViewId="0">
      <selection activeCell="E9" sqref="E9"/>
    </sheetView>
  </sheetViews>
  <sheetFormatPr defaultColWidth="8.88671875" defaultRowHeight="14.4" x14ac:dyDescent="0.3"/>
  <cols>
    <col min="1" max="1" width="8.88671875" style="10"/>
    <col min="2" max="2" width="7.109375" style="10" customWidth="1"/>
    <col min="3" max="3" width="8.88671875" style="10"/>
    <col min="4" max="4" width="8.88671875" style="10" bestFit="1" customWidth="1"/>
    <col min="5" max="16384" width="8.88671875" style="10"/>
  </cols>
  <sheetData>
    <row r="1" spans="1:10" ht="14.4" customHeight="1" x14ac:dyDescent="0.35">
      <c r="A1" s="20"/>
      <c r="B1" s="20"/>
      <c r="C1" s="27" t="s">
        <v>0</v>
      </c>
      <c r="D1" s="23"/>
      <c r="E1" s="24"/>
      <c r="F1" s="22"/>
      <c r="G1" s="22"/>
      <c r="H1" s="20"/>
      <c r="I1" s="20"/>
      <c r="J1" s="20"/>
    </row>
    <row r="2" spans="1:10" ht="17.399999999999999" x14ac:dyDescent="0.3">
      <c r="A2" s="21"/>
      <c r="B2" s="22"/>
      <c r="C2" s="23"/>
      <c r="D2" s="28" t="s">
        <v>1</v>
      </c>
      <c r="E2" s="25"/>
      <c r="F2" s="23"/>
      <c r="G2" s="23"/>
      <c r="H2" s="22"/>
      <c r="I2" s="22"/>
      <c r="J2" s="22"/>
    </row>
    <row r="3" spans="1:10" ht="14.4" customHeight="1" x14ac:dyDescent="0.3">
      <c r="A3" s="23"/>
      <c r="B3" s="23"/>
      <c r="C3" s="26" t="s">
        <v>2</v>
      </c>
      <c r="D3" s="23"/>
      <c r="E3" s="25"/>
      <c r="F3" s="23"/>
      <c r="G3" s="23"/>
      <c r="H3" s="23"/>
      <c r="I3" s="23"/>
      <c r="J3" s="23"/>
    </row>
    <row r="4" spans="1:10" x14ac:dyDescent="0.3">
      <c r="A4" s="23"/>
      <c r="B4" s="23"/>
      <c r="C4" s="23"/>
      <c r="D4" s="23"/>
      <c r="E4" s="23"/>
      <c r="F4" s="23"/>
      <c r="G4" s="23"/>
      <c r="H4" s="23"/>
      <c r="I4" s="23"/>
      <c r="J4" s="23"/>
    </row>
    <row r="5" spans="1:10" ht="17.399999999999999" x14ac:dyDescent="0.3">
      <c r="H5" s="11"/>
      <c r="I5" s="11"/>
      <c r="J5" s="11"/>
    </row>
    <row r="6" spans="1:10" ht="14.4" customHeight="1" x14ac:dyDescent="0.3">
      <c r="A6" s="11" t="s">
        <v>3</v>
      </c>
      <c r="B6" s="11"/>
      <c r="C6" s="11"/>
      <c r="D6" s="11"/>
      <c r="E6" s="11"/>
      <c r="F6" s="11"/>
      <c r="G6" s="11"/>
      <c r="H6" s="14"/>
      <c r="I6" s="14"/>
      <c r="J6" s="14"/>
    </row>
    <row r="7" spans="1:10" ht="15.6" x14ac:dyDescent="0.3">
      <c r="A7" s="14" t="s">
        <v>4</v>
      </c>
      <c r="B7" s="14"/>
      <c r="C7" s="14"/>
      <c r="D7" s="14"/>
      <c r="E7" s="14"/>
      <c r="F7" s="14"/>
      <c r="G7" s="14"/>
      <c r="H7" s="13"/>
      <c r="I7" s="13"/>
      <c r="J7" s="13"/>
    </row>
    <row r="8" spans="1:10" ht="17.399999999999999" x14ac:dyDescent="0.3">
      <c r="A8" s="12"/>
      <c r="B8" s="13"/>
      <c r="C8" s="13"/>
      <c r="D8" s="13"/>
      <c r="E8" s="13"/>
      <c r="F8" s="13"/>
      <c r="G8" s="13"/>
      <c r="H8" s="11"/>
      <c r="I8" s="11"/>
      <c r="J8" s="11"/>
    </row>
    <row r="9" spans="1:10" ht="17.399999999999999" x14ac:dyDescent="0.3">
      <c r="A9" s="11" t="s">
        <v>5</v>
      </c>
      <c r="B9" s="11"/>
      <c r="C9" s="11"/>
      <c r="D9" s="11"/>
      <c r="E9" s="11"/>
      <c r="F9" s="11"/>
      <c r="G9" s="11"/>
      <c r="H9" s="14"/>
      <c r="I9" s="14"/>
      <c r="J9" s="14"/>
    </row>
    <row r="10" spans="1:10" ht="15.6" x14ac:dyDescent="0.3">
      <c r="A10" s="17" t="s">
        <v>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 ht="15.6" x14ac:dyDescent="0.3">
      <c r="A11" s="16" t="s">
        <v>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 ht="15.6" x14ac:dyDescent="0.3">
      <c r="A12" s="17" t="s">
        <v>8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5.6" x14ac:dyDescent="0.3">
      <c r="A13" s="17" t="s">
        <v>9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5.6" x14ac:dyDescent="0.3">
      <c r="A14" s="17" t="s">
        <v>10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4.4" customHeight="1" x14ac:dyDescent="0.3">
      <c r="A15" s="17" t="s">
        <v>11</v>
      </c>
      <c r="B15" s="14"/>
      <c r="C15" s="14"/>
      <c r="D15" s="14"/>
      <c r="E15" s="14"/>
      <c r="F15" s="14"/>
      <c r="G15" s="14"/>
      <c r="H15" s="11"/>
      <c r="I15" s="11"/>
      <c r="J15" s="11"/>
    </row>
    <row r="17" spans="1:7" ht="17.399999999999999" x14ac:dyDescent="0.3">
      <c r="A17" s="11" t="s">
        <v>12</v>
      </c>
      <c r="B17" s="11"/>
      <c r="C17" s="11"/>
      <c r="D17" s="11"/>
      <c r="E17" s="11"/>
      <c r="F17" s="11"/>
      <c r="G17" s="11"/>
    </row>
    <row r="18" spans="1:7" ht="17.399999999999999" x14ac:dyDescent="0.3">
      <c r="C18" s="31" t="s">
        <v>13</v>
      </c>
    </row>
  </sheetData>
  <hyperlinks>
    <hyperlink ref="A10" r:id="rId1" xr:uid="{0E62C296-5208-41A3-9F73-D23317A3F3FE}"/>
    <hyperlink ref="A11" r:id="rId2" xr:uid="{4768AAF2-01FB-47D2-B532-DFF4D56316A1}"/>
    <hyperlink ref="A12" r:id="rId3" xr:uid="{9719C395-6FCF-426D-9F08-395F743273C6}"/>
    <hyperlink ref="A13" r:id="rId4" xr:uid="{200FFDF4-0D04-4714-B504-D0AE6913AE21}"/>
    <hyperlink ref="A14" r:id="rId5" xr:uid="{484A325E-3ACF-4A58-8B19-70D601B34C6C}"/>
    <hyperlink ref="A15" r:id="rId6" xr:uid="{FB4FDEC5-DF88-44E7-99DE-137243D08270}"/>
  </hyperlinks>
  <pageMargins left="0.511811024" right="0.511811024" top="0.78740157499999996" bottom="0.78740157499999996" header="0.31496062000000002" footer="0.31496062000000002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"/>
  <sheetViews>
    <sheetView showGridLines="0" tabSelected="1" zoomScaleNormal="100" workbookViewId="0">
      <pane ySplit="6" topLeftCell="A150" activePane="bottomLeft" state="frozen"/>
      <selection pane="bottomLeft" activeCell="M164" sqref="M164"/>
    </sheetView>
  </sheetViews>
  <sheetFormatPr defaultColWidth="8.88671875" defaultRowHeight="14.4" customHeight="1" outlineLevelRow="2" x14ac:dyDescent="0.3"/>
  <cols>
    <col min="1" max="1" width="3.33203125" style="80" customWidth="1"/>
    <col min="2" max="2" width="57.109375" style="97" customWidth="1"/>
    <col min="3" max="13" width="11.109375" style="97" customWidth="1"/>
    <col min="14" max="16384" width="8.88671875" style="97"/>
  </cols>
  <sheetData>
    <row r="1" spans="1:13" s="93" customFormat="1" ht="16.2" customHeight="1" x14ac:dyDescent="0.3">
      <c r="A1" s="78"/>
      <c r="B1" s="92" t="s">
        <v>14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s="93" customFormat="1" ht="16.2" customHeight="1" x14ac:dyDescent="0.3">
      <c r="A2" s="78"/>
    </row>
    <row r="3" spans="1:13" s="93" customFormat="1" ht="16.2" customHeight="1" x14ac:dyDescent="0.3">
      <c r="A3" s="78"/>
      <c r="B3" s="92" t="s">
        <v>15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s="93" customFormat="1" ht="16.2" customHeight="1" x14ac:dyDescent="0.3">
      <c r="A4" s="78"/>
    </row>
    <row r="5" spans="1:13" s="93" customFormat="1" ht="16.2" customHeight="1" x14ac:dyDescent="0.3">
      <c r="A5" s="78"/>
      <c r="B5" s="147"/>
      <c r="C5" s="147">
        <v>2017</v>
      </c>
      <c r="D5" s="147">
        <v>2018</v>
      </c>
      <c r="E5" s="147">
        <v>2019</v>
      </c>
      <c r="F5" s="147">
        <v>2020</v>
      </c>
      <c r="G5" s="147">
        <v>2021</v>
      </c>
      <c r="H5" s="147">
        <v>2022</v>
      </c>
      <c r="I5" s="96" t="s">
        <v>16</v>
      </c>
      <c r="J5" s="96" t="s">
        <v>17</v>
      </c>
      <c r="K5" s="96" t="s">
        <v>18</v>
      </c>
      <c r="L5" s="96" t="s">
        <v>19</v>
      </c>
      <c r="M5" s="96" t="s">
        <v>20</v>
      </c>
    </row>
    <row r="6" spans="1:13" ht="4.8" customHeight="1" x14ac:dyDescent="0.3"/>
    <row r="8" spans="1:13" ht="14.4" customHeight="1" x14ac:dyDescent="0.3">
      <c r="B8" s="39" t="s">
        <v>21</v>
      </c>
      <c r="C8" s="40"/>
      <c r="D8" s="40"/>
      <c r="E8" s="40"/>
      <c r="F8" s="40"/>
      <c r="G8" s="40"/>
      <c r="H8" s="148"/>
      <c r="I8" s="148"/>
      <c r="J8" s="148"/>
      <c r="K8" s="148"/>
      <c r="L8" s="148"/>
      <c r="M8" s="148"/>
    </row>
    <row r="9" spans="1:13" ht="14.4" customHeight="1" outlineLevel="1" x14ac:dyDescent="0.3">
      <c r="B9" s="73"/>
      <c r="C9" s="74"/>
      <c r="D9" s="74"/>
      <c r="E9" s="74"/>
      <c r="F9" s="74"/>
      <c r="G9" s="74"/>
      <c r="H9" s="149"/>
      <c r="I9" s="149"/>
      <c r="J9" s="149"/>
      <c r="K9" s="149"/>
      <c r="L9" s="149"/>
      <c r="M9" s="149"/>
    </row>
    <row r="10" spans="1:13" ht="14.4" customHeight="1" outlineLevel="1" x14ac:dyDescent="0.3">
      <c r="B10" s="87" t="s">
        <v>22</v>
      </c>
      <c r="C10" s="150">
        <v>2291114</v>
      </c>
      <c r="D10" s="150">
        <v>2483575</v>
      </c>
      <c r="E10" s="150">
        <v>2700181</v>
      </c>
      <c r="F10" s="150">
        <v>3804035</v>
      </c>
      <c r="G10" s="150">
        <v>4829110</v>
      </c>
      <c r="H10" s="150">
        <v>5087060</v>
      </c>
      <c r="I10" s="151">
        <f>I11+I12+I13+I14+I15+I16+I17</f>
        <v>5931519.7993327435</v>
      </c>
      <c r="J10" s="151">
        <f t="shared" ref="J10:M10" si="0">J11+J12+J13+J14+J15+J16+J17</f>
        <v>6833638.3388593933</v>
      </c>
      <c r="K10" s="151">
        <f t="shared" si="0"/>
        <v>7955682.7239874722</v>
      </c>
      <c r="L10" s="151">
        <f t="shared" si="0"/>
        <v>9226813.1654229108</v>
      </c>
      <c r="M10" s="151">
        <f t="shared" si="0"/>
        <v>10607851.283072688</v>
      </c>
    </row>
    <row r="11" spans="1:13" ht="14.4" customHeight="1" outlineLevel="1" x14ac:dyDescent="0.3">
      <c r="B11" s="83" t="s">
        <v>23</v>
      </c>
      <c r="C11" s="152">
        <v>276466</v>
      </c>
      <c r="D11" s="152">
        <v>365302</v>
      </c>
      <c r="E11" s="152">
        <v>537764</v>
      </c>
      <c r="F11" s="152">
        <v>1081955</v>
      </c>
      <c r="G11" s="152">
        <v>1596350</v>
      </c>
      <c r="H11" s="152">
        <v>1225614</v>
      </c>
      <c r="I11" s="153">
        <f>I87</f>
        <v>1463025.1541346307</v>
      </c>
      <c r="J11" s="153">
        <f t="shared" ref="J11:M11" si="1">J87</f>
        <v>1823329.0934796934</v>
      </c>
      <c r="K11" s="153">
        <f t="shared" si="1"/>
        <v>2218674.8752713776</v>
      </c>
      <c r="L11" s="153">
        <f t="shared" si="1"/>
        <v>2551689.0545769748</v>
      </c>
      <c r="M11" s="153">
        <f t="shared" si="1"/>
        <v>2793172.4256769256</v>
      </c>
    </row>
    <row r="12" spans="1:13" ht="14.4" customHeight="1" outlineLevel="1" x14ac:dyDescent="0.3">
      <c r="A12" s="154"/>
      <c r="B12" s="83" t="s">
        <v>24</v>
      </c>
      <c r="C12" s="152">
        <v>406305</v>
      </c>
      <c r="D12" s="152">
        <v>31242</v>
      </c>
      <c r="E12" s="152">
        <v>32292</v>
      </c>
      <c r="F12" s="152">
        <v>32923</v>
      </c>
      <c r="G12" s="152">
        <v>33712</v>
      </c>
      <c r="H12" s="152">
        <v>0</v>
      </c>
      <c r="I12" s="153">
        <v>0</v>
      </c>
      <c r="J12" s="153">
        <v>0</v>
      </c>
      <c r="K12" s="153">
        <v>0</v>
      </c>
      <c r="L12" s="153">
        <v>0</v>
      </c>
      <c r="M12" s="153">
        <v>0</v>
      </c>
    </row>
    <row r="13" spans="1:13" ht="14.4" customHeight="1" outlineLevel="1" x14ac:dyDescent="0.3">
      <c r="B13" s="83" t="s">
        <v>25</v>
      </c>
      <c r="C13" s="152">
        <v>609460</v>
      </c>
      <c r="D13" s="152">
        <v>690536</v>
      </c>
      <c r="E13" s="152">
        <v>725262</v>
      </c>
      <c r="F13" s="152">
        <v>945120</v>
      </c>
      <c r="G13" s="152">
        <v>1212386</v>
      </c>
      <c r="H13" s="152">
        <v>1331654</v>
      </c>
      <c r="I13" s="153">
        <f>I93</f>
        <v>1587675.4602267363</v>
      </c>
      <c r="J13" s="153">
        <f t="shared" ref="J13:M13" si="2">J93</f>
        <v>1808982.7083555062</v>
      </c>
      <c r="K13" s="153">
        <f t="shared" si="2"/>
        <v>2088422.4967864463</v>
      </c>
      <c r="L13" s="153">
        <f t="shared" si="2"/>
        <v>2438005.244498881</v>
      </c>
      <c r="M13" s="153">
        <f t="shared" si="2"/>
        <v>2816599.7626474048</v>
      </c>
    </row>
    <row r="14" spans="1:13" ht="14.4" customHeight="1" outlineLevel="1" x14ac:dyDescent="0.3">
      <c r="B14" s="83" t="s">
        <v>26</v>
      </c>
      <c r="C14" s="152">
        <v>855228</v>
      </c>
      <c r="D14" s="152">
        <v>1120180</v>
      </c>
      <c r="E14" s="152">
        <v>1152804</v>
      </c>
      <c r="F14" s="152">
        <v>1456780</v>
      </c>
      <c r="G14" s="152">
        <v>1646697</v>
      </c>
      <c r="H14" s="152">
        <v>2213930</v>
      </c>
      <c r="I14" s="153">
        <f>I98</f>
        <v>2525599.460940884</v>
      </c>
      <c r="J14" s="153">
        <f t="shared" ref="J14:M14" si="3">J98</f>
        <v>2822004.5583229344</v>
      </c>
      <c r="K14" s="153">
        <f t="shared" si="3"/>
        <v>3224076.8928217152</v>
      </c>
      <c r="L14" s="153">
        <f t="shared" si="3"/>
        <v>3751262.3219906338</v>
      </c>
      <c r="M14" s="153">
        <f t="shared" si="3"/>
        <v>4447361.7125640102</v>
      </c>
    </row>
    <row r="15" spans="1:13" ht="14.4" customHeight="1" outlineLevel="1" x14ac:dyDescent="0.3">
      <c r="B15" s="83" t="s">
        <v>27</v>
      </c>
      <c r="C15" s="152">
        <v>67235</v>
      </c>
      <c r="D15" s="152">
        <v>142025</v>
      </c>
      <c r="E15" s="152">
        <v>119443</v>
      </c>
      <c r="F15" s="152">
        <v>145633</v>
      </c>
      <c r="G15" s="152">
        <v>195020</v>
      </c>
      <c r="H15" s="152">
        <v>221493</v>
      </c>
      <c r="I15" s="153">
        <f>I103</f>
        <v>271680.72403049289</v>
      </c>
      <c r="J15" s="153">
        <f t="shared" ref="J15:M15" si="4">J103</f>
        <v>295782.97870125924</v>
      </c>
      <c r="K15" s="153">
        <f t="shared" si="4"/>
        <v>340969.45910793322</v>
      </c>
      <c r="L15" s="153">
        <f t="shared" si="4"/>
        <v>402317.54435642017</v>
      </c>
      <c r="M15" s="153">
        <f t="shared" si="4"/>
        <v>467178.38218434638</v>
      </c>
    </row>
    <row r="16" spans="1:13" ht="14.4" customHeight="1" outlineLevel="1" x14ac:dyDescent="0.3">
      <c r="A16" s="154"/>
      <c r="B16" s="83" t="s">
        <v>28</v>
      </c>
      <c r="C16" s="152">
        <v>12023</v>
      </c>
      <c r="D16" s="152">
        <v>18521</v>
      </c>
      <c r="E16" s="152">
        <v>15298</v>
      </c>
      <c r="F16" s="152">
        <v>16716</v>
      </c>
      <c r="G16" s="152">
        <v>12698</v>
      </c>
      <c r="H16" s="152">
        <v>10830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</row>
    <row r="17" spans="1:13" ht="14.4" customHeight="1" outlineLevel="1" x14ac:dyDescent="0.3">
      <c r="A17" s="155"/>
      <c r="B17" s="83" t="s">
        <v>29</v>
      </c>
      <c r="C17" s="152">
        <v>64397</v>
      </c>
      <c r="D17" s="152">
        <v>115769</v>
      </c>
      <c r="E17" s="152">
        <v>117318</v>
      </c>
      <c r="F17" s="152">
        <v>124908</v>
      </c>
      <c r="G17" s="152">
        <v>132247</v>
      </c>
      <c r="H17" s="152">
        <v>83539</v>
      </c>
      <c r="I17" s="153">
        <f>H17</f>
        <v>83539</v>
      </c>
      <c r="J17" s="153">
        <f t="shared" ref="J17:M17" si="5">I17</f>
        <v>83539</v>
      </c>
      <c r="K17" s="153">
        <f t="shared" si="5"/>
        <v>83539</v>
      </c>
      <c r="L17" s="153">
        <f t="shared" si="5"/>
        <v>83539</v>
      </c>
      <c r="M17" s="153">
        <f t="shared" si="5"/>
        <v>83539</v>
      </c>
    </row>
    <row r="18" spans="1:13" ht="14.4" customHeight="1" outlineLevel="1" x14ac:dyDescent="0.3">
      <c r="B18" s="83"/>
      <c r="C18" s="152"/>
      <c r="D18" s="152"/>
      <c r="E18" s="152"/>
      <c r="F18" s="152"/>
      <c r="G18" s="152"/>
      <c r="H18" s="152"/>
      <c r="I18" s="156"/>
      <c r="J18" s="156"/>
      <c r="K18" s="156"/>
      <c r="L18" s="156"/>
      <c r="M18" s="156"/>
    </row>
    <row r="19" spans="1:13" ht="14.4" customHeight="1" outlineLevel="1" x14ac:dyDescent="0.3">
      <c r="B19" s="88" t="s">
        <v>30</v>
      </c>
      <c r="C19" s="150">
        <v>1490059</v>
      </c>
      <c r="D19" s="150">
        <v>1953085</v>
      </c>
      <c r="E19" s="150">
        <v>2109208</v>
      </c>
      <c r="F19" s="150">
        <v>2362752</v>
      </c>
      <c r="G19" s="150">
        <v>3101860</v>
      </c>
      <c r="H19" s="150">
        <v>4126821</v>
      </c>
      <c r="I19" s="157">
        <f>I20+I27+I29+I33</f>
        <v>4415273.6217626045</v>
      </c>
      <c r="J19" s="157">
        <f t="shared" ref="J19:M19" si="6">J20+J27+J29+J33</f>
        <v>5011839.1750399414</v>
      </c>
      <c r="K19" s="157">
        <f t="shared" si="6"/>
        <v>5727293.8105278909</v>
      </c>
      <c r="L19" s="157">
        <f t="shared" si="6"/>
        <v>6798878.2290758099</v>
      </c>
      <c r="M19" s="157">
        <f t="shared" si="6"/>
        <v>7986600.4494256657</v>
      </c>
    </row>
    <row r="20" spans="1:13" ht="14.4" customHeight="1" outlineLevel="1" x14ac:dyDescent="0.3">
      <c r="A20" s="79"/>
      <c r="B20" s="83" t="s">
        <v>31</v>
      </c>
      <c r="C20" s="152">
        <v>73998</v>
      </c>
      <c r="D20" s="152">
        <v>296161</v>
      </c>
      <c r="E20" s="152">
        <v>308640</v>
      </c>
      <c r="F20" s="152">
        <v>268560</v>
      </c>
      <c r="G20" s="152">
        <v>325704</v>
      </c>
      <c r="H20" s="152">
        <v>673860</v>
      </c>
      <c r="I20" s="158">
        <f>I119</f>
        <v>609393.88564584497</v>
      </c>
      <c r="J20" s="158">
        <f t="shared" ref="J20:M20" si="7">J119</f>
        <v>676385.61696195987</v>
      </c>
      <c r="K20" s="158">
        <f t="shared" si="7"/>
        <v>758830.29634747421</v>
      </c>
      <c r="L20" s="158">
        <f t="shared" si="7"/>
        <v>922726.10915544408</v>
      </c>
      <c r="M20" s="158">
        <f t="shared" si="7"/>
        <v>1128952.5971294728</v>
      </c>
    </row>
    <row r="21" spans="1:13" ht="14.4" customHeight="1" outlineLevel="1" x14ac:dyDescent="0.3">
      <c r="B21" s="159" t="s">
        <v>32</v>
      </c>
      <c r="C21" s="152">
        <v>0</v>
      </c>
      <c r="D21" s="152">
        <v>217</v>
      </c>
      <c r="E21" s="152">
        <v>0</v>
      </c>
      <c r="F21" s="152">
        <v>0</v>
      </c>
      <c r="G21" s="152">
        <v>0</v>
      </c>
      <c r="H21" s="152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</row>
    <row r="22" spans="1:13" ht="14.4" customHeight="1" outlineLevel="1" x14ac:dyDescent="0.3">
      <c r="B22" s="159" t="s">
        <v>33</v>
      </c>
      <c r="C22" s="152">
        <v>31865</v>
      </c>
      <c r="D22" s="152">
        <v>0</v>
      </c>
      <c r="E22" s="152">
        <v>0</v>
      </c>
      <c r="F22" s="152">
        <v>0</v>
      </c>
      <c r="G22" s="152">
        <v>0</v>
      </c>
      <c r="H22" s="152">
        <v>13740</v>
      </c>
    </row>
    <row r="23" spans="1:13" ht="14.4" customHeight="1" outlineLevel="1" x14ac:dyDescent="0.3">
      <c r="B23" s="159" t="s">
        <v>34</v>
      </c>
      <c r="C23" s="152">
        <v>19260</v>
      </c>
      <c r="D23" s="152">
        <v>24261</v>
      </c>
      <c r="E23" s="152">
        <v>54797</v>
      </c>
      <c r="F23" s="152">
        <v>53108</v>
      </c>
      <c r="G23" s="152">
        <v>44453</v>
      </c>
      <c r="H23" s="152">
        <v>40419</v>
      </c>
    </row>
    <row r="24" spans="1:13" ht="14.4" customHeight="1" outlineLevel="1" x14ac:dyDescent="0.3">
      <c r="B24" s="159" t="s">
        <v>35</v>
      </c>
      <c r="C24" s="15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15235</v>
      </c>
    </row>
    <row r="25" spans="1:13" ht="14.4" customHeight="1" outlineLevel="1" x14ac:dyDescent="0.3">
      <c r="A25" s="154"/>
      <c r="B25" s="159" t="s">
        <v>36</v>
      </c>
      <c r="C25" s="152">
        <v>0</v>
      </c>
      <c r="D25" s="152">
        <v>0</v>
      </c>
      <c r="E25" s="152">
        <v>0</v>
      </c>
      <c r="F25" s="152">
        <v>0</v>
      </c>
      <c r="G25" s="152">
        <v>70965</v>
      </c>
      <c r="H25" s="152">
        <v>71909</v>
      </c>
      <c r="I25" s="158"/>
      <c r="J25" s="158"/>
      <c r="K25" s="158"/>
      <c r="L25" s="158"/>
      <c r="M25" s="158"/>
    </row>
    <row r="26" spans="1:13" ht="14.4" customHeight="1" outlineLevel="1" x14ac:dyDescent="0.3">
      <c r="B26" s="159" t="s">
        <v>37</v>
      </c>
      <c r="C26" s="152">
        <v>22873</v>
      </c>
      <c r="D26" s="152">
        <v>271683</v>
      </c>
      <c r="E26" s="152">
        <v>253843</v>
      </c>
      <c r="F26" s="152">
        <v>215452</v>
      </c>
      <c r="G26" s="152">
        <v>210286</v>
      </c>
      <c r="H26" s="152">
        <v>532557</v>
      </c>
    </row>
    <row r="27" spans="1:13" ht="14.4" customHeight="1" outlineLevel="1" x14ac:dyDescent="0.3">
      <c r="A27" s="161"/>
      <c r="B27" s="83" t="s">
        <v>38</v>
      </c>
      <c r="C27" s="152">
        <v>26657</v>
      </c>
      <c r="D27" s="152">
        <v>29789</v>
      </c>
      <c r="E27" s="152">
        <v>32981</v>
      </c>
      <c r="F27" s="152">
        <v>38049</v>
      </c>
      <c r="G27" s="152">
        <v>34746</v>
      </c>
      <c r="H27" s="152">
        <v>34703</v>
      </c>
      <c r="I27" s="158">
        <f>I122</f>
        <v>58495.903568181275</v>
      </c>
      <c r="J27" s="158">
        <f t="shared" ref="J27:M27" si="8">J122</f>
        <v>64141.53167522922</v>
      </c>
      <c r="K27" s="158">
        <f t="shared" si="8"/>
        <v>69775.532799453737</v>
      </c>
      <c r="L27" s="158">
        <f t="shared" si="8"/>
        <v>78266.950468050331</v>
      </c>
      <c r="M27" s="158">
        <f t="shared" si="8"/>
        <v>92394.32417343049</v>
      </c>
    </row>
    <row r="28" spans="1:13" ht="14.4" customHeight="1" outlineLevel="1" x14ac:dyDescent="0.3">
      <c r="B28" s="159" t="s">
        <v>39</v>
      </c>
      <c r="C28" s="152" t="s">
        <v>40</v>
      </c>
      <c r="D28" s="152" t="s">
        <v>40</v>
      </c>
      <c r="E28" s="152">
        <v>32981</v>
      </c>
      <c r="F28" s="152">
        <v>38049</v>
      </c>
      <c r="G28" s="152">
        <v>34746</v>
      </c>
      <c r="H28" s="152">
        <v>34703</v>
      </c>
    </row>
    <row r="29" spans="1:13" ht="14.4" customHeight="1" outlineLevel="1" x14ac:dyDescent="0.3">
      <c r="A29" s="79"/>
      <c r="B29" s="83" t="s">
        <v>41</v>
      </c>
      <c r="C29" s="152">
        <v>823049</v>
      </c>
      <c r="D29" s="152">
        <v>971829</v>
      </c>
      <c r="E29" s="152">
        <v>1101921</v>
      </c>
      <c r="F29" s="152">
        <v>1338400</v>
      </c>
      <c r="G29" s="152">
        <v>1756482</v>
      </c>
      <c r="H29" s="152">
        <v>2273393</v>
      </c>
      <c r="I29" s="158">
        <f>I125</f>
        <v>2378337.4732680283</v>
      </c>
      <c r="J29" s="158">
        <f t="shared" ref="J29:M29" si="9">J125</f>
        <v>2745970.833253595</v>
      </c>
      <c r="K29" s="158">
        <f t="shared" si="9"/>
        <v>3169562.5040525915</v>
      </c>
      <c r="L29" s="158">
        <f t="shared" si="9"/>
        <v>3747408.2175177969</v>
      </c>
      <c r="M29" s="158">
        <f t="shared" si="9"/>
        <v>4379937.7820373988</v>
      </c>
    </row>
    <row r="30" spans="1:13" ht="14.4" customHeight="1" outlineLevel="1" x14ac:dyDescent="0.3">
      <c r="B30" s="159" t="s">
        <v>42</v>
      </c>
      <c r="C30" s="152" t="s">
        <v>40</v>
      </c>
      <c r="D30" s="152" t="s">
        <v>40</v>
      </c>
      <c r="E30" s="152">
        <v>930938</v>
      </c>
      <c r="F30" s="152">
        <v>1068771</v>
      </c>
      <c r="G30" s="152">
        <v>1494165</v>
      </c>
      <c r="H30" s="152">
        <v>1929867</v>
      </c>
    </row>
    <row r="31" spans="1:13" ht="14.4" customHeight="1" outlineLevel="1" x14ac:dyDescent="0.3">
      <c r="B31" s="159" t="s">
        <v>43</v>
      </c>
      <c r="C31" s="152" t="s">
        <v>40</v>
      </c>
      <c r="D31" s="152" t="s">
        <v>40</v>
      </c>
      <c r="E31" s="152">
        <v>90227</v>
      </c>
      <c r="F31" s="152">
        <v>167855</v>
      </c>
      <c r="G31" s="152">
        <v>160953</v>
      </c>
      <c r="H31" s="152">
        <v>185779</v>
      </c>
    </row>
    <row r="32" spans="1:13" ht="14.4" customHeight="1" outlineLevel="1" x14ac:dyDescent="0.3">
      <c r="B32" s="159" t="s">
        <v>44</v>
      </c>
      <c r="C32" s="152" t="s">
        <v>40</v>
      </c>
      <c r="D32" s="152" t="s">
        <v>40</v>
      </c>
      <c r="E32" s="152">
        <v>80756</v>
      </c>
      <c r="F32" s="152">
        <v>101774</v>
      </c>
      <c r="G32" s="152">
        <v>101364</v>
      </c>
      <c r="H32" s="152">
        <v>157747</v>
      </c>
    </row>
    <row r="33" spans="1:13" ht="14.4" customHeight="1" outlineLevel="1" x14ac:dyDescent="0.3">
      <c r="A33" s="79"/>
      <c r="B33" s="83" t="s">
        <v>45</v>
      </c>
      <c r="C33" s="152">
        <v>566355</v>
      </c>
      <c r="D33" s="152">
        <v>655306</v>
      </c>
      <c r="E33" s="152">
        <v>665666</v>
      </c>
      <c r="F33" s="152">
        <v>717743</v>
      </c>
      <c r="G33" s="152">
        <v>984928</v>
      </c>
      <c r="H33" s="152">
        <v>1144865</v>
      </c>
      <c r="I33" s="158">
        <f>I128</f>
        <v>1369046.3592805502</v>
      </c>
      <c r="J33" s="158">
        <f t="shared" ref="J33:M33" si="10">J128</f>
        <v>1525341.1931491573</v>
      </c>
      <c r="K33" s="158">
        <f t="shared" si="10"/>
        <v>1729125.4773283708</v>
      </c>
      <c r="L33" s="158">
        <f t="shared" si="10"/>
        <v>2050476.9519345178</v>
      </c>
      <c r="M33" s="158">
        <f t="shared" si="10"/>
        <v>2385315.746085363</v>
      </c>
    </row>
    <row r="34" spans="1:13" ht="14.4" customHeight="1" outlineLevel="1" x14ac:dyDescent="0.3">
      <c r="B34" s="159" t="s">
        <v>46</v>
      </c>
      <c r="C34" s="152" t="s">
        <v>40</v>
      </c>
      <c r="D34" s="152" t="s">
        <v>40</v>
      </c>
      <c r="E34" s="152">
        <v>665666</v>
      </c>
      <c r="F34" s="152">
        <v>717743</v>
      </c>
      <c r="G34" s="152">
        <v>984928</v>
      </c>
      <c r="H34" s="152">
        <v>1144865</v>
      </c>
    </row>
    <row r="35" spans="1:13" ht="14.4" customHeight="1" outlineLevel="1" x14ac:dyDescent="0.3">
      <c r="B35" s="82"/>
      <c r="C35" s="152"/>
      <c r="D35" s="152"/>
      <c r="E35" s="152"/>
      <c r="F35" s="152"/>
      <c r="G35" s="152"/>
      <c r="H35" s="152"/>
    </row>
    <row r="36" spans="1:13" s="101" customFormat="1" ht="14.4" customHeight="1" outlineLevel="1" x14ac:dyDescent="0.3">
      <c r="A36" s="80"/>
      <c r="B36" s="89" t="s">
        <v>47</v>
      </c>
      <c r="C36" s="162">
        <v>3781173</v>
      </c>
      <c r="D36" s="162">
        <v>4436660</v>
      </c>
      <c r="E36" s="162">
        <v>4809389</v>
      </c>
      <c r="F36" s="162">
        <v>6166787</v>
      </c>
      <c r="G36" s="162">
        <v>7930970</v>
      </c>
      <c r="H36" s="162">
        <v>9213881</v>
      </c>
      <c r="I36" s="163">
        <f>I10+I19</f>
        <v>10346793.421095349</v>
      </c>
      <c r="J36" s="163">
        <f t="shared" ref="J36:M36" si="11">J10+J19</f>
        <v>11845477.513899334</v>
      </c>
      <c r="K36" s="163">
        <f t="shared" si="11"/>
        <v>13682976.534515362</v>
      </c>
      <c r="L36" s="163">
        <f t="shared" si="11"/>
        <v>16025691.394498721</v>
      </c>
      <c r="M36" s="163">
        <f t="shared" si="11"/>
        <v>18594451.732498355</v>
      </c>
    </row>
    <row r="37" spans="1:13" ht="14.4" customHeight="1" outlineLevel="1" x14ac:dyDescent="0.3">
      <c r="B37" s="82"/>
      <c r="C37" s="152"/>
      <c r="D37" s="152"/>
      <c r="E37" s="152"/>
      <c r="F37" s="152"/>
      <c r="G37" s="152"/>
      <c r="H37" s="152"/>
    </row>
    <row r="38" spans="1:13" ht="14.4" customHeight="1" outlineLevel="1" x14ac:dyDescent="0.3">
      <c r="B38" s="88" t="s">
        <v>48</v>
      </c>
      <c r="C38" s="150">
        <v>659786</v>
      </c>
      <c r="D38" s="150">
        <v>1107623</v>
      </c>
      <c r="E38" s="150">
        <v>1244841</v>
      </c>
      <c r="F38" s="150">
        <v>1600825</v>
      </c>
      <c r="G38" s="150">
        <v>1964667</v>
      </c>
      <c r="H38" s="150">
        <v>2558795</v>
      </c>
      <c r="I38" s="157">
        <f>I39+I42+I45+I49+I53</f>
        <v>2646924.9250326855</v>
      </c>
      <c r="J38" s="157">
        <f t="shared" ref="J38:M38" si="12">J39+J42+J45+J49+J53</f>
        <v>2858073.19568663</v>
      </c>
      <c r="K38" s="157">
        <f t="shared" si="12"/>
        <v>3102712.7987425961</v>
      </c>
      <c r="L38" s="157">
        <f t="shared" si="12"/>
        <v>3386155.9697334096</v>
      </c>
      <c r="M38" s="157">
        <f t="shared" si="12"/>
        <v>3714557.5456750961</v>
      </c>
    </row>
    <row r="39" spans="1:13" ht="14.4" customHeight="1" outlineLevel="1" x14ac:dyDescent="0.3">
      <c r="B39" s="83" t="s">
        <v>49</v>
      </c>
      <c r="C39" s="152">
        <v>54374</v>
      </c>
      <c r="D39" s="152">
        <v>60577</v>
      </c>
      <c r="E39" s="152">
        <v>66427</v>
      </c>
      <c r="F39" s="152">
        <v>97442</v>
      </c>
      <c r="G39" s="152">
        <v>91807</v>
      </c>
      <c r="H39" s="198">
        <v>125458</v>
      </c>
      <c r="I39" s="158">
        <f>I134</f>
        <v>145357.55005304873</v>
      </c>
      <c r="J39" s="158">
        <f t="shared" ref="J39:M39" si="13">J134</f>
        <v>168413.47189836093</v>
      </c>
      <c r="K39" s="158">
        <f t="shared" si="13"/>
        <v>195126.41418700852</v>
      </c>
      <c r="L39" s="158">
        <f t="shared" si="13"/>
        <v>226076.4360731082</v>
      </c>
      <c r="M39" s="158">
        <f t="shared" si="13"/>
        <v>261935.60292936041</v>
      </c>
    </row>
    <row r="40" spans="1:13" ht="14.4" hidden="1" customHeight="1" outlineLevel="1" x14ac:dyDescent="0.3">
      <c r="B40" s="159" t="s">
        <v>50</v>
      </c>
      <c r="C40" s="152" t="s">
        <v>40</v>
      </c>
      <c r="D40" s="152" t="s">
        <v>40</v>
      </c>
      <c r="E40" s="152">
        <v>25731</v>
      </c>
      <c r="F40" s="152">
        <v>49447</v>
      </c>
      <c r="G40" s="152">
        <v>38779</v>
      </c>
      <c r="H40" s="152">
        <v>62626</v>
      </c>
    </row>
    <row r="41" spans="1:13" ht="14.4" hidden="1" customHeight="1" outlineLevel="1" x14ac:dyDescent="0.3">
      <c r="B41" s="159" t="s">
        <v>51</v>
      </c>
      <c r="C41" s="152" t="s">
        <v>40</v>
      </c>
      <c r="D41" s="152" t="s">
        <v>40</v>
      </c>
      <c r="E41" s="152">
        <v>40696</v>
      </c>
      <c r="F41" s="152">
        <v>47995</v>
      </c>
      <c r="G41" s="152">
        <v>53028</v>
      </c>
      <c r="H41" s="152">
        <v>62832</v>
      </c>
    </row>
    <row r="42" spans="1:13" ht="14.4" customHeight="1" outlineLevel="1" x14ac:dyDescent="0.3">
      <c r="B42" s="83" t="s">
        <v>52</v>
      </c>
      <c r="C42" s="152">
        <v>365134</v>
      </c>
      <c r="D42" s="152">
        <v>423204</v>
      </c>
      <c r="E42" s="152">
        <v>517270</v>
      </c>
      <c r="F42" s="152">
        <v>673599</v>
      </c>
      <c r="G42" s="152">
        <v>1101036</v>
      </c>
      <c r="H42" s="152">
        <v>1023498</v>
      </c>
      <c r="I42" s="158">
        <f>I136</f>
        <v>1185840.3749796369</v>
      </c>
      <c r="J42" s="158">
        <f t="shared" ref="J42:M42" si="14">J136</f>
        <v>1373932.7237882689</v>
      </c>
      <c r="K42" s="158">
        <f t="shared" si="14"/>
        <v>1591859.3845555873</v>
      </c>
      <c r="L42" s="158">
        <f t="shared" si="14"/>
        <v>1844352.5336603017</v>
      </c>
      <c r="M42" s="158">
        <f t="shared" si="14"/>
        <v>2136894.9427457359</v>
      </c>
    </row>
    <row r="43" spans="1:13" ht="0.6" customHeight="1" outlineLevel="1" x14ac:dyDescent="0.3">
      <c r="B43" s="159" t="s">
        <v>53</v>
      </c>
      <c r="C43" s="152" t="s">
        <v>40</v>
      </c>
      <c r="D43" s="152" t="s">
        <v>40</v>
      </c>
      <c r="E43" s="152">
        <v>448083</v>
      </c>
      <c r="F43" s="152">
        <v>600280</v>
      </c>
      <c r="G43" s="152">
        <v>1021353</v>
      </c>
      <c r="H43" s="152">
        <v>903448</v>
      </c>
    </row>
    <row r="44" spans="1:13" ht="0.6" customHeight="1" outlineLevel="1" x14ac:dyDescent="0.3">
      <c r="B44" s="159" t="s">
        <v>54</v>
      </c>
      <c r="C44" s="152" t="s">
        <v>40</v>
      </c>
      <c r="D44" s="152" t="s">
        <v>40</v>
      </c>
      <c r="E44" s="152">
        <v>69187</v>
      </c>
      <c r="F44" s="152">
        <v>73319</v>
      </c>
      <c r="G44" s="152">
        <v>79683</v>
      </c>
      <c r="H44" s="152">
        <v>120050</v>
      </c>
    </row>
    <row r="45" spans="1:13" ht="14.4" customHeight="1" outlineLevel="1" x14ac:dyDescent="0.3">
      <c r="A45" s="154"/>
      <c r="B45" s="83" t="s">
        <v>55</v>
      </c>
      <c r="C45" s="152">
        <v>26299</v>
      </c>
      <c r="D45" s="152">
        <v>49701</v>
      </c>
      <c r="E45" s="152">
        <v>14943</v>
      </c>
      <c r="F45" s="152">
        <v>34871</v>
      </c>
      <c r="G45" s="152">
        <v>47922</v>
      </c>
      <c r="H45" s="152">
        <v>36409</v>
      </c>
      <c r="I45" s="158">
        <f t="shared" ref="I45:I52" si="15">H45</f>
        <v>36409</v>
      </c>
      <c r="J45" s="158">
        <f t="shared" ref="J45:M45" si="16">I45</f>
        <v>36409</v>
      </c>
      <c r="K45" s="158">
        <f t="shared" si="16"/>
        <v>36409</v>
      </c>
      <c r="L45" s="158">
        <f t="shared" si="16"/>
        <v>36409</v>
      </c>
      <c r="M45" s="158">
        <f t="shared" si="16"/>
        <v>36409</v>
      </c>
    </row>
    <row r="46" spans="1:13" ht="14.4" hidden="1" customHeight="1" outlineLevel="1" x14ac:dyDescent="0.3">
      <c r="B46" s="159" t="s">
        <v>56</v>
      </c>
      <c r="C46" s="152" t="s">
        <v>40</v>
      </c>
      <c r="D46" s="152" t="s">
        <v>40</v>
      </c>
      <c r="E46" s="152">
        <v>5496</v>
      </c>
      <c r="F46" s="152">
        <v>17881</v>
      </c>
      <c r="G46" s="152">
        <v>27946</v>
      </c>
      <c r="H46" s="152">
        <v>24042</v>
      </c>
      <c r="I46" s="158"/>
      <c r="J46" s="158"/>
      <c r="K46" s="158"/>
      <c r="L46" s="158"/>
      <c r="M46" s="158"/>
    </row>
    <row r="47" spans="1:13" ht="14.4" hidden="1" customHeight="1" outlineLevel="1" x14ac:dyDescent="0.3">
      <c r="B47" s="159" t="s">
        <v>57</v>
      </c>
      <c r="C47" s="152" t="s">
        <v>40</v>
      </c>
      <c r="D47" s="152" t="s">
        <v>40</v>
      </c>
      <c r="E47" s="152">
        <v>9133</v>
      </c>
      <c r="F47" s="152">
        <v>16706</v>
      </c>
      <c r="G47" s="152">
        <v>19643</v>
      </c>
      <c r="H47" s="152">
        <v>11549</v>
      </c>
      <c r="I47" s="158"/>
      <c r="J47" s="158"/>
      <c r="K47" s="158"/>
      <c r="L47" s="158"/>
      <c r="M47" s="158"/>
    </row>
    <row r="48" spans="1:13" ht="14.4" hidden="1" customHeight="1" outlineLevel="1" x14ac:dyDescent="0.3">
      <c r="B48" s="159" t="s">
        <v>58</v>
      </c>
      <c r="C48" s="152" t="s">
        <v>40</v>
      </c>
      <c r="D48" s="152" t="s">
        <v>40</v>
      </c>
      <c r="E48" s="152">
        <v>314</v>
      </c>
      <c r="F48" s="152">
        <v>284</v>
      </c>
      <c r="G48" s="152">
        <v>333</v>
      </c>
      <c r="H48" s="152">
        <v>818</v>
      </c>
      <c r="I48" s="158"/>
      <c r="J48" s="158"/>
      <c r="K48" s="158"/>
      <c r="L48" s="158"/>
      <c r="M48" s="158"/>
    </row>
    <row r="49" spans="1:13" ht="14.4" customHeight="1" outlineLevel="1" x14ac:dyDescent="0.3">
      <c r="A49" s="154"/>
      <c r="B49" s="83" t="s">
        <v>59</v>
      </c>
      <c r="C49" s="152">
        <v>159878</v>
      </c>
      <c r="D49" s="152">
        <v>514114</v>
      </c>
      <c r="E49" s="152">
        <v>586591</v>
      </c>
      <c r="F49" s="152">
        <v>703141</v>
      </c>
      <c r="G49" s="152">
        <v>623139</v>
      </c>
      <c r="H49" s="152">
        <v>1178555</v>
      </c>
      <c r="I49" s="158">
        <f t="shared" si="15"/>
        <v>1178555</v>
      </c>
      <c r="J49" s="158">
        <f t="shared" ref="J49:M49" si="17">I49</f>
        <v>1178555</v>
      </c>
      <c r="K49" s="158">
        <f t="shared" si="17"/>
        <v>1178555</v>
      </c>
      <c r="L49" s="158">
        <f t="shared" si="17"/>
        <v>1178555</v>
      </c>
      <c r="M49" s="158">
        <f t="shared" si="17"/>
        <v>1178555</v>
      </c>
    </row>
    <row r="50" spans="1:13" ht="14.4" hidden="1" customHeight="1" outlineLevel="1" x14ac:dyDescent="0.3">
      <c r="B50" s="159" t="s">
        <v>60</v>
      </c>
      <c r="C50" s="152">
        <v>150898</v>
      </c>
      <c r="D50" s="152">
        <v>291618</v>
      </c>
      <c r="E50" s="152">
        <v>560639</v>
      </c>
      <c r="F50" s="152">
        <v>682135</v>
      </c>
      <c r="G50" s="152">
        <v>599910</v>
      </c>
      <c r="H50" s="152">
        <v>1147143</v>
      </c>
      <c r="I50" s="158"/>
      <c r="J50" s="158"/>
      <c r="K50" s="158"/>
      <c r="L50" s="158"/>
      <c r="M50" s="158"/>
    </row>
    <row r="51" spans="1:13" ht="14.4" hidden="1" customHeight="1" outlineLevel="1" x14ac:dyDescent="0.3">
      <c r="B51" s="159" t="s">
        <v>61</v>
      </c>
      <c r="C51" s="152">
        <v>8980</v>
      </c>
      <c r="D51" s="152">
        <v>222496</v>
      </c>
      <c r="E51" s="152">
        <v>0</v>
      </c>
      <c r="F51" s="152">
        <v>0</v>
      </c>
      <c r="G51" s="152">
        <v>0</v>
      </c>
      <c r="H51" s="152">
        <v>0</v>
      </c>
      <c r="I51" s="195"/>
      <c r="J51" s="195"/>
      <c r="K51" s="195"/>
      <c r="L51" s="195"/>
      <c r="M51" s="195"/>
    </row>
    <row r="52" spans="1:13" ht="14.4" hidden="1" customHeight="1" outlineLevel="1" x14ac:dyDescent="0.3">
      <c r="B52" s="159" t="s">
        <v>62</v>
      </c>
      <c r="C52" s="152">
        <v>0</v>
      </c>
      <c r="D52" s="152">
        <v>0</v>
      </c>
      <c r="E52" s="152">
        <v>25952</v>
      </c>
      <c r="F52" s="152">
        <v>21006</v>
      </c>
      <c r="G52" s="152">
        <v>23229</v>
      </c>
      <c r="H52" s="152">
        <v>31412</v>
      </c>
      <c r="I52" s="158"/>
      <c r="J52" s="158"/>
      <c r="K52" s="158"/>
      <c r="L52" s="158"/>
      <c r="M52" s="158"/>
    </row>
    <row r="53" spans="1:13" ht="14.4" customHeight="1" outlineLevel="1" x14ac:dyDescent="0.3">
      <c r="A53" s="155"/>
      <c r="B53" s="83" t="s">
        <v>63</v>
      </c>
      <c r="C53" s="152">
        <v>54101</v>
      </c>
      <c r="D53" s="152">
        <v>60027</v>
      </c>
      <c r="E53" s="152">
        <v>59610</v>
      </c>
      <c r="F53" s="152">
        <v>91772</v>
      </c>
      <c r="G53" s="152">
        <v>100763</v>
      </c>
      <c r="H53" s="152">
        <v>194875</v>
      </c>
      <c r="I53" s="158">
        <f>G53</f>
        <v>100763</v>
      </c>
      <c r="J53" s="158">
        <f>G53</f>
        <v>100763</v>
      </c>
      <c r="K53" s="158">
        <f t="shared" ref="K53:M53" si="18">I53</f>
        <v>100763</v>
      </c>
      <c r="L53" s="158">
        <f t="shared" si="18"/>
        <v>100763</v>
      </c>
      <c r="M53" s="158">
        <f t="shared" si="18"/>
        <v>100763</v>
      </c>
    </row>
    <row r="54" spans="1:13" ht="14.4" hidden="1" customHeight="1" outlineLevel="1" x14ac:dyDescent="0.3">
      <c r="B54" s="159" t="s">
        <v>64</v>
      </c>
      <c r="C54" s="152">
        <v>5055</v>
      </c>
      <c r="D54" s="152">
        <v>3885</v>
      </c>
      <c r="E54" s="152">
        <v>4188</v>
      </c>
      <c r="F54" s="152">
        <v>21745</v>
      </c>
      <c r="G54" s="152">
        <v>20679</v>
      </c>
      <c r="H54" s="152">
        <v>35896</v>
      </c>
    </row>
    <row r="55" spans="1:13" ht="14.4" hidden="1" customHeight="1" outlineLevel="1" x14ac:dyDescent="0.3">
      <c r="B55" s="159" t="s">
        <v>65</v>
      </c>
      <c r="C55" s="152">
        <v>49046</v>
      </c>
      <c r="D55" s="152">
        <v>56142</v>
      </c>
      <c r="E55" s="152">
        <v>55422</v>
      </c>
      <c r="F55" s="152">
        <v>70027</v>
      </c>
      <c r="G55" s="152">
        <v>80084</v>
      </c>
      <c r="H55" s="152">
        <v>158979</v>
      </c>
    </row>
    <row r="56" spans="1:13" ht="14.4" customHeight="1" outlineLevel="1" x14ac:dyDescent="0.3">
      <c r="B56" s="159"/>
      <c r="C56" s="152"/>
      <c r="D56" s="152"/>
      <c r="E56" s="152"/>
      <c r="F56" s="152"/>
      <c r="G56" s="152"/>
      <c r="H56" s="152"/>
    </row>
    <row r="57" spans="1:13" ht="14.4" customHeight="1" outlineLevel="1" x14ac:dyDescent="0.3">
      <c r="B57" s="88" t="s">
        <v>66</v>
      </c>
      <c r="C57" s="150">
        <v>1300290</v>
      </c>
      <c r="D57" s="150">
        <v>1159922</v>
      </c>
      <c r="E57" s="150">
        <v>1315176</v>
      </c>
      <c r="F57" s="150">
        <v>1857254</v>
      </c>
      <c r="G57" s="150">
        <v>3087302</v>
      </c>
      <c r="H57" s="150">
        <v>3655664</v>
      </c>
      <c r="I57" s="157">
        <f>I58+I62+I63+I64</f>
        <v>3336130.5163968829</v>
      </c>
      <c r="J57" s="157">
        <f t="shared" ref="J57:M57" si="19">J58+J62+J63+J64</f>
        <v>3346078.2873376631</v>
      </c>
      <c r="K57" s="157">
        <f t="shared" si="19"/>
        <v>3358627.4070379906</v>
      </c>
      <c r="L57" s="157">
        <f t="shared" si="19"/>
        <v>3385237.113533942</v>
      </c>
      <c r="M57" s="157">
        <f t="shared" si="19"/>
        <v>3408111.4378402326</v>
      </c>
    </row>
    <row r="58" spans="1:13" ht="14.4" customHeight="1" outlineLevel="1" x14ac:dyDescent="0.3">
      <c r="B58" s="83" t="s">
        <v>67</v>
      </c>
      <c r="C58" s="152">
        <v>1125811</v>
      </c>
      <c r="D58" s="152">
        <v>914745</v>
      </c>
      <c r="E58" s="152">
        <v>1107736</v>
      </c>
      <c r="F58" s="152">
        <v>1661479</v>
      </c>
      <c r="G58" s="152">
        <v>2806874</v>
      </c>
      <c r="H58" s="152">
        <v>2998087</v>
      </c>
      <c r="I58" s="165">
        <f t="shared" ref="I58:I63" si="20">H58</f>
        <v>2998087</v>
      </c>
      <c r="J58" s="165">
        <f t="shared" ref="J58:M58" si="21">I58</f>
        <v>2998087</v>
      </c>
      <c r="K58" s="165">
        <f t="shared" si="21"/>
        <v>2998087</v>
      </c>
      <c r="L58" s="165">
        <f t="shared" si="21"/>
        <v>2998087</v>
      </c>
      <c r="M58" s="165">
        <f t="shared" si="21"/>
        <v>2998087</v>
      </c>
    </row>
    <row r="59" spans="1:13" ht="14.4" hidden="1" customHeight="1" outlineLevel="1" x14ac:dyDescent="0.3">
      <c r="A59" s="154"/>
      <c r="B59" s="159" t="s">
        <v>68</v>
      </c>
      <c r="C59" s="152">
        <v>159105</v>
      </c>
      <c r="D59" s="152">
        <v>157103</v>
      </c>
      <c r="E59" s="152">
        <v>1042255</v>
      </c>
      <c r="F59" s="152">
        <v>1513186</v>
      </c>
      <c r="G59" s="152">
        <v>2663820</v>
      </c>
      <c r="H59" s="152">
        <v>2835058</v>
      </c>
      <c r="I59" s="158">
        <f t="shared" si="20"/>
        <v>2835058</v>
      </c>
      <c r="J59" s="158">
        <f t="shared" ref="J59:M61" si="22">I59</f>
        <v>2835058</v>
      </c>
      <c r="K59" s="158">
        <f t="shared" si="22"/>
        <v>2835058</v>
      </c>
      <c r="L59" s="158">
        <f t="shared" si="22"/>
        <v>2835058</v>
      </c>
      <c r="M59" s="158">
        <f t="shared" si="22"/>
        <v>2835058</v>
      </c>
    </row>
    <row r="60" spans="1:13" ht="16.8" hidden="1" customHeight="1" outlineLevel="1" x14ac:dyDescent="0.3">
      <c r="B60" s="159" t="s">
        <v>69</v>
      </c>
      <c r="C60" s="152">
        <v>966706</v>
      </c>
      <c r="D60" s="152">
        <v>757642</v>
      </c>
      <c r="E60" s="152">
        <v>0</v>
      </c>
      <c r="F60" s="152">
        <v>0</v>
      </c>
      <c r="G60" s="152">
        <v>0</v>
      </c>
      <c r="H60" s="152">
        <v>0</v>
      </c>
      <c r="I60" s="158">
        <f t="shared" si="20"/>
        <v>0</v>
      </c>
      <c r="J60" s="158">
        <f t="shared" si="22"/>
        <v>0</v>
      </c>
      <c r="K60" s="158">
        <f t="shared" si="22"/>
        <v>0</v>
      </c>
      <c r="L60" s="158">
        <f t="shared" si="22"/>
        <v>0</v>
      </c>
      <c r="M60" s="158">
        <f t="shared" si="22"/>
        <v>0</v>
      </c>
    </row>
    <row r="61" spans="1:13" ht="14.4" hidden="1" customHeight="1" outlineLevel="1" x14ac:dyDescent="0.3">
      <c r="A61" s="154"/>
      <c r="B61" s="159" t="s">
        <v>70</v>
      </c>
      <c r="C61" s="152">
        <v>0</v>
      </c>
      <c r="D61" s="152">
        <v>0</v>
      </c>
      <c r="E61" s="152">
        <v>65481</v>
      </c>
      <c r="F61" s="152">
        <v>148293</v>
      </c>
      <c r="G61" s="152">
        <v>143054</v>
      </c>
      <c r="H61" s="152">
        <v>163029</v>
      </c>
      <c r="I61" s="158">
        <f t="shared" si="20"/>
        <v>163029</v>
      </c>
      <c r="J61" s="158">
        <f t="shared" si="22"/>
        <v>163029</v>
      </c>
      <c r="K61" s="158">
        <f t="shared" si="22"/>
        <v>163029</v>
      </c>
      <c r="L61" s="158">
        <f t="shared" si="22"/>
        <v>163029</v>
      </c>
      <c r="M61" s="158">
        <f t="shared" si="22"/>
        <v>163029</v>
      </c>
    </row>
    <row r="62" spans="1:13" ht="14.4" customHeight="1" outlineLevel="1" x14ac:dyDescent="0.3">
      <c r="A62" s="155"/>
      <c r="B62" s="83" t="s">
        <v>71</v>
      </c>
      <c r="C62" s="152">
        <v>1148</v>
      </c>
      <c r="D62" s="152">
        <v>79264</v>
      </c>
      <c r="E62" s="152">
        <v>64011</v>
      </c>
      <c r="F62" s="152">
        <v>57596</v>
      </c>
      <c r="G62" s="152">
        <v>131240</v>
      </c>
      <c r="H62" s="152">
        <v>129639</v>
      </c>
      <c r="I62" s="158">
        <f t="shared" si="20"/>
        <v>129639</v>
      </c>
      <c r="J62" s="158">
        <f t="shared" ref="J62:M62" si="23">I62</f>
        <v>129639</v>
      </c>
      <c r="K62" s="158">
        <f t="shared" si="23"/>
        <v>129639</v>
      </c>
      <c r="L62" s="158">
        <f t="shared" si="23"/>
        <v>129639</v>
      </c>
      <c r="M62" s="158">
        <f t="shared" si="23"/>
        <v>129639</v>
      </c>
    </row>
    <row r="63" spans="1:13" ht="14.4" customHeight="1" outlineLevel="1" x14ac:dyDescent="0.3">
      <c r="B63" s="83" t="s">
        <v>72</v>
      </c>
      <c r="C63" s="152">
        <v>137843</v>
      </c>
      <c r="D63" s="152">
        <v>128811</v>
      </c>
      <c r="E63" s="152">
        <v>101186</v>
      </c>
      <c r="F63" s="152">
        <v>113325</v>
      </c>
      <c r="G63" s="152">
        <v>102984</v>
      </c>
      <c r="H63" s="152">
        <v>154907</v>
      </c>
      <c r="I63" s="165">
        <f t="shared" si="20"/>
        <v>154907</v>
      </c>
      <c r="J63" s="165">
        <f t="shared" ref="J63:M63" si="24">I63</f>
        <v>154907</v>
      </c>
      <c r="K63" s="165">
        <f t="shared" si="24"/>
        <v>154907</v>
      </c>
      <c r="L63" s="165">
        <f t="shared" si="24"/>
        <v>154907</v>
      </c>
      <c r="M63" s="165">
        <f t="shared" si="24"/>
        <v>154907</v>
      </c>
    </row>
    <row r="64" spans="1:13" ht="14.4" customHeight="1" outlineLevel="1" x14ac:dyDescent="0.3">
      <c r="B64" s="83" t="s">
        <v>73</v>
      </c>
      <c r="C64" s="152">
        <v>35488</v>
      </c>
      <c r="D64" s="152">
        <v>37102</v>
      </c>
      <c r="E64" s="152">
        <v>42243</v>
      </c>
      <c r="F64" s="152">
        <v>24854</v>
      </c>
      <c r="G64" s="152">
        <v>46204</v>
      </c>
      <c r="H64" s="198">
        <v>373031</v>
      </c>
      <c r="I64" s="158">
        <f>I141</f>
        <v>53497.516396882915</v>
      </c>
      <c r="J64" s="158">
        <f t="shared" ref="J64:M64" si="25">J141</f>
        <v>63445.287337663074</v>
      </c>
      <c r="K64" s="158">
        <f t="shared" si="25"/>
        <v>75994.407037990444</v>
      </c>
      <c r="L64" s="158">
        <f t="shared" si="25"/>
        <v>102604.11353394199</v>
      </c>
      <c r="M64" s="158">
        <f t="shared" si="25"/>
        <v>125478.43784023245</v>
      </c>
    </row>
    <row r="65" spans="1:13" ht="14.4" customHeight="1" outlineLevel="1" x14ac:dyDescent="0.3">
      <c r="B65" s="82"/>
      <c r="C65" s="152"/>
      <c r="D65" s="152"/>
      <c r="E65" s="152"/>
      <c r="F65" s="152"/>
      <c r="G65" s="152"/>
      <c r="H65" s="152"/>
    </row>
    <row r="66" spans="1:13" ht="14.4" customHeight="1" outlineLevel="1" x14ac:dyDescent="0.3">
      <c r="B66" s="88" t="s">
        <v>74</v>
      </c>
      <c r="C66" s="150">
        <v>1821097</v>
      </c>
      <c r="D66" s="150">
        <v>2169115</v>
      </c>
      <c r="E66" s="150">
        <v>2249372</v>
      </c>
      <c r="F66" s="150">
        <v>2708708</v>
      </c>
      <c r="G66" s="150">
        <v>2879001</v>
      </c>
      <c r="H66" s="150">
        <v>2999422</v>
      </c>
      <c r="I66" s="157">
        <f>I67+I68+I69+I73+I78</f>
        <v>3082593.622632748</v>
      </c>
      <c r="J66" s="157">
        <f t="shared" ref="J66:M66" si="26">J67+J68+J69+J73+J78</f>
        <v>3275995.132919074</v>
      </c>
      <c r="K66" s="157">
        <f t="shared" si="26"/>
        <v>3527893.4550684122</v>
      </c>
      <c r="L66" s="157">
        <f t="shared" si="26"/>
        <v>3805084.4320879597</v>
      </c>
      <c r="M66" s="157">
        <f t="shared" si="26"/>
        <v>4063812.1730923858</v>
      </c>
    </row>
    <row r="67" spans="1:13" ht="14.4" customHeight="1" outlineLevel="1" x14ac:dyDescent="0.3">
      <c r="B67" s="83" t="s">
        <v>75</v>
      </c>
      <c r="C67" s="152">
        <v>0</v>
      </c>
      <c r="D67" s="152">
        <v>0</v>
      </c>
      <c r="E67" s="152">
        <v>0</v>
      </c>
      <c r="F67" s="152">
        <v>0</v>
      </c>
      <c r="G67" s="152">
        <v>201</v>
      </c>
      <c r="H67" s="152">
        <v>229</v>
      </c>
      <c r="I67" s="160">
        <v>0</v>
      </c>
      <c r="J67" s="160">
        <v>0</v>
      </c>
      <c r="K67" s="160">
        <v>0</v>
      </c>
      <c r="L67" s="160">
        <v>0</v>
      </c>
      <c r="M67" s="160">
        <v>0</v>
      </c>
    </row>
    <row r="68" spans="1:13" ht="14.4" customHeight="1" outlineLevel="1" x14ac:dyDescent="0.3">
      <c r="A68" s="154"/>
      <c r="B68" s="82" t="s">
        <v>76</v>
      </c>
      <c r="C68" s="152">
        <v>938260</v>
      </c>
      <c r="D68" s="152">
        <v>937994</v>
      </c>
      <c r="E68" s="152">
        <v>937994</v>
      </c>
      <c r="F68" s="152">
        <v>937994</v>
      </c>
      <c r="G68" s="152">
        <v>937994</v>
      </c>
      <c r="H68" s="152">
        <v>937994</v>
      </c>
      <c r="I68" s="158">
        <f>H68</f>
        <v>937994</v>
      </c>
      <c r="J68" s="158">
        <f t="shared" ref="J68:M68" si="27">I68</f>
        <v>937994</v>
      </c>
      <c r="K68" s="158">
        <f t="shared" si="27"/>
        <v>937994</v>
      </c>
      <c r="L68" s="158">
        <f t="shared" si="27"/>
        <v>937994</v>
      </c>
      <c r="M68" s="158">
        <f t="shared" si="27"/>
        <v>937994</v>
      </c>
    </row>
    <row r="69" spans="1:13" ht="14.4" customHeight="1" outlineLevel="1" x14ac:dyDescent="0.3">
      <c r="A69" s="154"/>
      <c r="B69" s="82" t="s">
        <v>77</v>
      </c>
      <c r="C69" s="152">
        <v>50891</v>
      </c>
      <c r="D69" s="152">
        <v>28063</v>
      </c>
      <c r="E69" s="152">
        <v>5115</v>
      </c>
      <c r="F69" s="152">
        <v>-34913</v>
      </c>
      <c r="G69" s="152">
        <v>-92481</v>
      </c>
      <c r="H69" s="152">
        <v>15775</v>
      </c>
      <c r="I69" s="103">
        <f>H69</f>
        <v>15775</v>
      </c>
      <c r="J69" s="103">
        <f t="shared" ref="J69:M71" si="28">I69</f>
        <v>15775</v>
      </c>
      <c r="K69" s="103">
        <f t="shared" si="28"/>
        <v>15775</v>
      </c>
      <c r="L69" s="103">
        <f t="shared" si="28"/>
        <v>15775</v>
      </c>
      <c r="M69" s="103">
        <f t="shared" si="28"/>
        <v>15775</v>
      </c>
    </row>
    <row r="70" spans="1:13" ht="14.4" customHeight="1" outlineLevel="1" x14ac:dyDescent="0.3">
      <c r="B70" s="82" t="s">
        <v>78</v>
      </c>
      <c r="C70" s="152">
        <v>70510</v>
      </c>
      <c r="D70" s="152">
        <v>70510</v>
      </c>
      <c r="E70" s="152">
        <v>220</v>
      </c>
      <c r="F70" s="152">
        <v>220</v>
      </c>
      <c r="G70" s="152">
        <v>220</v>
      </c>
      <c r="H70" s="152">
        <v>220</v>
      </c>
      <c r="I70" s="158">
        <f>H70</f>
        <v>220</v>
      </c>
      <c r="J70" s="158">
        <f t="shared" si="28"/>
        <v>220</v>
      </c>
      <c r="K70" s="158">
        <f t="shared" si="28"/>
        <v>220</v>
      </c>
      <c r="L70" s="158">
        <f t="shared" si="28"/>
        <v>220</v>
      </c>
      <c r="M70" s="158">
        <f t="shared" si="28"/>
        <v>220</v>
      </c>
    </row>
    <row r="71" spans="1:13" ht="14.4" customHeight="1" outlineLevel="1" x14ac:dyDescent="0.3">
      <c r="B71" s="82" t="s">
        <v>79</v>
      </c>
      <c r="C71" s="152">
        <v>725</v>
      </c>
      <c r="D71" s="152">
        <v>2787</v>
      </c>
      <c r="E71" s="152">
        <v>4895</v>
      </c>
      <c r="F71" s="152">
        <v>9281</v>
      </c>
      <c r="G71" s="152">
        <v>13051</v>
      </c>
      <c r="H71" s="152">
        <v>18968</v>
      </c>
      <c r="I71" s="166">
        <f>H71</f>
        <v>18968</v>
      </c>
      <c r="J71" s="166">
        <f t="shared" si="28"/>
        <v>18968</v>
      </c>
      <c r="K71" s="166">
        <f t="shared" si="28"/>
        <v>18968</v>
      </c>
      <c r="L71" s="166">
        <f t="shared" si="28"/>
        <v>18968</v>
      </c>
      <c r="M71" s="166">
        <f t="shared" si="28"/>
        <v>18968</v>
      </c>
    </row>
    <row r="72" spans="1:13" s="170" customFormat="1" ht="14.4" customHeight="1" outlineLevel="1" x14ac:dyDescent="0.3">
      <c r="A72" s="167"/>
      <c r="B72" s="168" t="s">
        <v>80</v>
      </c>
      <c r="C72" s="152">
        <v>-20344</v>
      </c>
      <c r="D72" s="152">
        <v>-45234</v>
      </c>
      <c r="E72" s="152">
        <v>0</v>
      </c>
      <c r="F72" s="152">
        <v>-44414</v>
      </c>
      <c r="G72" s="152">
        <v>-105752</v>
      </c>
      <c r="H72" s="152">
        <v>-3413</v>
      </c>
      <c r="I72" s="169">
        <f>H72</f>
        <v>-3413</v>
      </c>
      <c r="J72" s="169">
        <f t="shared" ref="J72:M72" si="29">I72</f>
        <v>-3413</v>
      </c>
      <c r="K72" s="169">
        <f t="shared" si="29"/>
        <v>-3413</v>
      </c>
      <c r="L72" s="169">
        <f t="shared" si="29"/>
        <v>-3413</v>
      </c>
      <c r="M72" s="169">
        <f t="shared" si="29"/>
        <v>-3413</v>
      </c>
    </row>
    <row r="73" spans="1:13" ht="15" customHeight="1" outlineLevel="1" x14ac:dyDescent="0.3">
      <c r="B73" s="82" t="s">
        <v>81</v>
      </c>
      <c r="C73" s="152">
        <v>569481</v>
      </c>
      <c r="D73" s="152">
        <v>871015</v>
      </c>
      <c r="E73" s="152">
        <v>870584</v>
      </c>
      <c r="F73" s="152">
        <v>1083937</v>
      </c>
      <c r="G73" s="152">
        <v>1470839</v>
      </c>
      <c r="H73" s="152">
        <v>1494546</v>
      </c>
      <c r="I73" s="158">
        <f>SUM(I74:I77)</f>
        <v>1577946.622632748</v>
      </c>
      <c r="J73" s="158">
        <f t="shared" ref="J73:M73" si="30">SUM(J74:J77)</f>
        <v>1771348.132919074</v>
      </c>
      <c r="K73" s="158">
        <f t="shared" si="30"/>
        <v>2023246.455068412</v>
      </c>
      <c r="L73" s="158">
        <f t="shared" si="30"/>
        <v>2300437.4320879597</v>
      </c>
      <c r="M73" s="158">
        <f t="shared" si="30"/>
        <v>2559165.1730923858</v>
      </c>
    </row>
    <row r="74" spans="1:13" ht="15" customHeight="1" outlineLevel="1" x14ac:dyDescent="0.3">
      <c r="B74" s="82" t="s">
        <v>82</v>
      </c>
      <c r="C74" s="171" t="s">
        <v>40</v>
      </c>
      <c r="D74" s="171" t="s">
        <v>40</v>
      </c>
      <c r="E74" s="152">
        <v>74755</v>
      </c>
      <c r="F74" s="152">
        <v>88008</v>
      </c>
      <c r="G74" s="152">
        <v>105518</v>
      </c>
      <c r="H74" s="152">
        <v>120055</v>
      </c>
      <c r="I74" s="158">
        <f>I148</f>
        <v>16405.948290455002</v>
      </c>
      <c r="J74" s="158">
        <f>J148</f>
        <v>21409.271465598704</v>
      </c>
      <c r="K74" s="158">
        <f>K148</f>
        <v>27344.15386142633</v>
      </c>
      <c r="L74" s="158">
        <f>L148</f>
        <v>30230.181341857951</v>
      </c>
      <c r="M74" s="158">
        <f>M148</f>
        <v>32827.392446730424</v>
      </c>
    </row>
    <row r="75" spans="1:13" ht="15" customHeight="1" outlineLevel="1" x14ac:dyDescent="0.3">
      <c r="B75" s="82" t="s">
        <v>83</v>
      </c>
      <c r="C75" s="171" t="s">
        <v>40</v>
      </c>
      <c r="D75" s="171" t="s">
        <v>40</v>
      </c>
      <c r="E75" s="152">
        <v>75400</v>
      </c>
      <c r="F75" s="152">
        <v>77885</v>
      </c>
      <c r="G75" s="152">
        <v>319700</v>
      </c>
      <c r="H75" s="152">
        <v>266187</v>
      </c>
      <c r="I75" s="166">
        <f>I152</f>
        <v>453236.67434229306</v>
      </c>
      <c r="J75" s="166">
        <f t="shared" ref="J75:M75" si="31">J152</f>
        <v>641634.86145347543</v>
      </c>
      <c r="K75" s="166">
        <f t="shared" si="31"/>
        <v>887598.30120698572</v>
      </c>
      <c r="L75" s="166">
        <f t="shared" si="31"/>
        <v>1161903.2507461018</v>
      </c>
      <c r="M75" s="166">
        <f t="shared" si="31"/>
        <v>1418033.780645655</v>
      </c>
    </row>
    <row r="76" spans="1:13" ht="15" customHeight="1" outlineLevel="1" x14ac:dyDescent="0.3">
      <c r="B76" s="82" t="s">
        <v>84</v>
      </c>
      <c r="C76" s="171" t="s">
        <v>40</v>
      </c>
      <c r="D76" s="171" t="s">
        <v>40</v>
      </c>
      <c r="E76" s="152">
        <v>0</v>
      </c>
      <c r="F76" s="152">
        <v>0</v>
      </c>
      <c r="G76" s="152">
        <v>0</v>
      </c>
      <c r="H76" s="152">
        <v>0</v>
      </c>
      <c r="I76" s="152">
        <v>0</v>
      </c>
      <c r="J76" s="152">
        <v>0</v>
      </c>
      <c r="K76" s="152">
        <v>0</v>
      </c>
      <c r="L76" s="152">
        <v>0</v>
      </c>
      <c r="M76" s="152">
        <v>0</v>
      </c>
    </row>
    <row r="77" spans="1:13" ht="15" customHeight="1" outlineLevel="1" x14ac:dyDescent="0.3">
      <c r="A77" s="154"/>
      <c r="B77" s="82" t="s">
        <v>85</v>
      </c>
      <c r="C77" s="171" t="s">
        <v>40</v>
      </c>
      <c r="D77" s="171" t="s">
        <v>40</v>
      </c>
      <c r="E77" s="152">
        <v>720429</v>
      </c>
      <c r="F77" s="152">
        <v>918044</v>
      </c>
      <c r="G77" s="152">
        <v>1045621</v>
      </c>
      <c r="H77" s="152">
        <v>1108304</v>
      </c>
      <c r="I77" s="153">
        <f>H77</f>
        <v>1108304</v>
      </c>
      <c r="J77" s="153">
        <f t="shared" ref="J77:M77" si="32">I77</f>
        <v>1108304</v>
      </c>
      <c r="K77" s="153">
        <f t="shared" si="32"/>
        <v>1108304</v>
      </c>
      <c r="L77" s="153">
        <f t="shared" si="32"/>
        <v>1108304</v>
      </c>
      <c r="M77" s="153">
        <f t="shared" si="32"/>
        <v>1108304</v>
      </c>
    </row>
    <row r="78" spans="1:13" ht="15" customHeight="1" outlineLevel="1" x14ac:dyDescent="0.3">
      <c r="A78" s="155"/>
      <c r="B78" s="82" t="s">
        <v>86</v>
      </c>
      <c r="C78" s="171">
        <v>262465</v>
      </c>
      <c r="D78" s="171">
        <v>332043</v>
      </c>
      <c r="E78" s="152">
        <v>435679</v>
      </c>
      <c r="F78" s="152">
        <v>721690</v>
      </c>
      <c r="G78" s="152">
        <v>562448</v>
      </c>
      <c r="H78" s="152">
        <v>550878</v>
      </c>
      <c r="I78" s="158">
        <f>H78</f>
        <v>550878</v>
      </c>
      <c r="J78" s="158">
        <f t="shared" ref="J78:M78" si="33">I78</f>
        <v>550878</v>
      </c>
      <c r="K78" s="158">
        <f t="shared" si="33"/>
        <v>550878</v>
      </c>
      <c r="L78" s="158">
        <f t="shared" si="33"/>
        <v>550878</v>
      </c>
      <c r="M78" s="158">
        <f t="shared" si="33"/>
        <v>550878</v>
      </c>
    </row>
    <row r="79" spans="1:13" ht="15" customHeight="1" outlineLevel="1" x14ac:dyDescent="0.3">
      <c r="C79" s="152"/>
      <c r="D79" s="152"/>
      <c r="E79" s="152"/>
      <c r="F79" s="152"/>
      <c r="G79" s="152"/>
      <c r="H79" s="152"/>
    </row>
    <row r="80" spans="1:13" s="101" customFormat="1" ht="14.4" customHeight="1" outlineLevel="1" x14ac:dyDescent="0.3">
      <c r="A80" s="80"/>
      <c r="B80" s="89" t="s">
        <v>87</v>
      </c>
      <c r="C80" s="162">
        <v>3781173</v>
      </c>
      <c r="D80" s="162">
        <v>4436660</v>
      </c>
      <c r="E80" s="162">
        <v>4809389</v>
      </c>
      <c r="F80" s="162">
        <v>6166787</v>
      </c>
      <c r="G80" s="162">
        <v>7930970</v>
      </c>
      <c r="H80" s="162">
        <v>9213881</v>
      </c>
      <c r="I80" s="163">
        <f>I38+I57+I66</f>
        <v>9065649.064062316</v>
      </c>
      <c r="J80" s="163">
        <f t="shared" ref="J80:M80" si="34">J38+J57+J66</f>
        <v>9480146.6159433685</v>
      </c>
      <c r="K80" s="163">
        <f t="shared" si="34"/>
        <v>9989233.6608489975</v>
      </c>
      <c r="L80" s="163">
        <f t="shared" si="34"/>
        <v>10576477.515355311</v>
      </c>
      <c r="M80" s="163">
        <f t="shared" si="34"/>
        <v>11186481.156607714</v>
      </c>
    </row>
    <row r="81" spans="1:13" ht="14.4" customHeight="1" outlineLevel="1" x14ac:dyDescent="0.3"/>
    <row r="83" spans="1:13" ht="14.4" customHeight="1" x14ac:dyDescent="0.3">
      <c r="B83" s="39" t="s">
        <v>88</v>
      </c>
      <c r="C83" s="40"/>
      <c r="D83" s="40"/>
      <c r="E83" s="40"/>
      <c r="F83" s="40"/>
      <c r="G83" s="40"/>
      <c r="H83" s="148"/>
      <c r="I83" s="148"/>
      <c r="J83" s="148"/>
      <c r="K83" s="148"/>
      <c r="L83" s="148"/>
      <c r="M83" s="148"/>
    </row>
    <row r="84" spans="1:13" ht="14.4" customHeight="1" outlineLevel="1" x14ac:dyDescent="0.3"/>
    <row r="85" spans="1:13" ht="14.4" customHeight="1" outlineLevel="1" x14ac:dyDescent="0.3">
      <c r="B85" s="71" t="s">
        <v>22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</row>
    <row r="86" spans="1:13" ht="14.4" customHeight="1" outlineLevel="2" x14ac:dyDescent="0.3"/>
    <row r="87" spans="1:13" ht="14.4" customHeight="1" outlineLevel="2" x14ac:dyDescent="0.3">
      <c r="B87" s="83" t="s">
        <v>89</v>
      </c>
      <c r="C87" s="152">
        <v>276466</v>
      </c>
      <c r="D87" s="152">
        <v>365302</v>
      </c>
      <c r="E87" s="152">
        <v>537764</v>
      </c>
      <c r="F87" s="152">
        <v>1081955</v>
      </c>
      <c r="G87" s="152">
        <v>1596350</v>
      </c>
      <c r="H87" s="152">
        <v>1225614</v>
      </c>
      <c r="I87" s="153">
        <f>I88*I89</f>
        <v>1463025.1541346307</v>
      </c>
      <c r="J87" s="153">
        <f t="shared" ref="J87:M87" si="35">J88*J89</f>
        <v>1823329.0934796934</v>
      </c>
      <c r="K87" s="153">
        <f t="shared" si="35"/>
        <v>2218674.8752713776</v>
      </c>
      <c r="L87" s="153">
        <f t="shared" si="35"/>
        <v>2551689.0545769748</v>
      </c>
      <c r="M87" s="153">
        <f t="shared" si="35"/>
        <v>2793172.4256769256</v>
      </c>
    </row>
    <row r="88" spans="1:13" ht="14.4" customHeight="1" outlineLevel="2" x14ac:dyDescent="0.3">
      <c r="B88" s="82" t="s">
        <v>90</v>
      </c>
      <c r="C88" s="172"/>
      <c r="D88" s="173">
        <f>DRE!C11</f>
        <v>4748799.9999999991</v>
      </c>
      <c r="E88" s="173">
        <f>DRE!D11</f>
        <v>5396084.9999999991</v>
      </c>
      <c r="F88" s="173">
        <f>DRE!E11</f>
        <v>7465979.0000000009</v>
      </c>
      <c r="G88" s="173">
        <f>DRE!F11</f>
        <v>9015848.9999999981</v>
      </c>
      <c r="H88" s="173">
        <f>DRE!G11</f>
        <v>10205488.000000002</v>
      </c>
      <c r="I88" s="173">
        <f>DRE!H11</f>
        <v>11824233.869309159</v>
      </c>
      <c r="J88" s="173">
        <f>DRE!I11</f>
        <v>13699737.4937992</v>
      </c>
      <c r="K88" s="173">
        <f>DRE!J11</f>
        <v>15872724.564942416</v>
      </c>
      <c r="L88" s="173">
        <f>DRE!K11</f>
        <v>18390380.489302184</v>
      </c>
      <c r="M88" s="173">
        <f>DRE!L11</f>
        <v>21307374.997755051</v>
      </c>
    </row>
    <row r="89" spans="1:13" s="156" customFormat="1" ht="14.4" customHeight="1" outlineLevel="2" x14ac:dyDescent="0.3">
      <c r="A89" s="174"/>
      <c r="B89" s="175" t="s">
        <v>91</v>
      </c>
      <c r="C89" s="176"/>
      <c r="D89" s="177">
        <f>D87/D88</f>
        <v>7.6925117924528316E-2</v>
      </c>
      <c r="E89" s="177">
        <f t="shared" ref="E89:H89" si="36">E87/E88</f>
        <v>9.9658178105052106E-2</v>
      </c>
      <c r="F89" s="177">
        <f t="shared" si="36"/>
        <v>0.14491803419216687</v>
      </c>
      <c r="G89" s="177">
        <f t="shared" si="36"/>
        <v>0.17706041882467202</v>
      </c>
      <c r="H89" s="177">
        <f t="shared" si="36"/>
        <v>0.1200936202168872</v>
      </c>
      <c r="I89" s="178">
        <f>AVERAGE(D89:H89)</f>
        <v>0.12373107385266131</v>
      </c>
      <c r="J89" s="178">
        <f t="shared" ref="J89:M89" si="37">AVERAGE(E89:I89)</f>
        <v>0.13309226503828792</v>
      </c>
      <c r="K89" s="178">
        <f t="shared" si="37"/>
        <v>0.13977908242493506</v>
      </c>
      <c r="L89" s="178">
        <f t="shared" si="37"/>
        <v>0.1387512920714887</v>
      </c>
      <c r="M89" s="178">
        <f t="shared" si="37"/>
        <v>0.13108946672085203</v>
      </c>
    </row>
    <row r="90" spans="1:13" ht="14.4" customHeight="1" outlineLevel="2" x14ac:dyDescent="0.3">
      <c r="B90" s="83"/>
      <c r="C90" s="152"/>
      <c r="D90" s="152"/>
      <c r="E90" s="152"/>
      <c r="F90" s="152"/>
      <c r="G90" s="152"/>
      <c r="H90" s="152"/>
      <c r="I90" s="153"/>
      <c r="J90" s="153"/>
      <c r="K90" s="153"/>
      <c r="L90" s="153"/>
      <c r="M90" s="153"/>
    </row>
    <row r="91" spans="1:13" ht="14.4" customHeight="1" outlineLevel="2" x14ac:dyDescent="0.3">
      <c r="B91" s="83" t="s">
        <v>24</v>
      </c>
      <c r="C91" s="152">
        <v>406305</v>
      </c>
      <c r="D91" s="152">
        <v>31242</v>
      </c>
      <c r="E91" s="152">
        <v>32292</v>
      </c>
      <c r="F91" s="152">
        <v>32923</v>
      </c>
      <c r="G91" s="152">
        <v>33712</v>
      </c>
      <c r="H91" s="152">
        <v>0</v>
      </c>
      <c r="I91" s="153">
        <v>0</v>
      </c>
      <c r="J91" s="153">
        <v>0</v>
      </c>
      <c r="K91" s="153">
        <v>0</v>
      </c>
      <c r="L91" s="153">
        <v>0</v>
      </c>
      <c r="M91" s="153">
        <v>0</v>
      </c>
    </row>
    <row r="92" spans="1:13" ht="14.4" customHeight="1" outlineLevel="2" x14ac:dyDescent="0.3">
      <c r="B92" s="83"/>
      <c r="C92" s="152"/>
      <c r="D92" s="152"/>
      <c r="E92" s="152"/>
      <c r="F92" s="152"/>
      <c r="G92" s="152"/>
      <c r="H92" s="152"/>
      <c r="I92" s="153"/>
      <c r="J92" s="153"/>
      <c r="K92" s="153"/>
      <c r="L92" s="153"/>
      <c r="M92" s="153"/>
    </row>
    <row r="93" spans="1:13" ht="14.4" customHeight="1" outlineLevel="2" x14ac:dyDescent="0.3">
      <c r="B93" s="83" t="s">
        <v>25</v>
      </c>
      <c r="C93" s="152">
        <v>609460</v>
      </c>
      <c r="D93" s="152">
        <v>690536</v>
      </c>
      <c r="E93" s="152">
        <v>725262</v>
      </c>
      <c r="F93" s="152">
        <v>945120</v>
      </c>
      <c r="G93" s="152">
        <v>1212386</v>
      </c>
      <c r="H93" s="152">
        <v>1331654</v>
      </c>
      <c r="I93" s="153">
        <f>I96/365*I94</f>
        <v>1587675.4602267363</v>
      </c>
      <c r="J93" s="153">
        <f t="shared" ref="J93:M93" si="38">J96/365*J94</f>
        <v>1808982.7083555062</v>
      </c>
      <c r="K93" s="153">
        <f t="shared" si="38"/>
        <v>2088422.4967864463</v>
      </c>
      <c r="L93" s="153">
        <f t="shared" si="38"/>
        <v>2438005.244498881</v>
      </c>
      <c r="M93" s="153">
        <f t="shared" si="38"/>
        <v>2816599.7626474048</v>
      </c>
    </row>
    <row r="94" spans="1:13" ht="14.4" customHeight="1" outlineLevel="2" x14ac:dyDescent="0.3">
      <c r="B94" s="82" t="s">
        <v>90</v>
      </c>
      <c r="C94" s="172"/>
      <c r="D94" s="173">
        <f>DRE!C11</f>
        <v>4748799.9999999991</v>
      </c>
      <c r="E94" s="173">
        <f>DRE!D11</f>
        <v>5396084.9999999991</v>
      </c>
      <c r="F94" s="173">
        <f>DRE!E11</f>
        <v>7465979.0000000009</v>
      </c>
      <c r="G94" s="173">
        <f>DRE!F11</f>
        <v>9015848.9999999981</v>
      </c>
      <c r="H94" s="173">
        <f>DRE!G11</f>
        <v>10205488.000000002</v>
      </c>
      <c r="I94" s="173">
        <f>DRE!H11</f>
        <v>11824233.869309159</v>
      </c>
      <c r="J94" s="173">
        <f>DRE!I11</f>
        <v>13699737.4937992</v>
      </c>
      <c r="K94" s="173">
        <f>DRE!J11</f>
        <v>15872724.564942416</v>
      </c>
      <c r="L94" s="173">
        <f>DRE!K11</f>
        <v>18390380.489302184</v>
      </c>
      <c r="M94" s="173">
        <f>DRE!L11</f>
        <v>21307374.997755051</v>
      </c>
    </row>
    <row r="95" spans="1:13" ht="14.4" customHeight="1" outlineLevel="2" x14ac:dyDescent="0.3">
      <c r="B95" s="82" t="s">
        <v>92</v>
      </c>
      <c r="C95" s="172"/>
      <c r="D95" s="160">
        <f>D94/D93</f>
        <v>6.8769767253264114</v>
      </c>
      <c r="E95" s="160">
        <f t="shared" ref="E95:H95" si="39">E94/E93</f>
        <v>7.4401871323742306</v>
      </c>
      <c r="F95" s="160">
        <f t="shared" si="39"/>
        <v>7.899503766717455</v>
      </c>
      <c r="G95" s="160">
        <f t="shared" si="39"/>
        <v>7.4364509322938392</v>
      </c>
      <c r="H95" s="160">
        <f t="shared" si="39"/>
        <v>7.6637685164464653</v>
      </c>
    </row>
    <row r="96" spans="1:13" ht="14.4" customHeight="1" outlineLevel="2" x14ac:dyDescent="0.3">
      <c r="B96" s="82" t="s">
        <v>93</v>
      </c>
      <c r="C96" s="172"/>
      <c r="D96" s="160">
        <f>365/D95</f>
        <v>53.075648584905672</v>
      </c>
      <c r="E96" s="160">
        <f t="shared" ref="E96:G96" si="40">365/E95</f>
        <v>49.057905870645115</v>
      </c>
      <c r="F96" s="160">
        <f t="shared" si="40"/>
        <v>46.205434009391126</v>
      </c>
      <c r="G96" s="160">
        <f t="shared" si="40"/>
        <v>49.082553401238208</v>
      </c>
      <c r="H96" s="160">
        <f>365/H95</f>
        <v>47.626699477771169</v>
      </c>
      <c r="I96" s="179">
        <f>AVERAGE(D96:H96)</f>
        <v>49.009648268790258</v>
      </c>
      <c r="J96" s="179">
        <f t="shared" ref="J96:M96" si="41">AVERAGE(E96:I96)</f>
        <v>48.196448205567172</v>
      </c>
      <c r="K96" s="179">
        <f t="shared" si="41"/>
        <v>48.024156672551598</v>
      </c>
      <c r="L96" s="179">
        <f t="shared" si="41"/>
        <v>48.387901205183674</v>
      </c>
      <c r="M96" s="179">
        <f t="shared" si="41"/>
        <v>48.248970765972778</v>
      </c>
    </row>
    <row r="97" spans="2:13" ht="14.4" customHeight="1" outlineLevel="2" x14ac:dyDescent="0.3">
      <c r="B97" s="83"/>
      <c r="C97" s="152"/>
      <c r="D97" s="152"/>
      <c r="E97" s="152"/>
      <c r="F97" s="152"/>
      <c r="G97" s="152"/>
      <c r="H97" s="152"/>
      <c r="I97" s="153"/>
      <c r="J97" s="153"/>
      <c r="K97" s="153"/>
      <c r="L97" s="153"/>
      <c r="M97" s="153"/>
    </row>
    <row r="98" spans="2:13" ht="14.4" customHeight="1" outlineLevel="2" x14ac:dyDescent="0.3">
      <c r="B98" s="83" t="s">
        <v>26</v>
      </c>
      <c r="C98" s="152">
        <v>855228</v>
      </c>
      <c r="D98" s="152">
        <v>1120180</v>
      </c>
      <c r="E98" s="152">
        <v>1152804</v>
      </c>
      <c r="F98" s="152">
        <v>1456780</v>
      </c>
      <c r="G98" s="152">
        <v>1646697</v>
      </c>
      <c r="H98" s="152">
        <v>2213930</v>
      </c>
      <c r="I98" s="153">
        <f>I101/365*I99</f>
        <v>2525599.460940884</v>
      </c>
      <c r="J98" s="153">
        <f t="shared" ref="J98:M98" si="42">J101/365*J99</f>
        <v>2822004.5583229344</v>
      </c>
      <c r="K98" s="153">
        <f t="shared" si="42"/>
        <v>3224076.8928217152</v>
      </c>
      <c r="L98" s="153">
        <f t="shared" si="42"/>
        <v>3751262.3219906338</v>
      </c>
      <c r="M98" s="153">
        <f t="shared" si="42"/>
        <v>4447361.7125640102</v>
      </c>
    </row>
    <row r="99" spans="2:13" ht="14.4" customHeight="1" outlineLevel="2" x14ac:dyDescent="0.3">
      <c r="B99" s="82" t="s">
        <v>94</v>
      </c>
      <c r="C99" s="172"/>
      <c r="D99" s="173">
        <f>DRE!C14</f>
        <v>-3527100</v>
      </c>
      <c r="E99" s="173">
        <f>DRE!D14</f>
        <v>-4145256</v>
      </c>
      <c r="F99" s="173">
        <f>DRE!E14</f>
        <v>-5804994</v>
      </c>
      <c r="G99" s="173">
        <f>DRE!F14</f>
        <v>-7237702</v>
      </c>
      <c r="H99" s="173">
        <f>DRE!G14</f>
        <v>-8085625</v>
      </c>
      <c r="I99" s="173">
        <f>DRE!H14</f>
        <v>-9368128.3030789755</v>
      </c>
      <c r="J99" s="173">
        <f>DRE!I14</f>
        <v>-10854056.167946123</v>
      </c>
      <c r="K99" s="173">
        <f>DRE!J14</f>
        <v>-12575674.829112777</v>
      </c>
      <c r="L99" s="173">
        <f>DRE!K14</f>
        <v>-14570368.437434245</v>
      </c>
      <c r="M99" s="173">
        <f>DRE!L14</f>
        <v>-16881450.839609347</v>
      </c>
    </row>
    <row r="100" spans="2:13" ht="14.4" customHeight="1" outlineLevel="2" x14ac:dyDescent="0.3">
      <c r="B100" s="82" t="s">
        <v>95</v>
      </c>
      <c r="C100" s="172"/>
      <c r="D100" s="160">
        <f>D99/D98</f>
        <v>-3.1486903890446176</v>
      </c>
      <c r="E100" s="160">
        <f t="shared" ref="E100:H100" si="43">E99/E98</f>
        <v>-3.5958029292056586</v>
      </c>
      <c r="F100" s="160">
        <f t="shared" si="43"/>
        <v>-3.9848117080135643</v>
      </c>
      <c r="G100" s="160">
        <f t="shared" si="43"/>
        <v>-4.395284621275195</v>
      </c>
      <c r="H100" s="160">
        <f t="shared" si="43"/>
        <v>-3.6521592823621343</v>
      </c>
      <c r="J100" s="153"/>
      <c r="K100" s="153"/>
      <c r="L100" s="153"/>
      <c r="M100" s="153"/>
    </row>
    <row r="101" spans="2:13" ht="14.4" customHeight="1" outlineLevel="2" x14ac:dyDescent="0.3">
      <c r="B101" s="82" t="s">
        <v>96</v>
      </c>
      <c r="C101" s="172"/>
      <c r="D101" s="160">
        <f>365/D100</f>
        <v>-115.92121005925549</v>
      </c>
      <c r="E101" s="160">
        <f t="shared" ref="E101:H101" si="44">365/E100</f>
        <v>-101.50723139897752</v>
      </c>
      <c r="F101" s="160">
        <f t="shared" si="44"/>
        <v>-91.597803546394701</v>
      </c>
      <c r="G101" s="160">
        <f t="shared" si="44"/>
        <v>-83.043541306342817</v>
      </c>
      <c r="H101" s="160">
        <f t="shared" si="44"/>
        <v>-99.940876555615674</v>
      </c>
      <c r="I101" s="179">
        <f>AVERAGE(D$101:H$101)</f>
        <v>-98.402132573317232</v>
      </c>
      <c r="J101" s="179">
        <f t="shared" ref="J101:M101" si="45">AVERAGE(E$101:I$101)</f>
        <v>-94.898317076129587</v>
      </c>
      <c r="K101" s="179">
        <f t="shared" si="45"/>
        <v>-93.576534211560016</v>
      </c>
      <c r="L101" s="179">
        <f t="shared" si="45"/>
        <v>-93.972280344593059</v>
      </c>
      <c r="M101" s="179">
        <f t="shared" si="45"/>
        <v>-96.158028152243105</v>
      </c>
    </row>
    <row r="102" spans="2:13" ht="14.4" customHeight="1" outlineLevel="2" x14ac:dyDescent="0.3">
      <c r="B102" s="83"/>
      <c r="C102" s="152"/>
      <c r="D102" s="152"/>
      <c r="E102" s="152"/>
      <c r="F102" s="152"/>
      <c r="G102" s="152"/>
      <c r="H102" s="152"/>
      <c r="I102" s="153"/>
      <c r="J102" s="153"/>
      <c r="K102" s="153"/>
      <c r="L102" s="153"/>
      <c r="M102" s="153"/>
    </row>
    <row r="103" spans="2:13" ht="14.4" customHeight="1" outlineLevel="2" x14ac:dyDescent="0.3">
      <c r="B103" s="83" t="s">
        <v>27</v>
      </c>
      <c r="C103" s="152">
        <v>67235</v>
      </c>
      <c r="D103" s="152">
        <v>142025</v>
      </c>
      <c r="E103" s="152">
        <v>119443</v>
      </c>
      <c r="F103" s="152">
        <v>145633</v>
      </c>
      <c r="G103" s="152">
        <v>195020</v>
      </c>
      <c r="H103" s="152">
        <v>221493</v>
      </c>
      <c r="I103" s="153">
        <f>I106/365*I104</f>
        <v>271680.72403049289</v>
      </c>
      <c r="J103" s="153">
        <f t="shared" ref="J103:M103" si="46">J106/365*J104</f>
        <v>295782.97870125924</v>
      </c>
      <c r="K103" s="153">
        <f t="shared" si="46"/>
        <v>340969.45910793322</v>
      </c>
      <c r="L103" s="153">
        <f t="shared" si="46"/>
        <v>402317.54435642017</v>
      </c>
      <c r="M103" s="153">
        <f t="shared" si="46"/>
        <v>467178.38218434638</v>
      </c>
    </row>
    <row r="104" spans="2:13" ht="14.4" customHeight="1" outlineLevel="2" x14ac:dyDescent="0.3">
      <c r="B104" s="82" t="s">
        <v>90</v>
      </c>
      <c r="C104" s="172"/>
      <c r="D104" s="173">
        <f>DRE!C11</f>
        <v>4748799.9999999991</v>
      </c>
      <c r="E104" s="173">
        <f>DRE!D11</f>
        <v>5396084.9999999991</v>
      </c>
      <c r="F104" s="173">
        <f>DRE!E11</f>
        <v>7465979.0000000009</v>
      </c>
      <c r="G104" s="173">
        <f>DRE!F11</f>
        <v>9015848.9999999981</v>
      </c>
      <c r="H104" s="173">
        <f>DRE!G11</f>
        <v>10205488.000000002</v>
      </c>
      <c r="I104" s="173">
        <f>DRE!H11</f>
        <v>11824233.869309159</v>
      </c>
      <c r="J104" s="173">
        <f>DRE!I11</f>
        <v>13699737.4937992</v>
      </c>
      <c r="K104" s="173">
        <f>DRE!J11</f>
        <v>15872724.564942416</v>
      </c>
      <c r="L104" s="173">
        <f>DRE!K11</f>
        <v>18390380.489302184</v>
      </c>
      <c r="M104" s="173">
        <f>DRE!L11</f>
        <v>21307374.997755051</v>
      </c>
    </row>
    <row r="105" spans="2:13" ht="14.4" customHeight="1" outlineLevel="2" x14ac:dyDescent="0.3">
      <c r="B105" s="82" t="s">
        <v>97</v>
      </c>
      <c r="C105" s="172"/>
      <c r="D105" s="160">
        <f>D104/D103</f>
        <v>33.436366836824497</v>
      </c>
      <c r="E105" s="160">
        <f t="shared" ref="E105:H105" si="47">E104/E103</f>
        <v>45.177071908776561</v>
      </c>
      <c r="F105" s="160">
        <f t="shared" si="47"/>
        <v>51.265709008260494</v>
      </c>
      <c r="G105" s="160">
        <f t="shared" si="47"/>
        <v>46.23038149933339</v>
      </c>
      <c r="H105" s="160">
        <f t="shared" si="47"/>
        <v>46.075894046312982</v>
      </c>
      <c r="I105" s="153"/>
      <c r="J105" s="153"/>
      <c r="K105" s="153"/>
      <c r="L105" s="153"/>
      <c r="M105" s="153"/>
    </row>
    <row r="106" spans="2:13" ht="14.4" customHeight="1" outlineLevel="2" x14ac:dyDescent="0.3">
      <c r="B106" s="82" t="s">
        <v>98</v>
      </c>
      <c r="C106" s="172"/>
      <c r="D106" s="160">
        <f>365/D105</f>
        <v>10.91625779144205</v>
      </c>
      <c r="E106" s="160">
        <f t="shared" ref="E106:H106" si="48">365/E105</f>
        <v>8.0793195437062266</v>
      </c>
      <c r="F106" s="160">
        <f t="shared" si="48"/>
        <v>7.1197688876435352</v>
      </c>
      <c r="G106" s="160">
        <f t="shared" si="48"/>
        <v>7.8952409251752131</v>
      </c>
      <c r="H106" s="160">
        <f t="shared" si="48"/>
        <v>7.9217128078539689</v>
      </c>
      <c r="I106" s="179">
        <f>AVERAGE(D106:H106)</f>
        <v>8.3864599911641982</v>
      </c>
      <c r="J106" s="179">
        <f t="shared" ref="J106:M106" si="49">AVERAGE(E106:I106)</f>
        <v>7.8805004311086275</v>
      </c>
      <c r="K106" s="179">
        <f t="shared" si="49"/>
        <v>7.8407366085891086</v>
      </c>
      <c r="L106" s="179">
        <f t="shared" si="49"/>
        <v>7.9849301527782242</v>
      </c>
      <c r="M106" s="179">
        <f t="shared" si="49"/>
        <v>8.0028679982988269</v>
      </c>
    </row>
    <row r="107" spans="2:13" ht="14.4" customHeight="1" outlineLevel="2" x14ac:dyDescent="0.3">
      <c r="B107" s="83"/>
      <c r="C107" s="152"/>
      <c r="D107" s="152"/>
      <c r="E107" s="152"/>
      <c r="F107" s="152"/>
      <c r="G107" s="152"/>
      <c r="H107" s="152"/>
      <c r="I107" s="153"/>
      <c r="J107" s="153"/>
      <c r="K107" s="153"/>
      <c r="L107" s="153"/>
      <c r="M107" s="153"/>
    </row>
    <row r="108" spans="2:13" ht="14.4" customHeight="1" outlineLevel="2" x14ac:dyDescent="0.3">
      <c r="B108" s="83" t="s">
        <v>28</v>
      </c>
      <c r="C108" s="152">
        <v>12023</v>
      </c>
      <c r="D108" s="152">
        <v>18521</v>
      </c>
      <c r="E108" s="152">
        <v>15298</v>
      </c>
      <c r="F108" s="152">
        <v>16716</v>
      </c>
      <c r="G108" s="152">
        <v>12698</v>
      </c>
      <c r="H108" s="152">
        <v>10830</v>
      </c>
      <c r="I108" s="153">
        <f>H108</f>
        <v>10830</v>
      </c>
      <c r="J108" s="153">
        <f t="shared" ref="J108:M108" si="50">I108</f>
        <v>10830</v>
      </c>
      <c r="K108" s="153">
        <f t="shared" si="50"/>
        <v>10830</v>
      </c>
      <c r="L108" s="153">
        <f t="shared" si="50"/>
        <v>10830</v>
      </c>
      <c r="M108" s="153">
        <f t="shared" si="50"/>
        <v>10830</v>
      </c>
    </row>
    <row r="109" spans="2:13" ht="14.4" customHeight="1" outlineLevel="2" x14ac:dyDescent="0.3">
      <c r="B109" s="83"/>
      <c r="C109" s="152"/>
      <c r="D109" s="152"/>
      <c r="E109" s="152"/>
      <c r="F109" s="152"/>
      <c r="G109" s="152"/>
      <c r="H109" s="152"/>
      <c r="I109" s="153"/>
      <c r="J109" s="153"/>
      <c r="K109" s="153"/>
      <c r="L109" s="153"/>
      <c r="M109" s="153"/>
    </row>
    <row r="110" spans="2:13" ht="14.4" customHeight="1" outlineLevel="2" x14ac:dyDescent="0.3">
      <c r="B110" s="83" t="s">
        <v>29</v>
      </c>
      <c r="C110" s="152">
        <v>64397</v>
      </c>
      <c r="D110" s="152">
        <v>115769</v>
      </c>
      <c r="E110" s="152">
        <v>117318</v>
      </c>
      <c r="F110" s="152">
        <v>124908</v>
      </c>
      <c r="G110" s="152">
        <v>132247</v>
      </c>
      <c r="H110" s="152">
        <v>83539</v>
      </c>
      <c r="I110" s="153"/>
      <c r="J110" s="153"/>
      <c r="K110" s="153"/>
      <c r="L110" s="153"/>
      <c r="M110" s="153"/>
    </row>
    <row r="111" spans="2:13" ht="14.4" customHeight="1" outlineLevel="2" x14ac:dyDescent="0.3"/>
    <row r="112" spans="2:13" ht="14.4" customHeight="1" outlineLevel="1" x14ac:dyDescent="0.3"/>
    <row r="113" spans="1:13" ht="14.4" customHeight="1" outlineLevel="1" x14ac:dyDescent="0.3">
      <c r="B113" s="71" t="s">
        <v>99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</row>
    <row r="114" spans="1:13" ht="14.4" customHeight="1" outlineLevel="2" x14ac:dyDescent="0.3"/>
    <row r="115" spans="1:13" s="101" customFormat="1" ht="14.4" customHeight="1" outlineLevel="2" x14ac:dyDescent="0.3">
      <c r="A115" s="80"/>
      <c r="B115" s="124" t="s">
        <v>100</v>
      </c>
      <c r="C115" s="124"/>
      <c r="D115" s="180">
        <f>D117/D116</f>
        <v>0.93426971024258776</v>
      </c>
      <c r="E115" s="180">
        <f t="shared" ref="E115:H115" si="51">E117/E116</f>
        <v>0.89127376607299569</v>
      </c>
      <c r="F115" s="180">
        <f t="shared" si="51"/>
        <v>0.82598504496195335</v>
      </c>
      <c r="G115" s="180">
        <f t="shared" si="51"/>
        <v>0.87966979038801574</v>
      </c>
      <c r="H115" s="180">
        <f t="shared" si="51"/>
        <v>0.90283590554415416</v>
      </c>
      <c r="I115" s="124"/>
      <c r="J115" s="124"/>
      <c r="K115" s="124"/>
      <c r="L115" s="124"/>
      <c r="M115" s="124"/>
    </row>
    <row r="116" spans="1:13" ht="14.4" customHeight="1" outlineLevel="2" x14ac:dyDescent="0.3">
      <c r="B116" s="82" t="s">
        <v>90</v>
      </c>
      <c r="C116" s="172"/>
      <c r="D116" s="173">
        <f>DRE!C11</f>
        <v>4748799.9999999991</v>
      </c>
      <c r="E116" s="173">
        <f>DRE!D11</f>
        <v>5396084.9999999991</v>
      </c>
      <c r="F116" s="173">
        <f>DRE!E11</f>
        <v>7465979.0000000009</v>
      </c>
      <c r="G116" s="173">
        <f>DRE!F11</f>
        <v>9015848.9999999981</v>
      </c>
      <c r="H116" s="173">
        <f>DRE!G11</f>
        <v>10205488.000000002</v>
      </c>
      <c r="I116" s="173">
        <f>DRE!H11</f>
        <v>11824233.869309159</v>
      </c>
      <c r="J116" s="173">
        <f>DRE!I11</f>
        <v>13699737.4937992</v>
      </c>
      <c r="K116" s="173">
        <f>DRE!J11</f>
        <v>15872724.564942416</v>
      </c>
      <c r="L116" s="173">
        <f>DRE!K11</f>
        <v>18390380.489302184</v>
      </c>
      <c r="M116" s="173">
        <f>DRE!L11</f>
        <v>21307374.997755051</v>
      </c>
    </row>
    <row r="117" spans="1:13" ht="14.4" customHeight="1" outlineLevel="2" x14ac:dyDescent="0.3">
      <c r="B117" s="82" t="s">
        <v>101</v>
      </c>
      <c r="C117" s="181">
        <f t="shared" ref="C117:M117" si="52">C36</f>
        <v>3781173</v>
      </c>
      <c r="D117" s="181">
        <f t="shared" si="52"/>
        <v>4436660</v>
      </c>
      <c r="E117" s="181">
        <f t="shared" si="52"/>
        <v>4809389</v>
      </c>
      <c r="F117" s="181">
        <f t="shared" si="52"/>
        <v>6166787</v>
      </c>
      <c r="G117" s="181">
        <f t="shared" si="52"/>
        <v>7930970</v>
      </c>
      <c r="H117" s="181">
        <f t="shared" si="52"/>
        <v>9213881</v>
      </c>
      <c r="I117" s="158">
        <f t="shared" si="52"/>
        <v>10346793.421095349</v>
      </c>
      <c r="J117" s="158">
        <f t="shared" si="52"/>
        <v>11845477.513899334</v>
      </c>
      <c r="K117" s="158">
        <f t="shared" si="52"/>
        <v>13682976.534515362</v>
      </c>
      <c r="L117" s="158">
        <f t="shared" si="52"/>
        <v>16025691.394498721</v>
      </c>
      <c r="M117" s="158">
        <f t="shared" si="52"/>
        <v>18594451.732498355</v>
      </c>
    </row>
    <row r="118" spans="1:13" ht="14.4" customHeight="1" outlineLevel="2" x14ac:dyDescent="0.3"/>
    <row r="119" spans="1:13" ht="14.4" customHeight="1" outlineLevel="2" x14ac:dyDescent="0.3">
      <c r="B119" s="83" t="s">
        <v>31</v>
      </c>
      <c r="C119" s="152">
        <v>73998</v>
      </c>
      <c r="D119" s="152">
        <v>296161</v>
      </c>
      <c r="E119" s="152">
        <v>308640</v>
      </c>
      <c r="F119" s="152">
        <v>268560</v>
      </c>
      <c r="G119" s="152">
        <v>325704</v>
      </c>
      <c r="H119" s="152">
        <v>673860</v>
      </c>
      <c r="I119" s="153">
        <f>I120*I116</f>
        <v>609393.88564584497</v>
      </c>
      <c r="J119" s="153">
        <f t="shared" ref="J119:M119" si="53">J120*J116</f>
        <v>676385.61696195987</v>
      </c>
      <c r="K119" s="153">
        <f t="shared" si="53"/>
        <v>758830.29634747421</v>
      </c>
      <c r="L119" s="153">
        <f t="shared" si="53"/>
        <v>922726.10915544408</v>
      </c>
      <c r="M119" s="153">
        <f t="shared" si="53"/>
        <v>1128952.5971294728</v>
      </c>
    </row>
    <row r="120" spans="1:13" s="102" customFormat="1" ht="14.4" customHeight="1" outlineLevel="2" x14ac:dyDescent="0.3">
      <c r="A120" s="182"/>
      <c r="B120" s="183" t="s">
        <v>100</v>
      </c>
      <c r="C120" s="172"/>
      <c r="D120" s="184">
        <f>D119/D116</f>
        <v>6.2365439690026968E-2</v>
      </c>
      <c r="E120" s="184">
        <f>E119/E116</f>
        <v>5.7197023397518768E-2</v>
      </c>
      <c r="F120" s="184">
        <f>F119/F116</f>
        <v>3.5971170023382057E-2</v>
      </c>
      <c r="G120" s="184">
        <f>G119/G116</f>
        <v>3.6125715947549708E-2</v>
      </c>
      <c r="H120" s="184">
        <f>H119/H116</f>
        <v>6.6029179594351575E-2</v>
      </c>
      <c r="I120" s="185">
        <f>AVERAGE(D120:H120)</f>
        <v>5.1537705730565805E-2</v>
      </c>
      <c r="J120" s="185">
        <f t="shared" ref="J120:M120" si="54">AVERAGE(E120:I120)</f>
        <v>4.9372158938673583E-2</v>
      </c>
      <c r="K120" s="185">
        <f t="shared" si="54"/>
        <v>4.7807186046904551E-2</v>
      </c>
      <c r="L120" s="185">
        <f t="shared" si="54"/>
        <v>5.0174389251609039E-2</v>
      </c>
      <c r="M120" s="185">
        <f t="shared" si="54"/>
        <v>5.2984123912420911E-2</v>
      </c>
    </row>
    <row r="121" spans="1:13" s="102" customFormat="1" ht="14.4" customHeight="1" outlineLevel="2" x14ac:dyDescent="0.3">
      <c r="A121" s="182"/>
      <c r="B121" s="183"/>
      <c r="C121" s="172"/>
      <c r="D121" s="184"/>
      <c r="E121" s="184"/>
      <c r="F121" s="184"/>
      <c r="G121" s="184"/>
      <c r="H121" s="184"/>
    </row>
    <row r="122" spans="1:13" ht="14.4" customHeight="1" outlineLevel="2" x14ac:dyDescent="0.3">
      <c r="B122" s="83" t="s">
        <v>38</v>
      </c>
      <c r="C122" s="152">
        <v>26657</v>
      </c>
      <c r="D122" s="152">
        <v>29789</v>
      </c>
      <c r="E122" s="152">
        <v>32981</v>
      </c>
      <c r="F122" s="152">
        <v>38049</v>
      </c>
      <c r="G122" s="152">
        <v>34746</v>
      </c>
      <c r="H122" s="152">
        <v>34703</v>
      </c>
      <c r="I122" s="153">
        <f>I123*I116</f>
        <v>58495.903568181275</v>
      </c>
      <c r="J122" s="153">
        <f t="shared" ref="J122:M122" si="55">J123*J116</f>
        <v>64141.53167522922</v>
      </c>
      <c r="K122" s="153">
        <f t="shared" si="55"/>
        <v>69775.532799453737</v>
      </c>
      <c r="L122" s="153">
        <f t="shared" si="55"/>
        <v>78266.950468050331</v>
      </c>
      <c r="M122" s="153">
        <f t="shared" si="55"/>
        <v>92394.32417343049</v>
      </c>
    </row>
    <row r="123" spans="1:13" s="102" customFormat="1" ht="14.4" customHeight="1" outlineLevel="2" x14ac:dyDescent="0.3">
      <c r="A123" s="182"/>
      <c r="B123" s="183" t="s">
        <v>100</v>
      </c>
      <c r="C123" s="172"/>
      <c r="D123" s="184">
        <f>D122/D116</f>
        <v>6.272953167115904E-3</v>
      </c>
      <c r="E123" s="184">
        <f>E122/E116</f>
        <v>6.1120238098547382E-3</v>
      </c>
      <c r="F123" s="184">
        <f>F122/F116</f>
        <v>5.0963175760338989E-3</v>
      </c>
      <c r="G123" s="184">
        <f>G122/G116</f>
        <v>3.8538799840148173E-3</v>
      </c>
      <c r="H123" s="184">
        <f>H122/H116</f>
        <v>3.40042533977797E-3</v>
      </c>
      <c r="I123" s="185">
        <f>AVERAGE(D123:H123)</f>
        <v>4.9471199753594649E-3</v>
      </c>
      <c r="J123" s="185">
        <f t="shared" ref="J123" si="56">AVERAGE(E123:I123)</f>
        <v>4.6819533370081783E-3</v>
      </c>
      <c r="K123" s="185">
        <f t="shared" ref="K123" si="57">AVERAGE(F123:J123)</f>
        <v>4.3959392424388656E-3</v>
      </c>
      <c r="L123" s="185">
        <f t="shared" ref="L123" si="58">AVERAGE(G123:K123)</f>
        <v>4.2558635757198593E-3</v>
      </c>
      <c r="M123" s="185">
        <f t="shared" ref="M123" si="59">AVERAGE(H123:L123)</f>
        <v>4.3362602940608674E-3</v>
      </c>
    </row>
    <row r="124" spans="1:13" s="102" customFormat="1" ht="14.4" customHeight="1" outlineLevel="2" x14ac:dyDescent="0.3">
      <c r="A124" s="182"/>
      <c r="B124" s="183"/>
      <c r="C124" s="172"/>
      <c r="D124" s="184"/>
      <c r="E124" s="184"/>
      <c r="F124" s="184"/>
      <c r="G124" s="184"/>
      <c r="H124" s="184"/>
    </row>
    <row r="125" spans="1:13" ht="14.4" customHeight="1" outlineLevel="2" x14ac:dyDescent="0.3">
      <c r="B125" s="83" t="s">
        <v>41</v>
      </c>
      <c r="C125" s="152">
        <v>823049</v>
      </c>
      <c r="D125" s="152">
        <v>971829</v>
      </c>
      <c r="E125" s="152">
        <v>1101921</v>
      </c>
      <c r="F125" s="152">
        <v>1338400</v>
      </c>
      <c r="G125" s="152">
        <v>1756482</v>
      </c>
      <c r="H125" s="152">
        <v>2273393</v>
      </c>
      <c r="I125" s="153">
        <f>I126*I116</f>
        <v>2378337.4732680283</v>
      </c>
      <c r="J125" s="153">
        <f t="shared" ref="J125:M125" si="60">J126*J116</f>
        <v>2745970.833253595</v>
      </c>
      <c r="K125" s="153">
        <f t="shared" si="60"/>
        <v>3169562.5040525915</v>
      </c>
      <c r="L125" s="153">
        <f t="shared" si="60"/>
        <v>3747408.2175177969</v>
      </c>
      <c r="M125" s="153">
        <f t="shared" si="60"/>
        <v>4379937.7820373988</v>
      </c>
    </row>
    <row r="126" spans="1:13" s="102" customFormat="1" ht="14.4" customHeight="1" outlineLevel="2" x14ac:dyDescent="0.3">
      <c r="A126" s="182"/>
      <c r="B126" s="183" t="s">
        <v>100</v>
      </c>
      <c r="C126" s="172"/>
      <c r="D126" s="184">
        <f>D125/D116</f>
        <v>0.20464727931266852</v>
      </c>
      <c r="E126" s="184">
        <f>E125/E116</f>
        <v>0.2042074948782312</v>
      </c>
      <c r="F126" s="184">
        <f>F125/F116</f>
        <v>0.17926651012546377</v>
      </c>
      <c r="G126" s="184">
        <f>G125/G116</f>
        <v>0.19482158585397785</v>
      </c>
      <c r="H126" s="184">
        <f>H125/H116</f>
        <v>0.22276181207601239</v>
      </c>
      <c r="I126" s="185">
        <f>AVERAGE(D126:H126)</f>
        <v>0.20114093644927075</v>
      </c>
      <c r="J126" s="185">
        <f t="shared" ref="J126" si="61">AVERAGE(E126:I126)</f>
        <v>0.20043966787659118</v>
      </c>
      <c r="K126" s="185">
        <f t="shared" ref="K126" si="62">AVERAGE(F126:J126)</f>
        <v>0.1996861024762632</v>
      </c>
      <c r="L126" s="185">
        <f t="shared" ref="L126" si="63">AVERAGE(G126:K126)</f>
        <v>0.2037700209464231</v>
      </c>
      <c r="M126" s="185">
        <f t="shared" ref="M126" si="64">AVERAGE(H126:L126)</f>
        <v>0.20555970796491213</v>
      </c>
    </row>
    <row r="127" spans="1:13" s="102" customFormat="1" ht="14.4" customHeight="1" outlineLevel="2" x14ac:dyDescent="0.3">
      <c r="A127" s="182"/>
      <c r="B127" s="183"/>
      <c r="C127" s="172"/>
      <c r="D127" s="184"/>
      <c r="E127" s="184"/>
      <c r="F127" s="184"/>
      <c r="G127" s="184"/>
      <c r="H127" s="184"/>
    </row>
    <row r="128" spans="1:13" ht="14.4" customHeight="1" outlineLevel="2" x14ac:dyDescent="0.3">
      <c r="B128" s="83" t="s">
        <v>45</v>
      </c>
      <c r="C128" s="152">
        <v>566355</v>
      </c>
      <c r="D128" s="152">
        <v>655306</v>
      </c>
      <c r="E128" s="152">
        <v>665666</v>
      </c>
      <c r="F128" s="152">
        <v>717743</v>
      </c>
      <c r="G128" s="152">
        <v>984928</v>
      </c>
      <c r="H128" s="152">
        <v>1144865</v>
      </c>
      <c r="I128" s="153">
        <f>I129*I116</f>
        <v>1369046.3592805502</v>
      </c>
      <c r="J128" s="153">
        <f t="shared" ref="J128:M128" si="65">J129*J116</f>
        <v>1525341.1931491573</v>
      </c>
      <c r="K128" s="153">
        <f t="shared" si="65"/>
        <v>1729125.4773283708</v>
      </c>
      <c r="L128" s="153">
        <f t="shared" si="65"/>
        <v>2050476.9519345178</v>
      </c>
      <c r="M128" s="153">
        <f t="shared" si="65"/>
        <v>2385315.746085363</v>
      </c>
    </row>
    <row r="129" spans="1:13" s="102" customFormat="1" ht="14.4" customHeight="1" outlineLevel="2" x14ac:dyDescent="0.3">
      <c r="A129" s="182"/>
      <c r="B129" s="183" t="s">
        <v>100</v>
      </c>
      <c r="C129" s="172"/>
      <c r="D129" s="184">
        <f>D128/D116</f>
        <v>0.13799401954177901</v>
      </c>
      <c r="E129" s="184">
        <f>E128/E116</f>
        <v>0.12336091814713818</v>
      </c>
      <c r="F129" s="184">
        <f>F128/F116</f>
        <v>9.6135148518365771E-2</v>
      </c>
      <c r="G129" s="184">
        <f>G128/G116</f>
        <v>0.1092440656448439</v>
      </c>
      <c r="H129" s="184">
        <f>H128/H116</f>
        <v>0.11218130872330651</v>
      </c>
      <c r="I129" s="185">
        <f>AVERAGE(D129:H129)</f>
        <v>0.11578309211508668</v>
      </c>
      <c r="J129" s="185">
        <f t="shared" ref="J129" si="66">AVERAGE(E129:I129)</f>
        <v>0.1113409066297482</v>
      </c>
      <c r="K129" s="185">
        <f t="shared" ref="K129" si="67">AVERAGE(F129:J129)</f>
        <v>0.10893690432627021</v>
      </c>
      <c r="L129" s="185">
        <f t="shared" ref="L129" si="68">AVERAGE(G129:K129)</f>
        <v>0.1114972554878511</v>
      </c>
      <c r="M129" s="185">
        <f t="shared" ref="M129" si="69">AVERAGE(H129:L129)</f>
        <v>0.11194789345645254</v>
      </c>
    </row>
    <row r="130" spans="1:13" ht="14.4" customHeight="1" outlineLevel="2" x14ac:dyDescent="0.3"/>
    <row r="131" spans="1:13" ht="14.4" customHeight="1" outlineLevel="1" x14ac:dyDescent="0.3"/>
    <row r="132" spans="1:13" ht="14.4" customHeight="1" outlineLevel="1" x14ac:dyDescent="0.3">
      <c r="B132" s="71" t="s">
        <v>102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</row>
    <row r="133" spans="1:13" ht="14.4" customHeight="1" outlineLevel="2" x14ac:dyDescent="0.3">
      <c r="L133" s="186" t="s">
        <v>103</v>
      </c>
      <c r="M133" s="187">
        <f>DRE!L9</f>
        <v>0.15861523420625803</v>
      </c>
    </row>
    <row r="134" spans="1:13" ht="14.4" customHeight="1" outlineLevel="2" x14ac:dyDescent="0.3">
      <c r="B134" s="83" t="s">
        <v>104</v>
      </c>
      <c r="C134" s="152">
        <v>54374</v>
      </c>
      <c r="D134" s="152">
        <v>60577</v>
      </c>
      <c r="E134" s="152">
        <v>66427</v>
      </c>
      <c r="F134" s="152">
        <v>97442</v>
      </c>
      <c r="G134" s="152">
        <v>91807</v>
      </c>
      <c r="H134" s="164">
        <v>125458</v>
      </c>
      <c r="I134" s="153">
        <f>H134*(1+$M$133)</f>
        <v>145357.55005304873</v>
      </c>
      <c r="J134" s="153">
        <f t="shared" ref="J134:M134" si="70">I134*(1+$M$133)</f>
        <v>168413.47189836093</v>
      </c>
      <c r="K134" s="153">
        <f t="shared" si="70"/>
        <v>195126.41418700852</v>
      </c>
      <c r="L134" s="153">
        <f t="shared" si="70"/>
        <v>226076.4360731082</v>
      </c>
      <c r="M134" s="153">
        <f t="shared" si="70"/>
        <v>261935.60292936041</v>
      </c>
    </row>
    <row r="135" spans="1:13" ht="14.4" customHeight="1" outlineLevel="2" x14ac:dyDescent="0.3">
      <c r="B135" s="159"/>
      <c r="C135" s="152"/>
      <c r="D135" s="152"/>
      <c r="E135" s="152"/>
      <c r="F135" s="152"/>
      <c r="G135" s="152"/>
      <c r="H135" s="152"/>
    </row>
    <row r="136" spans="1:13" ht="14.4" customHeight="1" outlineLevel="2" x14ac:dyDescent="0.3">
      <c r="B136" s="83" t="s">
        <v>52</v>
      </c>
      <c r="C136" s="152">
        <v>365134</v>
      </c>
      <c r="D136" s="152">
        <v>423204</v>
      </c>
      <c r="E136" s="152">
        <v>517270</v>
      </c>
      <c r="F136" s="152">
        <v>673599</v>
      </c>
      <c r="G136" s="152">
        <v>1101036</v>
      </c>
      <c r="H136" s="152">
        <v>1023498</v>
      </c>
      <c r="I136" s="153">
        <f>H136*(1+$M$133)</f>
        <v>1185840.3749796369</v>
      </c>
      <c r="J136" s="153">
        <f t="shared" ref="J136:M136" si="71">I136*(1+$M$133)</f>
        <v>1373932.7237882689</v>
      </c>
      <c r="K136" s="153">
        <f t="shared" si="71"/>
        <v>1591859.3845555873</v>
      </c>
      <c r="L136" s="153">
        <f t="shared" si="71"/>
        <v>1844352.5336603017</v>
      </c>
      <c r="M136" s="153">
        <f t="shared" si="71"/>
        <v>2136894.9427457359</v>
      </c>
    </row>
    <row r="137" spans="1:13" ht="14.4" customHeight="1" outlineLevel="2" x14ac:dyDescent="0.3"/>
    <row r="138" spans="1:13" ht="14.4" customHeight="1" outlineLevel="1" x14ac:dyDescent="0.3"/>
    <row r="139" spans="1:13" ht="14.4" customHeight="1" outlineLevel="1" x14ac:dyDescent="0.3">
      <c r="B139" s="71" t="s">
        <v>105</v>
      </c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</row>
    <row r="140" spans="1:13" ht="14.4" customHeight="1" outlineLevel="2" x14ac:dyDescent="0.3"/>
    <row r="141" spans="1:13" ht="14.4" customHeight="1" outlineLevel="2" x14ac:dyDescent="0.3">
      <c r="B141" s="83" t="s">
        <v>73</v>
      </c>
      <c r="C141" s="152">
        <v>35488</v>
      </c>
      <c r="D141" s="152">
        <v>37102</v>
      </c>
      <c r="E141" s="152">
        <v>42243</v>
      </c>
      <c r="F141" s="152">
        <v>24854</v>
      </c>
      <c r="G141" s="152">
        <v>46204</v>
      </c>
      <c r="H141" s="164">
        <v>373031</v>
      </c>
      <c r="I141" s="153">
        <f>G141*(1+I142)</f>
        <v>53497.516396882915</v>
      </c>
      <c r="J141" s="153">
        <f>I141*(1+J142)</f>
        <v>63445.287337663074</v>
      </c>
      <c r="K141" s="153">
        <f t="shared" ref="K141:M141" si="72">J141*(1+K142)</f>
        <v>75994.407037990444</v>
      </c>
      <c r="L141" s="153">
        <f t="shared" si="72"/>
        <v>102604.11353394199</v>
      </c>
      <c r="M141" s="153">
        <f t="shared" si="72"/>
        <v>125478.43784023245</v>
      </c>
    </row>
    <row r="142" spans="1:13" ht="14.4" customHeight="1" outlineLevel="2" x14ac:dyDescent="0.3">
      <c r="C142" s="172"/>
      <c r="D142" s="184">
        <f>(D141-C141)/C141</f>
        <v>4.5480162308385932E-2</v>
      </c>
      <c r="E142" s="184">
        <f t="shared" ref="E142:H142" si="73">(E141-D141)/D141</f>
        <v>0.13856395881623632</v>
      </c>
      <c r="F142" s="184">
        <f t="shared" si="73"/>
        <v>-0.41164216556589256</v>
      </c>
      <c r="G142" s="184">
        <f t="shared" si="73"/>
        <v>0.85901665727850651</v>
      </c>
      <c r="H142" s="184">
        <f t="shared" si="73"/>
        <v>7.0735650593022248</v>
      </c>
      <c r="I142" s="185">
        <f>AVERAGE(D142,E142,F142,G142)</f>
        <v>0.15785465320930905</v>
      </c>
      <c r="J142" s="185">
        <f>AVERAGE(E142,F142,G142,I142)</f>
        <v>0.18594827593453983</v>
      </c>
      <c r="K142" s="185">
        <f>AVERAGE(F142,G142,I142,J142)</f>
        <v>0.1977943552141157</v>
      </c>
      <c r="L142" s="185">
        <f>AVERAGE(G142,I142,J142,K142)</f>
        <v>0.35015348540911778</v>
      </c>
      <c r="M142" s="185">
        <f>AVERAGE(I142,J142,K142,L142)</f>
        <v>0.22293769244177059</v>
      </c>
    </row>
    <row r="143" spans="1:13" ht="14.4" customHeight="1" outlineLevel="2" x14ac:dyDescent="0.3">
      <c r="C143" s="188"/>
      <c r="D143" s="184"/>
      <c r="E143" s="184"/>
      <c r="F143" s="184"/>
      <c r="G143" s="184"/>
      <c r="H143" s="184"/>
      <c r="I143" s="189"/>
      <c r="J143" s="189"/>
      <c r="K143" s="189"/>
      <c r="L143" s="189"/>
      <c r="M143" s="189"/>
    </row>
    <row r="144" spans="1:13" ht="14.4" customHeight="1" outlineLevel="1" x14ac:dyDescent="0.3"/>
    <row r="145" spans="2:13" ht="14.4" customHeight="1" outlineLevel="1" x14ac:dyDescent="0.3">
      <c r="B145" s="71" t="s">
        <v>106</v>
      </c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</row>
    <row r="146" spans="2:13" ht="14.4" customHeight="1" outlineLevel="2" x14ac:dyDescent="0.3"/>
    <row r="147" spans="2:13" ht="14.4" customHeight="1" outlineLevel="2" x14ac:dyDescent="0.3">
      <c r="B147" s="83" t="s">
        <v>82</v>
      </c>
      <c r="C147" s="171" t="s">
        <v>40</v>
      </c>
      <c r="D147" s="171" t="s">
        <v>40</v>
      </c>
      <c r="E147" s="152">
        <v>74755</v>
      </c>
      <c r="F147" s="152">
        <v>88008</v>
      </c>
      <c r="G147" s="152">
        <v>105518</v>
      </c>
      <c r="H147" s="152">
        <v>120055</v>
      </c>
      <c r="I147" s="190">
        <f>H147+I148</f>
        <v>136460.94829045501</v>
      </c>
      <c r="J147" s="190">
        <f t="shared" ref="J147:M147" si="74">I147+J148</f>
        <v>157870.2197560537</v>
      </c>
      <c r="K147" s="190">
        <f t="shared" si="74"/>
        <v>185214.37361748004</v>
      </c>
      <c r="L147" s="190">
        <f t="shared" si="74"/>
        <v>215444.55495933798</v>
      </c>
      <c r="M147" s="190">
        <f t="shared" si="74"/>
        <v>248271.94740606842</v>
      </c>
    </row>
    <row r="148" spans="2:13" ht="14.4" customHeight="1" outlineLevel="2" x14ac:dyDescent="0.3">
      <c r="B148" s="82" t="s">
        <v>107</v>
      </c>
      <c r="C148" s="172"/>
      <c r="D148" s="172"/>
      <c r="E148" s="172"/>
      <c r="F148" s="153">
        <f>F147-E147</f>
        <v>13253</v>
      </c>
      <c r="G148" s="153">
        <f>G147-F147</f>
        <v>17510</v>
      </c>
      <c r="H148" s="153">
        <f>H147-G147</f>
        <v>14537</v>
      </c>
      <c r="I148" s="153">
        <f>I150*I149</f>
        <v>16405.948290455002</v>
      </c>
      <c r="J148" s="153">
        <f>J150*J149</f>
        <v>21409.271465598704</v>
      </c>
      <c r="K148" s="153">
        <f>K150*K149</f>
        <v>27344.15386142633</v>
      </c>
      <c r="L148" s="153">
        <f>L150*L149</f>
        <v>30230.181341857951</v>
      </c>
      <c r="M148" s="153">
        <f>M150*M149</f>
        <v>32827.392446730424</v>
      </c>
    </row>
    <row r="149" spans="2:13" ht="14.4" customHeight="1" outlineLevel="2" x14ac:dyDescent="0.3">
      <c r="B149" s="82" t="s">
        <v>108</v>
      </c>
      <c r="C149" s="172"/>
      <c r="D149" s="191">
        <f>DRE!C53</f>
        <v>362299.99999999942</v>
      </c>
      <c r="E149" s="191">
        <f>DRE!D53</f>
        <v>239633.99999999962</v>
      </c>
      <c r="F149" s="191">
        <f>DRE!E53</f>
        <v>462676.00000000163</v>
      </c>
      <c r="G149" s="191">
        <f>DRE!F53</f>
        <v>478714.99999999814</v>
      </c>
      <c r="H149" s="191">
        <f>DRE!G53</f>
        <v>353683.99999999936</v>
      </c>
      <c r="I149" s="191">
        <f>DRE!H53</f>
        <v>462908.80466986186</v>
      </c>
      <c r="J149" s="191">
        <f>DRE!I53</f>
        <v>567786.07467611134</v>
      </c>
      <c r="K149" s="191">
        <f>DRE!J53</f>
        <v>718013.21559354488</v>
      </c>
      <c r="L149" s="191">
        <f>DRE!K53</f>
        <v>815337.68737990269</v>
      </c>
      <c r="M149" s="191">
        <f>DRE!L53</f>
        <v>872554.20201313857</v>
      </c>
    </row>
    <row r="150" spans="2:13" ht="14.4" customHeight="1" outlineLevel="2" x14ac:dyDescent="0.3">
      <c r="B150" s="82" t="s">
        <v>109</v>
      </c>
      <c r="C150" s="172"/>
      <c r="D150" s="172"/>
      <c r="E150" s="172"/>
      <c r="F150" s="192">
        <f>F148/F149</f>
        <v>2.864423484252469E-2</v>
      </c>
      <c r="G150" s="192">
        <f>G148/G149</f>
        <v>3.6577086575520022E-2</v>
      </c>
      <c r="H150" s="192">
        <f>H148/H149</f>
        <v>4.1101661370036603E-2</v>
      </c>
      <c r="I150" s="185">
        <f>AVERAGE(F150:H150)</f>
        <v>3.5440994262693766E-2</v>
      </c>
      <c r="J150" s="185">
        <f t="shared" ref="J150:M150" si="75">AVERAGE(G150:I150)</f>
        <v>3.7706580736083462E-2</v>
      </c>
      <c r="K150" s="185">
        <f t="shared" si="75"/>
        <v>3.808307878960461E-2</v>
      </c>
      <c r="L150" s="185">
        <f t="shared" si="75"/>
        <v>3.7076884596127277E-2</v>
      </c>
      <c r="M150" s="185">
        <f t="shared" si="75"/>
        <v>3.7622181373938447E-2</v>
      </c>
    </row>
    <row r="151" spans="2:13" ht="14.4" customHeight="1" outlineLevel="2" x14ac:dyDescent="0.3">
      <c r="B151" s="83"/>
      <c r="C151" s="171"/>
      <c r="D151" s="171"/>
      <c r="E151" s="152"/>
      <c r="F151" s="152"/>
      <c r="G151" s="152"/>
      <c r="H151" s="152"/>
    </row>
    <row r="152" spans="2:13" ht="14.4" customHeight="1" outlineLevel="2" x14ac:dyDescent="0.3">
      <c r="B152" s="83" t="s">
        <v>83</v>
      </c>
      <c r="C152" s="171" t="s">
        <v>40</v>
      </c>
      <c r="D152" s="171" t="s">
        <v>40</v>
      </c>
      <c r="E152" s="152">
        <v>75400</v>
      </c>
      <c r="F152" s="152">
        <v>77885</v>
      </c>
      <c r="G152" s="152">
        <v>319700</v>
      </c>
      <c r="H152" s="152">
        <v>266187</v>
      </c>
      <c r="I152" s="166">
        <f>H152+I153</f>
        <v>453236.67434229306</v>
      </c>
      <c r="J152" s="166">
        <f t="shared" ref="J152:M152" si="76">I152+J153</f>
        <v>641634.86145347543</v>
      </c>
      <c r="K152" s="166">
        <f t="shared" si="76"/>
        <v>887598.30120698572</v>
      </c>
      <c r="L152" s="166">
        <f t="shared" si="76"/>
        <v>1161903.2507461018</v>
      </c>
      <c r="M152" s="166">
        <f t="shared" si="76"/>
        <v>1418033.780645655</v>
      </c>
    </row>
    <row r="153" spans="2:13" ht="14.4" customHeight="1" outlineLevel="2" x14ac:dyDescent="0.3">
      <c r="B153" s="82" t="s">
        <v>110</v>
      </c>
      <c r="C153" s="172"/>
      <c r="D153" s="172"/>
      <c r="E153" s="172"/>
      <c r="F153" s="153">
        <f>F152-E152</f>
        <v>2485</v>
      </c>
      <c r="G153" s="153">
        <f>G152-F152</f>
        <v>241815</v>
      </c>
      <c r="H153" s="153">
        <f>H152-G152</f>
        <v>-53513</v>
      </c>
      <c r="I153" s="153">
        <f>I154*(1-I156)</f>
        <v>187049.67434229303</v>
      </c>
      <c r="J153" s="153">
        <f>J154*(1-J156)</f>
        <v>188398.18711118237</v>
      </c>
      <c r="K153" s="153">
        <f>K154*(1-K156)</f>
        <v>245963.43975351023</v>
      </c>
      <c r="L153" s="153">
        <f>L154*(1-L156)</f>
        <v>274304.94953911612</v>
      </c>
      <c r="M153" s="153">
        <f>M154*(1-M156)</f>
        <v>256130.5298995531</v>
      </c>
    </row>
    <row r="154" spans="2:13" ht="14.4" customHeight="1" outlineLevel="2" x14ac:dyDescent="0.3">
      <c r="B154" s="82" t="s">
        <v>108</v>
      </c>
      <c r="C154" s="172"/>
      <c r="D154" s="173">
        <f>DRE!C53</f>
        <v>362299.99999999942</v>
      </c>
      <c r="E154" s="173">
        <f>DRE!D53</f>
        <v>239633.99999999962</v>
      </c>
      <c r="F154" s="173">
        <f>DRE!E53</f>
        <v>462676.00000000163</v>
      </c>
      <c r="G154" s="173">
        <f>DRE!F53</f>
        <v>478714.99999999814</v>
      </c>
      <c r="H154" s="173">
        <f>DRE!G53</f>
        <v>353683.99999999936</v>
      </c>
      <c r="I154" s="173">
        <f>DRE!H53</f>
        <v>462908.80466986186</v>
      </c>
      <c r="J154" s="173">
        <f>DRE!I53</f>
        <v>567786.07467611134</v>
      </c>
      <c r="K154" s="173">
        <f>DRE!J53</f>
        <v>718013.21559354488</v>
      </c>
      <c r="L154" s="173">
        <f>DRE!K53</f>
        <v>815337.68737990269</v>
      </c>
      <c r="M154" s="173">
        <f>DRE!L53</f>
        <v>872554.20201313857</v>
      </c>
    </row>
    <row r="155" spans="2:13" ht="14.4" customHeight="1" outlineLevel="2" x14ac:dyDescent="0.3">
      <c r="B155" s="82" t="s">
        <v>111</v>
      </c>
      <c r="C155" s="172"/>
      <c r="D155" s="173">
        <f>-DFC!B31</f>
        <v>85000</v>
      </c>
      <c r="E155" s="173">
        <f>-DFC!C31</f>
        <v>173000</v>
      </c>
      <c r="F155" s="173">
        <f>-DFC!D31</f>
        <v>290000</v>
      </c>
      <c r="G155" s="173">
        <f>-DFC!E31</f>
        <v>215000</v>
      </c>
      <c r="H155" s="173">
        <f>-DFC!F31</f>
        <v>335000</v>
      </c>
      <c r="I155" s="153">
        <f>I154*I156</f>
        <v>275859.1303275688</v>
      </c>
      <c r="J155" s="153">
        <f t="shared" ref="J155:L155" si="77">J154*J156</f>
        <v>379387.88756492897</v>
      </c>
      <c r="K155" s="153">
        <f t="shared" si="77"/>
        <v>472049.77584003465</v>
      </c>
      <c r="L155" s="153">
        <f t="shared" si="77"/>
        <v>541032.73784078658</v>
      </c>
      <c r="M155" s="153">
        <f>M154*M156</f>
        <v>616423.6721135854</v>
      </c>
    </row>
    <row r="156" spans="2:13" ht="14.4" customHeight="1" outlineLevel="2" x14ac:dyDescent="0.3">
      <c r="B156" s="82" t="s">
        <v>112</v>
      </c>
      <c r="C156" s="172"/>
      <c r="D156" s="193">
        <f>D155/D154</f>
        <v>0.23461219983439177</v>
      </c>
      <c r="E156" s="193">
        <f>E155/E154</f>
        <v>0.72193428311508501</v>
      </c>
      <c r="F156" s="193">
        <f>F155/F154</f>
        <v>0.62678850858916169</v>
      </c>
      <c r="G156" s="193">
        <f>G155/G154</f>
        <v>0.44911899564459196</v>
      </c>
      <c r="H156" s="193">
        <f>H155/H154</f>
        <v>0.94717318284118202</v>
      </c>
      <c r="I156" s="185">
        <f>AVERAGE(D156:H156)</f>
        <v>0.59592543400488251</v>
      </c>
      <c r="J156" s="185">
        <f t="shared" ref="J156:M156" si="78">AVERAGE(E156:I156)</f>
        <v>0.66818808083898062</v>
      </c>
      <c r="K156" s="185">
        <f t="shared" si="78"/>
        <v>0.65743884038375977</v>
      </c>
      <c r="L156" s="185">
        <f t="shared" si="78"/>
        <v>0.66356890674267943</v>
      </c>
      <c r="M156" s="185">
        <f t="shared" si="78"/>
        <v>0.70645888896229692</v>
      </c>
    </row>
    <row r="157" spans="2:13" ht="14.4" customHeight="1" outlineLevel="2" x14ac:dyDescent="0.3"/>
    <row r="158" spans="2:13" ht="14.4" customHeight="1" outlineLevel="1" x14ac:dyDescent="0.3">
      <c r="I158" s="166"/>
    </row>
    <row r="160" spans="2:13" ht="14.4" customHeight="1" x14ac:dyDescent="0.3">
      <c r="B160" s="71" t="s">
        <v>113</v>
      </c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</row>
    <row r="162" spans="1:13" ht="14.4" customHeight="1" x14ac:dyDescent="0.3">
      <c r="B162" s="97" t="str">
        <f>B36</f>
        <v xml:space="preserve"> Ativo total</v>
      </c>
      <c r="C162" s="152">
        <f t="shared" ref="C162:M162" si="79">C36</f>
        <v>3781173</v>
      </c>
      <c r="D162" s="152">
        <f t="shared" si="79"/>
        <v>4436660</v>
      </c>
      <c r="E162" s="152">
        <f t="shared" si="79"/>
        <v>4809389</v>
      </c>
      <c r="F162" s="152">
        <f t="shared" si="79"/>
        <v>6166787</v>
      </c>
      <c r="G162" s="152">
        <f t="shared" si="79"/>
        <v>7930970</v>
      </c>
      <c r="H162" s="152">
        <f t="shared" si="79"/>
        <v>9213881</v>
      </c>
      <c r="I162" s="152">
        <f t="shared" si="79"/>
        <v>10346793.421095349</v>
      </c>
      <c r="J162" s="152">
        <f t="shared" si="79"/>
        <v>11845477.513899334</v>
      </c>
      <c r="K162" s="152">
        <f t="shared" si="79"/>
        <v>13682976.534515362</v>
      </c>
      <c r="L162" s="152">
        <f t="shared" si="79"/>
        <v>16025691.394498721</v>
      </c>
      <c r="M162" s="152">
        <f t="shared" si="79"/>
        <v>18594451.732498355</v>
      </c>
    </row>
    <row r="163" spans="1:13" ht="14.4" customHeight="1" x14ac:dyDescent="0.3">
      <c r="B163" s="97" t="str">
        <f>B80</f>
        <v xml:space="preserve"> Passivo e patrimônio líquido</v>
      </c>
      <c r="C163" s="150">
        <f t="shared" ref="C163:M163" si="80">C80</f>
        <v>3781173</v>
      </c>
      <c r="D163" s="150">
        <f t="shared" si="80"/>
        <v>4436660</v>
      </c>
      <c r="E163" s="150">
        <f t="shared" si="80"/>
        <v>4809389</v>
      </c>
      <c r="F163" s="150">
        <f t="shared" si="80"/>
        <v>6166787</v>
      </c>
      <c r="G163" s="150">
        <f t="shared" si="80"/>
        <v>7930970</v>
      </c>
      <c r="H163" s="150">
        <f t="shared" si="80"/>
        <v>9213881</v>
      </c>
      <c r="I163" s="150">
        <f>I80</f>
        <v>9065649.064062316</v>
      </c>
      <c r="J163" s="150">
        <f t="shared" si="80"/>
        <v>9480146.6159433685</v>
      </c>
      <c r="K163" s="150">
        <f t="shared" si="80"/>
        <v>9989233.6608489975</v>
      </c>
      <c r="L163" s="150">
        <f t="shared" si="80"/>
        <v>10576477.515355311</v>
      </c>
      <c r="M163" s="150">
        <f t="shared" si="80"/>
        <v>11186481.156607714</v>
      </c>
    </row>
    <row r="164" spans="1:13" s="194" customFormat="1" ht="14.4" customHeight="1" x14ac:dyDescent="0.3">
      <c r="A164" s="174"/>
      <c r="B164" s="196" t="s">
        <v>114</v>
      </c>
      <c r="C164" s="197">
        <f>C162-C163</f>
        <v>0</v>
      </c>
      <c r="D164" s="197">
        <f t="shared" ref="D164:H164" si="81">D162-D163</f>
        <v>0</v>
      </c>
      <c r="E164" s="197">
        <f t="shared" si="81"/>
        <v>0</v>
      </c>
      <c r="F164" s="197">
        <f t="shared" si="81"/>
        <v>0</v>
      </c>
      <c r="G164" s="197">
        <f t="shared" si="81"/>
        <v>0</v>
      </c>
      <c r="H164" s="197">
        <f t="shared" si="81"/>
        <v>0</v>
      </c>
      <c r="I164" s="197">
        <f>I162-I163</f>
        <v>1281144.3570330329</v>
      </c>
      <c r="J164" s="197">
        <f t="shared" ref="J164:M164" si="82">J162-J163</f>
        <v>2365330.8979559653</v>
      </c>
      <c r="K164" s="197">
        <f t="shared" si="82"/>
        <v>3693742.8736663647</v>
      </c>
      <c r="L164" s="197">
        <f t="shared" si="82"/>
        <v>5449213.8791434094</v>
      </c>
      <c r="M164" s="197">
        <f t="shared" si="82"/>
        <v>7407970.5758906417</v>
      </c>
    </row>
  </sheetData>
  <pageMargins left="0.7" right="0.7" top="0.75" bottom="0.75" header="0.3" footer="0.3"/>
  <pageSetup paperSize="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AC16-BCE7-4355-9402-1333FC7B4F05}">
  <dimension ref="A1:L97"/>
  <sheetViews>
    <sheetView showGridLines="0" zoomScale="102" zoomScaleNormal="113" workbookViewId="0">
      <pane ySplit="6" topLeftCell="A88" activePane="bottomLeft" state="frozen"/>
      <selection pane="bottomLeft" activeCell="E17" sqref="E17"/>
    </sheetView>
  </sheetViews>
  <sheetFormatPr defaultColWidth="8.88671875" defaultRowHeight="14.4" customHeight="1" outlineLevelRow="2" x14ac:dyDescent="0.25"/>
  <cols>
    <col min="1" max="1" width="3" style="38" customWidth="1"/>
    <col min="2" max="2" width="48.44140625" style="38" bestFit="1" customWidth="1"/>
    <col min="3" max="12" width="11.109375" style="38" customWidth="1"/>
    <col min="13" max="16384" width="8.88671875" style="38"/>
  </cols>
  <sheetData>
    <row r="1" spans="1:12" s="32" customFormat="1" ht="16.2" customHeight="1" x14ac:dyDescent="0.25"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32" customFormat="1" ht="6.6" customHeight="1" x14ac:dyDescent="0.25"/>
    <row r="3" spans="1:12" s="32" customFormat="1" ht="16.2" customHeight="1" x14ac:dyDescent="0.25">
      <c r="B3" s="33" t="s">
        <v>15</v>
      </c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s="32" customFormat="1" ht="7.2" customHeight="1" x14ac:dyDescent="0.25"/>
    <row r="5" spans="1:12" s="32" customFormat="1" ht="16.2" customHeight="1" x14ac:dyDescent="0.25">
      <c r="A5" s="34"/>
      <c r="B5" s="35" t="s">
        <v>115</v>
      </c>
      <c r="C5" s="36">
        <v>2018</v>
      </c>
      <c r="D5" s="36">
        <v>2019</v>
      </c>
      <c r="E5" s="36">
        <v>2020</v>
      </c>
      <c r="F5" s="36">
        <v>2021</v>
      </c>
      <c r="G5" s="36">
        <v>2022</v>
      </c>
      <c r="H5" s="37" t="s">
        <v>16</v>
      </c>
      <c r="I5" s="37" t="s">
        <v>17</v>
      </c>
      <c r="J5" s="37" t="s">
        <v>18</v>
      </c>
      <c r="K5" s="37" t="s">
        <v>19</v>
      </c>
      <c r="L5" s="37" t="s">
        <v>20</v>
      </c>
    </row>
    <row r="6" spans="1:12" ht="7.95" customHeight="1" x14ac:dyDescent="0.25"/>
    <row r="7" spans="1:12" s="32" customFormat="1" ht="14.4" customHeight="1" x14ac:dyDescent="0.25">
      <c r="B7" s="38"/>
      <c r="C7" s="38"/>
      <c r="D7" s="38"/>
      <c r="E7" s="38"/>
      <c r="F7" s="38"/>
      <c r="G7" s="38"/>
    </row>
    <row r="8" spans="1:12" ht="14.4" customHeight="1" x14ac:dyDescent="0.25">
      <c r="B8" s="39" t="s">
        <v>116</v>
      </c>
      <c r="C8" s="40"/>
      <c r="D8" s="40"/>
      <c r="E8" s="40"/>
      <c r="F8" s="40"/>
      <c r="G8" s="40"/>
      <c r="H8" s="41"/>
      <c r="I8" s="41"/>
      <c r="J8" s="41"/>
      <c r="K8" s="41"/>
      <c r="L8" s="41"/>
    </row>
    <row r="9" spans="1:12" ht="14.4" customHeight="1" outlineLevel="2" x14ac:dyDescent="0.3">
      <c r="B9" s="73"/>
      <c r="C9" s="74"/>
      <c r="D9" s="74"/>
      <c r="E9" s="74"/>
      <c r="F9" s="74"/>
      <c r="G9" s="74"/>
      <c r="H9" s="75"/>
      <c r="I9" s="75"/>
      <c r="J9" s="75"/>
      <c r="K9" s="76" t="s">
        <v>103</v>
      </c>
      <c r="L9" s="77">
        <f>AVERAGE(D12,F12,G12)</f>
        <v>0.15861523420625803</v>
      </c>
    </row>
    <row r="10" spans="1:12" ht="14.4" customHeight="1" outlineLevel="2" x14ac:dyDescent="0.25">
      <c r="B10" s="42"/>
      <c r="C10" s="43"/>
      <c r="D10" s="43"/>
      <c r="E10" s="43"/>
      <c r="F10" s="43"/>
      <c r="G10" s="43"/>
      <c r="L10" s="56"/>
    </row>
    <row r="11" spans="1:12" ht="14.4" customHeight="1" outlineLevel="2" x14ac:dyDescent="0.25">
      <c r="B11" s="58" t="s">
        <v>117</v>
      </c>
      <c r="C11" s="49">
        <v>4748799.9999999991</v>
      </c>
      <c r="D11" s="49">
        <v>5396084.9999999991</v>
      </c>
      <c r="E11" s="49">
        <v>7465979.0000000009</v>
      </c>
      <c r="F11" s="49">
        <v>9015848.9999999981</v>
      </c>
      <c r="G11" s="49">
        <v>10205488.000000002</v>
      </c>
      <c r="H11" s="55">
        <f>G11*(1+$L$9)</f>
        <v>11824233.869309159</v>
      </c>
      <c r="I11" s="55">
        <f>H11*(1+$L$9)</f>
        <v>13699737.4937992</v>
      </c>
      <c r="J11" s="55">
        <f t="shared" ref="J11:L11" si="0">I11*(1+$L$9)</f>
        <v>15872724.564942416</v>
      </c>
      <c r="K11" s="55">
        <f t="shared" si="0"/>
        <v>18390380.489302184</v>
      </c>
      <c r="L11" s="55">
        <f t="shared" si="0"/>
        <v>21307374.997755051</v>
      </c>
    </row>
    <row r="12" spans="1:12" ht="14.4" customHeight="1" outlineLevel="2" x14ac:dyDescent="0.25">
      <c r="B12" s="59" t="s">
        <v>118</v>
      </c>
      <c r="C12" s="48"/>
      <c r="D12" s="52">
        <f>(D11-C11)/C11</f>
        <v>0.1363049612533693</v>
      </c>
      <c r="E12" s="52">
        <f t="shared" ref="E12:G12" si="1">(E11-D11)/D11</f>
        <v>0.38359180776433327</v>
      </c>
      <c r="F12" s="52">
        <f t="shared" si="1"/>
        <v>0.20759099375982668</v>
      </c>
      <c r="G12" s="52">
        <f t="shared" si="1"/>
        <v>0.13194974760557812</v>
      </c>
      <c r="H12" s="85">
        <f>(H11-G11)/G11</f>
        <v>0.15861523420625812</v>
      </c>
      <c r="I12" s="85">
        <f t="shared" ref="I12:L12" si="2">(I11-H11)/H11</f>
        <v>0.15861523420625806</v>
      </c>
      <c r="J12" s="85">
        <f t="shared" si="2"/>
        <v>0.15861523420625809</v>
      </c>
      <c r="K12" s="85">
        <f t="shared" si="2"/>
        <v>0.15861523420625817</v>
      </c>
      <c r="L12" s="85">
        <f t="shared" si="2"/>
        <v>0.15861523420625814</v>
      </c>
    </row>
    <row r="13" spans="1:12" ht="14.4" customHeight="1" outlineLevel="2" x14ac:dyDescent="0.25">
      <c r="B13" s="60"/>
      <c r="C13" s="45"/>
      <c r="D13" s="45"/>
      <c r="E13" s="45"/>
      <c r="F13" s="45"/>
      <c r="G13" s="45"/>
    </row>
    <row r="14" spans="1:12" ht="14.4" customHeight="1" outlineLevel="2" x14ac:dyDescent="0.25">
      <c r="B14" s="60" t="s">
        <v>119</v>
      </c>
      <c r="C14" s="57">
        <v>-3527100</v>
      </c>
      <c r="D14" s="57">
        <v>-4145256</v>
      </c>
      <c r="E14" s="57">
        <v>-5804994</v>
      </c>
      <c r="F14" s="57">
        <v>-7237702</v>
      </c>
      <c r="G14" s="57">
        <v>-8085625</v>
      </c>
      <c r="H14" s="64">
        <f>G14*(1+H15)</f>
        <v>-9368128.3030789755</v>
      </c>
      <c r="I14" s="64">
        <f t="shared" ref="I14:L14" si="3">H14*(1+I15)</f>
        <v>-10854056.167946123</v>
      </c>
      <c r="J14" s="64">
        <f t="shared" si="3"/>
        <v>-12575674.829112777</v>
      </c>
      <c r="K14" s="64">
        <f t="shared" si="3"/>
        <v>-14570368.437434245</v>
      </c>
      <c r="L14" s="64">
        <f t="shared" si="3"/>
        <v>-16881450.839609347</v>
      </c>
    </row>
    <row r="15" spans="1:12" ht="14.4" customHeight="1" outlineLevel="2" x14ac:dyDescent="0.25">
      <c r="B15" s="59" t="s">
        <v>118</v>
      </c>
      <c r="C15" s="51"/>
      <c r="D15" s="52">
        <f>(D14-C14)/C14</f>
        <v>0.17525899464149017</v>
      </c>
      <c r="E15" s="52">
        <f t="shared" ref="E15:F15" si="4">(E14-D14)/D14</f>
        <v>0.40039457152947849</v>
      </c>
      <c r="F15" s="52">
        <f t="shared" si="4"/>
        <v>0.24680611211656722</v>
      </c>
      <c r="G15" s="52">
        <f>(G14-F14)/F14</f>
        <v>0.11715362141187907</v>
      </c>
      <c r="H15" s="84">
        <f>H12</f>
        <v>0.15861523420625812</v>
      </c>
      <c r="I15" s="84">
        <f t="shared" ref="I15:L15" si="5">I12</f>
        <v>0.15861523420625806</v>
      </c>
      <c r="J15" s="84">
        <f t="shared" si="5"/>
        <v>0.15861523420625809</v>
      </c>
      <c r="K15" s="84">
        <f t="shared" si="5"/>
        <v>0.15861523420625817</v>
      </c>
      <c r="L15" s="84">
        <f t="shared" si="5"/>
        <v>0.15861523420625814</v>
      </c>
    </row>
    <row r="16" spans="1:12" ht="14.4" customHeight="1" outlineLevel="2" x14ac:dyDescent="0.25">
      <c r="B16" s="60"/>
      <c r="C16" s="50"/>
      <c r="D16" s="50"/>
      <c r="E16" s="50"/>
      <c r="F16" s="50"/>
      <c r="G16" s="50"/>
    </row>
    <row r="17" spans="2:12" ht="14.4" customHeight="1" outlineLevel="2" x14ac:dyDescent="0.25">
      <c r="B17" s="58" t="s">
        <v>120</v>
      </c>
      <c r="C17" s="49">
        <v>1221699.9999999993</v>
      </c>
      <c r="D17" s="49">
        <v>1250828.9999999998</v>
      </c>
      <c r="E17" s="49">
        <v>1660985.0000000014</v>
      </c>
      <c r="F17" s="49">
        <v>1778146.9999999981</v>
      </c>
      <c r="G17" s="49">
        <v>2119862.9999999995</v>
      </c>
      <c r="H17" s="44">
        <f>H11+H14</f>
        <v>2456105.5662301835</v>
      </c>
      <c r="I17" s="44">
        <f t="shared" ref="I17:L17" si="6">I11+I14</f>
        <v>2845681.3258530777</v>
      </c>
      <c r="J17" s="44">
        <f t="shared" si="6"/>
        <v>3297049.7358296383</v>
      </c>
      <c r="K17" s="44">
        <f t="shared" si="6"/>
        <v>3820012.0518679395</v>
      </c>
      <c r="L17" s="44">
        <f t="shared" si="6"/>
        <v>4425924.1581457034</v>
      </c>
    </row>
    <row r="18" spans="2:12" ht="14.4" customHeight="1" outlineLevel="2" x14ac:dyDescent="0.25">
      <c r="B18" s="59" t="s">
        <v>121</v>
      </c>
      <c r="C18" s="53">
        <f>C17/C11</f>
        <v>0.25726499326145541</v>
      </c>
      <c r="D18" s="53">
        <f t="shared" ref="D18:G18" si="7">D17/D11</f>
        <v>0.23180305721648195</v>
      </c>
      <c r="E18" s="53">
        <f t="shared" si="7"/>
        <v>0.22247383765745943</v>
      </c>
      <c r="F18" s="53">
        <f t="shared" si="7"/>
        <v>0.19722457640983102</v>
      </c>
      <c r="G18" s="53">
        <f t="shared" si="7"/>
        <v>0.20771794548188183</v>
      </c>
      <c r="H18" s="53">
        <f>(H17-G17)/G17</f>
        <v>0.15861523420625956</v>
      </c>
      <c r="I18" s="53">
        <f t="shared" ref="I18" si="8">(I17-H17)/H17</f>
        <v>0.15861523420625789</v>
      </c>
      <c r="J18" s="53">
        <f t="shared" ref="J18" si="9">(J17-I17)/I17</f>
        <v>0.15861523420625798</v>
      </c>
      <c r="K18" s="53">
        <f t="shared" ref="K18" si="10">(K17-J17)/J17</f>
        <v>0.15861523420625862</v>
      </c>
      <c r="L18" s="53">
        <f t="shared" ref="L18" si="11">(L17-K17)/K17</f>
        <v>0.15861523420625864</v>
      </c>
    </row>
    <row r="19" spans="2:12" ht="14.4" customHeight="1" outlineLevel="2" x14ac:dyDescent="0.25">
      <c r="B19" s="60"/>
      <c r="C19" s="50"/>
      <c r="D19" s="50"/>
      <c r="E19" s="50"/>
      <c r="F19" s="50"/>
      <c r="G19" s="50"/>
    </row>
    <row r="20" spans="2:12" ht="14.4" customHeight="1" outlineLevel="2" x14ac:dyDescent="0.25">
      <c r="B20" s="61" t="s">
        <v>122</v>
      </c>
      <c r="C20" s="57">
        <v>-631100</v>
      </c>
      <c r="D20" s="57">
        <v>-642930</v>
      </c>
      <c r="E20" s="57">
        <v>-701222</v>
      </c>
      <c r="F20" s="57">
        <v>-807525</v>
      </c>
      <c r="G20" s="57">
        <v>-1060306</v>
      </c>
      <c r="H20" s="70">
        <f>H61</f>
        <v>-1275668.0568916579</v>
      </c>
      <c r="I20" s="70">
        <f t="shared" ref="I20:L20" si="12">I61</f>
        <v>-1409480.0655009495</v>
      </c>
      <c r="J20" s="70">
        <f t="shared" si="12"/>
        <v>-1581415.0235025331</v>
      </c>
      <c r="K20" s="70">
        <f t="shared" si="12"/>
        <v>-1853248.4390215839</v>
      </c>
      <c r="L20" s="70">
        <f t="shared" si="12"/>
        <v>-2194953.558512595</v>
      </c>
    </row>
    <row r="21" spans="2:12" ht="14.4" customHeight="1" outlineLevel="2" x14ac:dyDescent="0.25">
      <c r="B21" s="59" t="s">
        <v>118</v>
      </c>
      <c r="C21" s="51"/>
      <c r="D21" s="52">
        <f>(D20-C20)/C20</f>
        <v>1.8745048328315639E-2</v>
      </c>
      <c r="E21" s="52">
        <f t="shared" ref="E21" si="13">(E20-D20)/D20</f>
        <v>9.0666168945297304E-2</v>
      </c>
      <c r="F21" s="52">
        <f t="shared" ref="F21" si="14">(F20-E20)/E20</f>
        <v>0.15159678390010581</v>
      </c>
      <c r="G21" s="52">
        <f>(G20-F20)/F20</f>
        <v>0.31303179468127923</v>
      </c>
      <c r="H21" s="46">
        <f t="shared" ref="H21" si="15">(H20-G20)/G20</f>
        <v>0.20311311724319006</v>
      </c>
      <c r="I21" s="46">
        <f t="shared" ref="I21" si="16">(I20-H20)/H20</f>
        <v>0.10489563322244122</v>
      </c>
      <c r="J21" s="46">
        <f t="shared" ref="J21" si="17">(J20-I20)/I20</f>
        <v>0.12198466811268836</v>
      </c>
      <c r="K21" s="46">
        <f t="shared" ref="K21" si="18">(K20-J20)/J20</f>
        <v>0.17189252124150911</v>
      </c>
      <c r="L21" s="46">
        <f t="shared" ref="L21" si="19">(L20-K20)/K20</f>
        <v>0.18438171175334334</v>
      </c>
    </row>
    <row r="22" spans="2:12" ht="14.4" customHeight="1" outlineLevel="2" x14ac:dyDescent="0.25">
      <c r="B22" s="61"/>
      <c r="C22" s="50"/>
      <c r="D22" s="50"/>
      <c r="E22" s="50"/>
      <c r="F22" s="50"/>
      <c r="G22" s="50"/>
    </row>
    <row r="23" spans="2:12" ht="14.4" customHeight="1" outlineLevel="2" x14ac:dyDescent="0.25">
      <c r="B23" s="61" t="s">
        <v>123</v>
      </c>
      <c r="C23" s="57">
        <v>-292900</v>
      </c>
      <c r="D23" s="57">
        <v>-311528</v>
      </c>
      <c r="E23" s="57">
        <v>-360858</v>
      </c>
      <c r="F23" s="57">
        <v>-443197</v>
      </c>
      <c r="G23" s="57">
        <v>-586604</v>
      </c>
      <c r="H23" s="70">
        <f>H64</f>
        <v>-648870.03635016771</v>
      </c>
      <c r="I23" s="70">
        <f t="shared" ref="I23:L23" si="20">I64</f>
        <v>-733152.3418680809</v>
      </c>
      <c r="J23" s="70">
        <f t="shared" si="20"/>
        <v>-836056.22163093975</v>
      </c>
      <c r="K23" s="70">
        <f t="shared" si="20"/>
        <v>-984626.13508386165</v>
      </c>
      <c r="L23" s="70">
        <f t="shared" si="20"/>
        <v>-1159479.7604553867</v>
      </c>
    </row>
    <row r="24" spans="2:12" ht="14.4" customHeight="1" outlineLevel="2" x14ac:dyDescent="0.25">
      <c r="B24" s="59" t="s">
        <v>118</v>
      </c>
      <c r="C24" s="51"/>
      <c r="D24" s="52">
        <f>(D23-C23)/C23</f>
        <v>6.3598497780812557E-2</v>
      </c>
      <c r="E24" s="52">
        <f t="shared" ref="E24" si="21">(E23-D23)/D23</f>
        <v>0.15834852725918697</v>
      </c>
      <c r="F24" s="52">
        <f t="shared" ref="F24" si="22">(F23-E23)/E23</f>
        <v>0.22817562586945558</v>
      </c>
      <c r="G24" s="52">
        <f>(G23-F23)/F23</f>
        <v>0.32357394115934901</v>
      </c>
      <c r="H24" s="46">
        <f t="shared" ref="H24" si="23">(H23-G23)/G23</f>
        <v>0.10614662762300923</v>
      </c>
      <c r="I24" s="46">
        <f t="shared" ref="I24" si="24">(I23-H23)/H23</f>
        <v>0.12989088846203031</v>
      </c>
      <c r="J24" s="46">
        <f t="shared" ref="J24" si="25">(J23-I23)/I23</f>
        <v>0.14035811370479775</v>
      </c>
      <c r="K24" s="46">
        <f t="shared" ref="K24" si="26">(K23-J23)/J23</f>
        <v>0.17770325680143687</v>
      </c>
      <c r="L24" s="46">
        <f t="shared" ref="L24" si="27">(L23-K23)/K23</f>
        <v>0.17758377432936268</v>
      </c>
    </row>
    <row r="25" spans="2:12" ht="14.4" customHeight="1" outlineLevel="2" x14ac:dyDescent="0.25">
      <c r="B25" s="61"/>
      <c r="C25" s="50"/>
      <c r="D25" s="50"/>
      <c r="E25" s="50"/>
      <c r="F25" s="50"/>
      <c r="G25" s="50"/>
    </row>
    <row r="26" spans="2:12" ht="14.4" customHeight="1" outlineLevel="2" x14ac:dyDescent="0.25">
      <c r="B26" s="61" t="s">
        <v>124</v>
      </c>
      <c r="C26" s="57">
        <v>85100</v>
      </c>
      <c r="D26" s="57">
        <v>2514.9999999999995</v>
      </c>
      <c r="E26" s="57">
        <v>24604</v>
      </c>
      <c r="F26" s="57">
        <v>109334</v>
      </c>
      <c r="G26" s="57">
        <v>213469</v>
      </c>
      <c r="H26" s="70">
        <f>H67</f>
        <v>129418.18685069191</v>
      </c>
      <c r="I26" s="70">
        <f t="shared" ref="I26:L26" si="28">I67</f>
        <v>130834.33249137041</v>
      </c>
      <c r="J26" s="70">
        <f t="shared" si="28"/>
        <v>180424.39333775005</v>
      </c>
      <c r="K26" s="70">
        <f t="shared" si="28"/>
        <v>238729.9070249194</v>
      </c>
      <c r="L26" s="70">
        <f t="shared" si="28"/>
        <v>280236.98883493757</v>
      </c>
    </row>
    <row r="27" spans="2:12" ht="14.4" customHeight="1" outlineLevel="2" x14ac:dyDescent="0.25">
      <c r="B27" s="59" t="s">
        <v>118</v>
      </c>
      <c r="C27" s="51"/>
      <c r="D27" s="52">
        <f>(D26-C26)/C26</f>
        <v>-0.97044653349001175</v>
      </c>
      <c r="E27" s="52">
        <f t="shared" ref="E27" si="29">(E26-D26)/D26</f>
        <v>8.7829025844930442</v>
      </c>
      <c r="F27" s="52">
        <f t="shared" ref="F27" si="30">(F26-E26)/E26</f>
        <v>3.4437489839050559</v>
      </c>
      <c r="G27" s="52">
        <f>(G26-F26)/F26</f>
        <v>0.95244846068011779</v>
      </c>
      <c r="H27" s="46">
        <f t="shared" ref="H27" si="31">(H26-G26)/G26</f>
        <v>-0.39373779400900405</v>
      </c>
      <c r="I27" s="46">
        <f t="shared" ref="I27" si="32">(I26-H26)/H26</f>
        <v>1.0942400563162648E-2</v>
      </c>
      <c r="J27" s="46">
        <f t="shared" ref="J27" si="33">(J26-I26)/I26</f>
        <v>0.37902941760069364</v>
      </c>
      <c r="K27" s="46">
        <f t="shared" ref="K27" si="34">(K26-J26)/J26</f>
        <v>0.32315759864035049</v>
      </c>
      <c r="L27" s="46">
        <f t="shared" ref="L27" si="35">(L26-K26)/K26</f>
        <v>0.17386628398295115</v>
      </c>
    </row>
    <row r="28" spans="2:12" ht="14.4" customHeight="1" outlineLevel="2" x14ac:dyDescent="0.25">
      <c r="B28" s="61"/>
      <c r="C28" s="50"/>
      <c r="D28" s="50"/>
      <c r="E28" s="50"/>
      <c r="F28" s="50"/>
      <c r="G28" s="50"/>
    </row>
    <row r="29" spans="2:12" ht="14.4" customHeight="1" outlineLevel="2" x14ac:dyDescent="0.25">
      <c r="B29" s="86" t="s">
        <v>125</v>
      </c>
      <c r="C29" s="57">
        <v>-2148</v>
      </c>
      <c r="D29" s="57">
        <v>0</v>
      </c>
      <c r="E29" s="57">
        <v>0</v>
      </c>
      <c r="F29" s="57">
        <v>-13065</v>
      </c>
      <c r="G29" s="57">
        <v>0</v>
      </c>
      <c r="H29" s="70">
        <f>H70</f>
        <v>-4496.6132408259655</v>
      </c>
      <c r="I29" s="70">
        <f t="shared" ref="I29:L29" si="36">I70</f>
        <v>-5012.4673253066421</v>
      </c>
      <c r="J29" s="70">
        <f t="shared" si="36"/>
        <v>-6969.0252048736447</v>
      </c>
      <c r="K29" s="70">
        <f t="shared" si="36"/>
        <v>-9689.3025239207927</v>
      </c>
      <c r="L29" s="70">
        <f t="shared" si="36"/>
        <v>-7296.0418281841248</v>
      </c>
    </row>
    <row r="30" spans="2:12" ht="14.4" customHeight="1" outlineLevel="2" x14ac:dyDescent="0.25">
      <c r="B30" s="59" t="s">
        <v>118</v>
      </c>
      <c r="C30" s="51"/>
      <c r="D30" s="52">
        <f>(D29-C29)/C29</f>
        <v>-1</v>
      </c>
      <c r="E30" s="52" t="e">
        <f t="shared" ref="E30" si="37">(E29-D29)/D29</f>
        <v>#DIV/0!</v>
      </c>
      <c r="F30" s="52" t="e">
        <f t="shared" ref="F30" si="38">(F29-E29)/E29</f>
        <v>#DIV/0!</v>
      </c>
      <c r="G30" s="52">
        <f>(G29-F29)/F29</f>
        <v>-1</v>
      </c>
      <c r="H30" s="46" t="e">
        <f>(H29-G29)/G29</f>
        <v>#DIV/0!</v>
      </c>
      <c r="I30" s="46">
        <f t="shared" ref="I30" si="39">(I29-H29)/H29</f>
        <v>0.11472058121367837</v>
      </c>
      <c r="J30" s="46">
        <f t="shared" ref="J30" si="40">(J29-I29)/I29</f>
        <v>0.39033828104750956</v>
      </c>
      <c r="K30" s="46">
        <f t="shared" ref="K30" si="41">(K29-J29)/J29</f>
        <v>0.39033828104750978</v>
      </c>
      <c r="L30" s="46">
        <f t="shared" ref="L30" si="42">(L29-K29)/K29</f>
        <v>-0.24700030676390017</v>
      </c>
    </row>
    <row r="31" spans="2:12" ht="14.4" customHeight="1" outlineLevel="2" x14ac:dyDescent="0.25">
      <c r="B31" s="61"/>
      <c r="C31" s="50"/>
      <c r="D31" s="50"/>
      <c r="E31" s="50"/>
      <c r="F31" s="50"/>
      <c r="G31" s="50"/>
    </row>
    <row r="32" spans="2:12" ht="14.4" customHeight="1" outlineLevel="2" x14ac:dyDescent="0.25">
      <c r="B32" s="61" t="s">
        <v>126</v>
      </c>
      <c r="C32" s="57">
        <v>-900</v>
      </c>
      <c r="D32" s="57">
        <v>-586</v>
      </c>
      <c r="E32" s="57">
        <v>-1317</v>
      </c>
      <c r="F32" s="57">
        <v>164</v>
      </c>
      <c r="G32" s="57">
        <v>-634</v>
      </c>
      <c r="H32" s="70">
        <f>H73</f>
        <v>-1226.0601028641154</v>
      </c>
      <c r="I32" s="70">
        <f t="shared" ref="I32:L32" si="43">I73</f>
        <v>-1185.3591624361877</v>
      </c>
      <c r="J32" s="70">
        <f t="shared" si="43"/>
        <v>-1303.3033679294485</v>
      </c>
      <c r="K32" s="70">
        <f t="shared" si="43"/>
        <v>-1163.2192979819376</v>
      </c>
      <c r="L32" s="70">
        <f t="shared" si="43"/>
        <v>-1694.7853561717202</v>
      </c>
    </row>
    <row r="33" spans="2:12" ht="14.4" customHeight="1" outlineLevel="2" x14ac:dyDescent="0.25">
      <c r="B33" s="59" t="s">
        <v>118</v>
      </c>
      <c r="C33" s="51"/>
      <c r="D33" s="52">
        <f>(D32-C32)/C32</f>
        <v>-0.34888888888888892</v>
      </c>
      <c r="E33" s="52">
        <f t="shared" ref="E33" si="44">(E32-D32)/D32</f>
        <v>1.2474402730375427</v>
      </c>
      <c r="F33" s="52">
        <f t="shared" ref="F33" si="45">(F32-E32)/E32</f>
        <v>-1.1245254365983295</v>
      </c>
      <c r="G33" s="52">
        <f>(G32-F32)/F32</f>
        <v>-4.8658536585365857</v>
      </c>
      <c r="H33" s="46">
        <f t="shared" ref="H33" si="46">(H32-G32)/G32</f>
        <v>0.9338487426878791</v>
      </c>
      <c r="I33" s="46">
        <f t="shared" ref="I33" si="47">(I32-H32)/H32</f>
        <v>-3.3196529544390993E-2</v>
      </c>
      <c r="J33" s="46">
        <f t="shared" ref="J33" si="48">(J32-I32)/I32</f>
        <v>9.9500817331059518E-2</v>
      </c>
      <c r="K33" s="46">
        <f t="shared" ref="K33" si="49">(K32-J32)/J32</f>
        <v>-0.10748385479127684</v>
      </c>
      <c r="L33" s="46">
        <f t="shared" ref="L33" si="50">(L32-K32)/K32</f>
        <v>0.45697836952326476</v>
      </c>
    </row>
    <row r="34" spans="2:12" ht="14.4" customHeight="1" outlineLevel="2" x14ac:dyDescent="0.25">
      <c r="B34" s="61"/>
      <c r="C34" s="50"/>
      <c r="D34" s="50"/>
      <c r="E34" s="50"/>
      <c r="F34" s="50"/>
      <c r="G34" s="50"/>
    </row>
    <row r="35" spans="2:12" ht="14.4" customHeight="1" outlineLevel="2" x14ac:dyDescent="0.25">
      <c r="B35" s="47" t="s">
        <v>127</v>
      </c>
      <c r="C35" s="49">
        <v>381899.99999999942</v>
      </c>
      <c r="D35" s="49">
        <v>298299.99999999959</v>
      </c>
      <c r="E35" s="49">
        <v>622192.00000000163</v>
      </c>
      <c r="F35" s="49">
        <v>636922.99999999814</v>
      </c>
      <c r="G35" s="49">
        <v>685787.9999999993</v>
      </c>
      <c r="H35" s="44">
        <f>H17+H20+H23+H26+H29+H32</f>
        <v>655262.98649535968</v>
      </c>
      <c r="I35" s="44">
        <f t="shared" ref="I35:L35" si="51">I17+I20+I23+I26+I29+I32</f>
        <v>827685.42448767484</v>
      </c>
      <c r="J35" s="44">
        <f t="shared" si="51"/>
        <v>1051730.5554611124</v>
      </c>
      <c r="K35" s="44">
        <f t="shared" si="51"/>
        <v>1210014.8629655105</v>
      </c>
      <c r="L35" s="44">
        <f t="shared" si="51"/>
        <v>1342737.0008283034</v>
      </c>
    </row>
    <row r="36" spans="2:12" ht="14.4" customHeight="1" outlineLevel="2" x14ac:dyDescent="0.25">
      <c r="B36" s="59" t="s">
        <v>128</v>
      </c>
      <c r="C36" s="53">
        <f>C35/C11</f>
        <v>8.0420316711590195E-2</v>
      </c>
      <c r="D36" s="53">
        <f t="shared" ref="D36:G36" si="52">D35/D11</f>
        <v>5.5280819334758376E-2</v>
      </c>
      <c r="E36" s="53">
        <f t="shared" si="52"/>
        <v>8.3336960899568768E-2</v>
      </c>
      <c r="F36" s="53">
        <f t="shared" si="52"/>
        <v>7.064481670001331E-2</v>
      </c>
      <c r="G36" s="53">
        <f t="shared" si="52"/>
        <v>6.7197962508015213E-2</v>
      </c>
      <c r="H36" s="53">
        <f>H35/H11</f>
        <v>5.5416950792571223E-2</v>
      </c>
      <c r="I36" s="53">
        <f t="shared" ref="I36:L36" si="53">I35/I11</f>
        <v>6.0416152124250798E-2</v>
      </c>
      <c r="J36" s="53">
        <f t="shared" si="53"/>
        <v>6.6260241029069231E-2</v>
      </c>
      <c r="K36" s="53">
        <f t="shared" si="53"/>
        <v>6.5796075490084871E-2</v>
      </c>
      <c r="L36" s="53">
        <f t="shared" si="53"/>
        <v>6.3017476388798455E-2</v>
      </c>
    </row>
    <row r="37" spans="2:12" ht="14.4" customHeight="1" outlineLevel="2" x14ac:dyDescent="0.25">
      <c r="B37" s="60"/>
      <c r="C37" s="50"/>
      <c r="D37" s="50"/>
      <c r="E37" s="50"/>
      <c r="F37" s="50"/>
      <c r="G37" s="50"/>
    </row>
    <row r="38" spans="2:12" ht="14.4" customHeight="1" outlineLevel="2" x14ac:dyDescent="0.25">
      <c r="B38" s="61" t="s">
        <v>129</v>
      </c>
      <c r="C38" s="57">
        <v>201900</v>
      </c>
      <c r="D38" s="57">
        <v>127248</v>
      </c>
      <c r="E38" s="57">
        <v>278206</v>
      </c>
      <c r="F38" s="57">
        <v>218319</v>
      </c>
      <c r="G38" s="57">
        <v>301981</v>
      </c>
      <c r="H38" s="70">
        <f>H79</f>
        <v>371673.01831885491</v>
      </c>
      <c r="I38" s="70">
        <f t="shared" ref="I38:L38" si="54">I79</f>
        <v>400259.60646594816</v>
      </c>
      <c r="J38" s="70">
        <f t="shared" si="54"/>
        <v>481635.59200872522</v>
      </c>
      <c r="K38" s="70">
        <f t="shared" si="54"/>
        <v>532579.64819518884</v>
      </c>
      <c r="L38" s="70">
        <f t="shared" si="54"/>
        <v>637274.15316305985</v>
      </c>
    </row>
    <row r="39" spans="2:12" ht="14.4" customHeight="1" outlineLevel="2" x14ac:dyDescent="0.25">
      <c r="B39" s="59" t="s">
        <v>118</v>
      </c>
      <c r="C39" s="51"/>
      <c r="D39" s="52">
        <f>(D38-C38)/C38</f>
        <v>-0.36974739970282317</v>
      </c>
      <c r="E39" s="52">
        <f t="shared" ref="E39" si="55">(E38-D38)/D38</f>
        <v>1.1863290582170249</v>
      </c>
      <c r="F39" s="52">
        <f t="shared" ref="F39" si="56">(F38-E38)/E38</f>
        <v>-0.21526135309806402</v>
      </c>
      <c r="G39" s="52">
        <f>(G38-F38)/F38</f>
        <v>0.38320989011492357</v>
      </c>
      <c r="H39" s="46">
        <f t="shared" ref="H39" si="57">(H38-G38)/G38</f>
        <v>0.23078279202617022</v>
      </c>
      <c r="I39" s="46">
        <f t="shared" ref="I39" si="58">(I38-H38)/H38</f>
        <v>7.6913272522163761E-2</v>
      </c>
      <c r="J39" s="46">
        <f t="shared" ref="J39" si="59">(J38-I38)/I38</f>
        <v>0.20330801366962334</v>
      </c>
      <c r="K39" s="46">
        <f t="shared" ref="K39" si="60">(K38-J38)/J38</f>
        <v>0.10577303054783528</v>
      </c>
      <c r="L39" s="46">
        <f t="shared" ref="L39" si="61">(L38-K38)/K38</f>
        <v>0.19657999572957918</v>
      </c>
    </row>
    <row r="40" spans="2:12" ht="14.4" customHeight="1" outlineLevel="2" x14ac:dyDescent="0.25">
      <c r="B40" s="61"/>
      <c r="C40" s="50"/>
      <c r="D40" s="50"/>
      <c r="E40" s="50"/>
      <c r="F40" s="50"/>
      <c r="G40" s="50"/>
    </row>
    <row r="41" spans="2:12" ht="14.4" customHeight="1" outlineLevel="2" x14ac:dyDescent="0.25">
      <c r="B41" s="61" t="s">
        <v>130</v>
      </c>
      <c r="C41" s="57">
        <v>-217800</v>
      </c>
      <c r="D41" s="57">
        <v>-189330</v>
      </c>
      <c r="E41" s="57">
        <v>-363235</v>
      </c>
      <c r="F41" s="57">
        <v>-345909</v>
      </c>
      <c r="G41" s="57">
        <v>-592544</v>
      </c>
      <c r="H41" s="70">
        <f>H82</f>
        <v>-534528.37798304099</v>
      </c>
      <c r="I41" s="70">
        <f t="shared" ref="I41:L41" si="62">I82</f>
        <v>-617509.71592337172</v>
      </c>
      <c r="J41" s="70">
        <f t="shared" si="62"/>
        <v>-747163.57177226851</v>
      </c>
      <c r="K41" s="70">
        <f t="shared" si="62"/>
        <v>-859864.26427528099</v>
      </c>
      <c r="L41" s="70">
        <f t="shared" si="62"/>
        <v>-1032003.1742920435</v>
      </c>
    </row>
    <row r="42" spans="2:12" ht="14.4" customHeight="1" outlineLevel="2" x14ac:dyDescent="0.25">
      <c r="B42" s="59" t="s">
        <v>118</v>
      </c>
      <c r="C42" s="51"/>
      <c r="D42" s="52">
        <f>(D41-C41)/C41</f>
        <v>-0.13071625344352616</v>
      </c>
      <c r="E42" s="52">
        <f t="shared" ref="E42" si="63">(E41-D41)/D41</f>
        <v>0.91852849521998625</v>
      </c>
      <c r="F42" s="52">
        <f t="shared" ref="F42" si="64">(F41-E41)/E41</f>
        <v>-4.769914793453274E-2</v>
      </c>
      <c r="G42" s="52">
        <f>(G41-F41)/F41</f>
        <v>0.71300544362823748</v>
      </c>
      <c r="H42" s="46">
        <f t="shared" ref="H42" si="65">(H41-G41)/G41</f>
        <v>-9.790939072365766E-2</v>
      </c>
      <c r="I42" s="46">
        <f t="shared" ref="I42" si="66">(I41-H41)/H41</f>
        <v>0.15524215618532322</v>
      </c>
      <c r="J42" s="46">
        <f t="shared" ref="J42" si="67">(J41-I41)/I41</f>
        <v>0.20996245484983728</v>
      </c>
      <c r="K42" s="46">
        <f t="shared" ref="K42" si="68">(K41-J41)/J41</f>
        <v>0.15083804505576598</v>
      </c>
      <c r="L42" s="46">
        <f t="shared" ref="L42" si="69">(L41-K41)/K41</f>
        <v>0.2001931202035083</v>
      </c>
    </row>
    <row r="43" spans="2:12" ht="14.4" customHeight="1" outlineLevel="2" x14ac:dyDescent="0.25">
      <c r="B43" s="61"/>
      <c r="C43" s="50"/>
      <c r="D43" s="50"/>
      <c r="E43" s="50"/>
      <c r="F43" s="50"/>
      <c r="G43" s="50"/>
    </row>
    <row r="44" spans="2:12" ht="14.4" customHeight="1" outlineLevel="2" x14ac:dyDescent="0.25">
      <c r="B44" s="47" t="s">
        <v>131</v>
      </c>
      <c r="C44" s="49">
        <v>365999.99999999942</v>
      </c>
      <c r="D44" s="49">
        <v>236217.99999999962</v>
      </c>
      <c r="E44" s="49">
        <v>537163.00000000163</v>
      </c>
      <c r="F44" s="49">
        <v>509332.99999999814</v>
      </c>
      <c r="G44" s="49">
        <v>395224.99999999936</v>
      </c>
      <c r="H44" s="44">
        <f>H35+H38+H41</f>
        <v>492407.62683117355</v>
      </c>
      <c r="I44" s="44">
        <f t="shared" ref="I44:L44" si="70">I35+I38+I41</f>
        <v>610435.31503025116</v>
      </c>
      <c r="J44" s="44">
        <f t="shared" si="70"/>
        <v>786202.57569756918</v>
      </c>
      <c r="K44" s="44">
        <f t="shared" si="70"/>
        <v>882730.24688541819</v>
      </c>
      <c r="L44" s="44">
        <f t="shared" si="70"/>
        <v>948007.97969931969</v>
      </c>
    </row>
    <row r="45" spans="2:12" ht="14.4" customHeight="1" outlineLevel="2" x14ac:dyDescent="0.25">
      <c r="B45" s="59" t="s">
        <v>132</v>
      </c>
      <c r="C45" s="53">
        <f>C44/C11</f>
        <v>7.7072102425875907E-2</v>
      </c>
      <c r="D45" s="53">
        <f t="shared" ref="D45:L45" si="71">D44/D11</f>
        <v>4.3775811537438654E-2</v>
      </c>
      <c r="E45" s="53">
        <f t="shared" si="71"/>
        <v>7.1948099505771662E-2</v>
      </c>
      <c r="F45" s="53">
        <f t="shared" si="71"/>
        <v>5.6493071257071655E-2</v>
      </c>
      <c r="G45" s="53">
        <f t="shared" si="71"/>
        <v>3.8726712529572258E-2</v>
      </c>
      <c r="H45" s="53">
        <f t="shared" si="71"/>
        <v>4.1643935012928061E-2</v>
      </c>
      <c r="I45" s="53">
        <f t="shared" si="71"/>
        <v>4.4558176045821865E-2</v>
      </c>
      <c r="J45" s="53">
        <f t="shared" si="71"/>
        <v>4.9531671294418468E-2</v>
      </c>
      <c r="K45" s="53">
        <f t="shared" si="71"/>
        <v>4.7999564087263379E-2</v>
      </c>
      <c r="L45" s="53">
        <f t="shared" si="71"/>
        <v>4.4492011794000995E-2</v>
      </c>
    </row>
    <row r="46" spans="2:12" ht="14.4" customHeight="1" outlineLevel="2" x14ac:dyDescent="0.25">
      <c r="B46" s="60"/>
      <c r="C46" s="50"/>
      <c r="D46" s="50"/>
      <c r="E46" s="50"/>
      <c r="F46" s="50"/>
      <c r="G46" s="50"/>
    </row>
    <row r="47" spans="2:12" ht="14.4" customHeight="1" outlineLevel="2" x14ac:dyDescent="0.25">
      <c r="B47" s="61" t="s">
        <v>133</v>
      </c>
      <c r="C47" s="57">
        <v>-33300</v>
      </c>
      <c r="D47" s="57">
        <v>-22133</v>
      </c>
      <c r="E47" s="57">
        <v>-73449</v>
      </c>
      <c r="F47" s="57">
        <v>-31064</v>
      </c>
      <c r="G47" s="57">
        <v>-26268</v>
      </c>
      <c r="H47" s="70">
        <f>H88</f>
        <v>-44205.300024407443</v>
      </c>
      <c r="I47" s="70">
        <f t="shared" ref="I47:L47" si="72">I88</f>
        <v>-54653.390524061164</v>
      </c>
      <c r="J47" s="70">
        <f t="shared" si="72"/>
        <v>-69735.166750799719</v>
      </c>
      <c r="K47" s="70">
        <f t="shared" si="72"/>
        <v>-69816.428124260652</v>
      </c>
      <c r="L47" s="70">
        <f t="shared" si="72"/>
        <v>-78411.487983308893</v>
      </c>
    </row>
    <row r="48" spans="2:12" ht="14.4" customHeight="1" outlineLevel="2" x14ac:dyDescent="0.25">
      <c r="B48" s="59" t="s">
        <v>118</v>
      </c>
      <c r="C48" s="51"/>
      <c r="D48" s="52">
        <f>(D47-C47)/C47</f>
        <v>-0.33534534534534532</v>
      </c>
      <c r="E48" s="52">
        <f t="shared" ref="E48" si="73">(E47-D47)/D47</f>
        <v>2.3185288935074322</v>
      </c>
      <c r="F48" s="52">
        <f t="shared" ref="F48" si="74">(F47-E47)/E47</f>
        <v>-0.57706708055929967</v>
      </c>
      <c r="G48" s="52">
        <f>(G47-F47)/F47</f>
        <v>-0.15439093484419264</v>
      </c>
      <c r="H48" s="46">
        <f t="shared" ref="H48" si="75">(H47-G47)/G47</f>
        <v>0.68285747009317199</v>
      </c>
      <c r="I48" s="46">
        <f t="shared" ref="I48" si="76">(I47-H47)/H47</f>
        <v>0.23635379680456708</v>
      </c>
      <c r="J48" s="46">
        <f t="shared" ref="J48" si="77">(J47-I47)/I47</f>
        <v>0.27595316744528048</v>
      </c>
      <c r="K48" s="46">
        <f t="shared" ref="K48" si="78">(K47-J47)/J47</f>
        <v>1.1652854255202766E-3</v>
      </c>
      <c r="L48" s="46">
        <f t="shared" ref="L48" si="79">(L47-K47)/K47</f>
        <v>0.1231094183699943</v>
      </c>
    </row>
    <row r="49" spans="2:12" ht="14.4" customHeight="1" outlineLevel="2" x14ac:dyDescent="0.25">
      <c r="B49" s="61"/>
      <c r="C49" s="50"/>
      <c r="D49" s="50"/>
      <c r="E49" s="50"/>
      <c r="F49" s="50"/>
      <c r="G49" s="50"/>
    </row>
    <row r="50" spans="2:12" ht="14.4" customHeight="1" outlineLevel="2" x14ac:dyDescent="0.25">
      <c r="B50" s="61" t="s">
        <v>134</v>
      </c>
      <c r="C50" s="57">
        <v>29600</v>
      </c>
      <c r="D50" s="57">
        <v>25549.000000000004</v>
      </c>
      <c r="E50" s="57">
        <v>-1038</v>
      </c>
      <c r="F50" s="57">
        <v>446</v>
      </c>
      <c r="G50" s="57">
        <v>-15273</v>
      </c>
      <c r="H50" s="70">
        <f>H91</f>
        <v>14706.477863095775</v>
      </c>
      <c r="I50" s="70">
        <f t="shared" ref="I50:L50" si="80">I91</f>
        <v>12004.15016992132</v>
      </c>
      <c r="J50" s="70">
        <f t="shared" si="80"/>
        <v>1545.8066467754272</v>
      </c>
      <c r="K50" s="70">
        <f t="shared" si="80"/>
        <v>2423.8686187451781</v>
      </c>
      <c r="L50" s="70">
        <f t="shared" si="80"/>
        <v>2957.7102971277618</v>
      </c>
    </row>
    <row r="51" spans="2:12" ht="14.4" customHeight="1" outlineLevel="2" x14ac:dyDescent="0.25">
      <c r="B51" s="59" t="s">
        <v>118</v>
      </c>
      <c r="C51" s="51"/>
      <c r="D51" s="52">
        <f>(D50-C50)/C50</f>
        <v>-0.13685810810810797</v>
      </c>
      <c r="E51" s="52">
        <f t="shared" ref="E51" si="81">(E50-D50)/D50</f>
        <v>-1.0406278132216524</v>
      </c>
      <c r="F51" s="52">
        <f t="shared" ref="F51" si="82">(F50-E50)/E50</f>
        <v>-1.4296724470134874</v>
      </c>
      <c r="G51" s="52">
        <f>(G50-F50)/F50</f>
        <v>-35.244394618834079</v>
      </c>
      <c r="H51" s="46">
        <f t="shared" ref="H51" si="83">(H50-G50)/G50</f>
        <v>-1.9629069510309549</v>
      </c>
      <c r="I51" s="46">
        <f t="shared" ref="I51" si="84">(I50-H50)/H50</f>
        <v>-0.1837508422023765</v>
      </c>
      <c r="J51" s="46">
        <f t="shared" ref="J51" si="85">(J50-I50)/I50</f>
        <v>-0.87122731514566187</v>
      </c>
      <c r="K51" s="46">
        <f t="shared" ref="K51" si="86">(K50-J50)/J50</f>
        <v>0.568028332522311</v>
      </c>
      <c r="L51" s="46">
        <f t="shared" ref="L51" si="87">(L50-K50)/K50</f>
        <v>0.22024365275167029</v>
      </c>
    </row>
    <row r="52" spans="2:12" ht="14.4" customHeight="1" outlineLevel="2" x14ac:dyDescent="0.25">
      <c r="B52" s="61"/>
      <c r="C52" s="50"/>
      <c r="D52" s="50"/>
      <c r="E52" s="50"/>
      <c r="F52" s="50"/>
      <c r="G52" s="50"/>
    </row>
    <row r="53" spans="2:12" ht="14.4" customHeight="1" outlineLevel="2" x14ac:dyDescent="0.25">
      <c r="B53" s="58" t="s">
        <v>108</v>
      </c>
      <c r="C53" s="49">
        <v>362299.99999999942</v>
      </c>
      <c r="D53" s="49">
        <v>239633.99999999962</v>
      </c>
      <c r="E53" s="49">
        <v>462676.00000000163</v>
      </c>
      <c r="F53" s="49">
        <v>478714.99999999814</v>
      </c>
      <c r="G53" s="49">
        <v>353683.99999999936</v>
      </c>
      <c r="H53" s="44">
        <f>SUM(H44+H47+H50)</f>
        <v>462908.80466986186</v>
      </c>
      <c r="I53" s="44">
        <f t="shared" ref="I53:L53" si="88">SUM(I44+I47+I50)</f>
        <v>567786.07467611134</v>
      </c>
      <c r="J53" s="44">
        <f t="shared" si="88"/>
        <v>718013.21559354488</v>
      </c>
      <c r="K53" s="44">
        <f t="shared" si="88"/>
        <v>815337.68737990269</v>
      </c>
      <c r="L53" s="44">
        <f t="shared" si="88"/>
        <v>872554.20201313857</v>
      </c>
    </row>
    <row r="54" spans="2:12" ht="14.4" customHeight="1" outlineLevel="2" x14ac:dyDescent="0.25">
      <c r="B54" s="59" t="s">
        <v>135</v>
      </c>
      <c r="C54" s="54">
        <f>C53/C11</f>
        <v>7.6292958221024151E-2</v>
      </c>
      <c r="D54" s="54">
        <f t="shared" ref="D54:L54" si="89">D53/D11</f>
        <v>4.4408863092408601E-2</v>
      </c>
      <c r="E54" s="54">
        <f t="shared" si="89"/>
        <v>6.1971243155117574E-2</v>
      </c>
      <c r="F54" s="54">
        <f t="shared" si="89"/>
        <v>5.3097051647603928E-2</v>
      </c>
      <c r="G54" s="54">
        <f t="shared" si="89"/>
        <v>3.4656255536236906E-2</v>
      </c>
      <c r="H54" s="54">
        <f t="shared" si="89"/>
        <v>3.9149158396755195E-2</v>
      </c>
      <c r="I54" s="54">
        <f t="shared" si="89"/>
        <v>4.144503315724872E-2</v>
      </c>
      <c r="J54" s="54">
        <f t="shared" si="89"/>
        <v>4.5235662765760958E-2</v>
      </c>
      <c r="K54" s="54">
        <f t="shared" si="89"/>
        <v>4.4335009156237441E-2</v>
      </c>
      <c r="L54" s="54">
        <f t="shared" si="89"/>
        <v>4.0950807037707419E-2</v>
      </c>
    </row>
    <row r="55" spans="2:12" ht="14.4" customHeight="1" outlineLevel="2" x14ac:dyDescent="0.25">
      <c r="B55" s="59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7" spans="2:12" ht="14.4" customHeight="1" x14ac:dyDescent="0.25">
      <c r="B57" s="63" t="s">
        <v>136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</row>
    <row r="58" spans="2:12" ht="14.4" customHeight="1" outlineLevel="1" x14ac:dyDescent="0.25"/>
    <row r="59" spans="2:12" ht="14.4" customHeight="1" outlineLevel="1" x14ac:dyDescent="0.25">
      <c r="B59" s="67" t="s">
        <v>137</v>
      </c>
      <c r="C59" s="65"/>
      <c r="D59" s="65"/>
      <c r="E59" s="65"/>
      <c r="F59" s="65"/>
      <c r="G59" s="65"/>
      <c r="H59" s="66"/>
      <c r="I59" s="66"/>
      <c r="J59" s="66"/>
      <c r="K59" s="66"/>
      <c r="L59" s="66"/>
    </row>
    <row r="60" spans="2:12" ht="14.4" customHeight="1" outlineLevel="2" x14ac:dyDescent="0.25">
      <c r="B60" s="60"/>
      <c r="C60" s="50"/>
      <c r="D60" s="50"/>
      <c r="E60" s="50"/>
      <c r="F60" s="50"/>
      <c r="G60" s="50"/>
    </row>
    <row r="61" spans="2:12" ht="14.4" customHeight="1" outlineLevel="2" x14ac:dyDescent="0.25">
      <c r="B61" s="61" t="s">
        <v>122</v>
      </c>
      <c r="C61" s="57">
        <f>C20</f>
        <v>-631100</v>
      </c>
      <c r="D61" s="57">
        <f t="shared" ref="D61:G61" si="90">D20</f>
        <v>-642930</v>
      </c>
      <c r="E61" s="57">
        <f t="shared" si="90"/>
        <v>-701222</v>
      </c>
      <c r="F61" s="57">
        <f t="shared" si="90"/>
        <v>-807525</v>
      </c>
      <c r="G61" s="57">
        <f t="shared" si="90"/>
        <v>-1060306</v>
      </c>
      <c r="H61" s="68">
        <f>$H$11*AVERAGE(C62:G62)</f>
        <v>-1275668.0568916579</v>
      </c>
      <c r="I61" s="68">
        <f>$I$11*AVERAGE(D62:H62)</f>
        <v>-1409480.0655009495</v>
      </c>
      <c r="J61" s="68">
        <f>$J$11*AVERAGE(E62:I62)</f>
        <v>-1581415.0235025331</v>
      </c>
      <c r="K61" s="68">
        <f>$K$11*AVERAGE(F62:J62)</f>
        <v>-1853248.4390215839</v>
      </c>
      <c r="L61" s="68">
        <f>$L$11*AVERAGE(G62:K62)</f>
        <v>-2194953.558512595</v>
      </c>
    </row>
    <row r="62" spans="2:12" ht="14.4" customHeight="1" outlineLevel="2" x14ac:dyDescent="0.25">
      <c r="B62" s="59" t="s">
        <v>138</v>
      </c>
      <c r="C62" s="52">
        <f>C61/$C$11</f>
        <v>-0.13289673180592995</v>
      </c>
      <c r="D62" s="52">
        <f>D61/$D$11</f>
        <v>-0.11914749304356771</v>
      </c>
      <c r="E62" s="52">
        <f>E61/$E$11</f>
        <v>-9.3922310791391184E-2</v>
      </c>
      <c r="F62" s="52">
        <f>F61/$F$11</f>
        <v>-8.9567272033948236E-2</v>
      </c>
      <c r="G62" s="52">
        <f>G61/$G$11</f>
        <v>-0.10389566868335937</v>
      </c>
      <c r="H62" s="46">
        <f>H61/$H$11</f>
        <v>-0.10788589527163926</v>
      </c>
      <c r="I62" s="46">
        <f>I61/$I$11</f>
        <v>-0.10288372796478114</v>
      </c>
      <c r="J62" s="46">
        <f>J61/$J$11</f>
        <v>-9.9630974949023829E-2</v>
      </c>
      <c r="K62" s="46">
        <f>K61/$K$11</f>
        <v>-0.10077270778055036</v>
      </c>
      <c r="L62" s="46">
        <f>L61/$L$11</f>
        <v>-0.1030137949298708</v>
      </c>
    </row>
    <row r="63" spans="2:12" ht="14.4" customHeight="1" outlineLevel="2" x14ac:dyDescent="0.25">
      <c r="B63" s="61"/>
      <c r="C63" s="50"/>
      <c r="D63" s="50"/>
      <c r="E63" s="50"/>
      <c r="F63" s="50"/>
      <c r="G63" s="50"/>
    </row>
    <row r="64" spans="2:12" ht="14.4" customHeight="1" outlineLevel="2" x14ac:dyDescent="0.25">
      <c r="B64" s="61" t="s">
        <v>139</v>
      </c>
      <c r="C64" s="57">
        <f>C23</f>
        <v>-292900</v>
      </c>
      <c r="D64" s="57">
        <f t="shared" ref="D64:G64" si="91">D23</f>
        <v>-311528</v>
      </c>
      <c r="E64" s="57">
        <f t="shared" si="91"/>
        <v>-360858</v>
      </c>
      <c r="F64" s="57">
        <f t="shared" si="91"/>
        <v>-443197</v>
      </c>
      <c r="G64" s="57">
        <f t="shared" si="91"/>
        <v>-586604</v>
      </c>
      <c r="H64" s="68">
        <f>$H$11*AVERAGE(C65:G65)</f>
        <v>-648870.03635016771</v>
      </c>
      <c r="I64" s="68">
        <f>$I$11*AVERAGE(D65:H65)</f>
        <v>-733152.3418680809</v>
      </c>
      <c r="J64" s="68">
        <f>$J$11*AVERAGE(E65:I65)</f>
        <v>-836056.22163093975</v>
      </c>
      <c r="K64" s="68">
        <f>$K$11*AVERAGE(F65:J65)</f>
        <v>-984626.13508386165</v>
      </c>
      <c r="L64" s="68">
        <f>$L$11*AVERAGE(G65:K65)</f>
        <v>-1159479.7604553867</v>
      </c>
    </row>
    <row r="65" spans="2:12" ht="14.4" customHeight="1" outlineLevel="2" x14ac:dyDescent="0.25">
      <c r="B65" s="59" t="s">
        <v>138</v>
      </c>
      <c r="C65" s="52">
        <f>C64/$C$11</f>
        <v>-6.1678739892183303E-2</v>
      </c>
      <c r="D65" s="52">
        <f>D64/$D$11</f>
        <v>-5.773222623439031E-2</v>
      </c>
      <c r="E65" s="52">
        <f>E64/$E$11</f>
        <v>-4.8333647871230276E-2</v>
      </c>
      <c r="F65" s="52">
        <f>F64/$F$11</f>
        <v>-4.9157544674938554E-2</v>
      </c>
      <c r="G65" s="52">
        <f>G64/$G$11</f>
        <v>-5.7479269977094669E-2</v>
      </c>
      <c r="H65" s="46">
        <f>H64/$H$11</f>
        <v>-5.4876285729967424E-2</v>
      </c>
      <c r="I65" s="46">
        <f>I64/$I$11</f>
        <v>-5.3515794897524248E-2</v>
      </c>
      <c r="J65" s="46">
        <f>J64/$J$11</f>
        <v>-5.2672508630151035E-2</v>
      </c>
      <c r="K65" s="46">
        <f>K64/$K$11</f>
        <v>-5.3540280781935193E-2</v>
      </c>
      <c r="L65" s="46">
        <f>L64/$L$11</f>
        <v>-5.4416828003334514E-2</v>
      </c>
    </row>
    <row r="66" spans="2:12" ht="14.4" customHeight="1" outlineLevel="2" x14ac:dyDescent="0.25">
      <c r="B66" s="61"/>
      <c r="C66" s="50"/>
      <c r="D66" s="50"/>
      <c r="E66" s="50"/>
      <c r="F66" s="50"/>
      <c r="G66" s="50"/>
    </row>
    <row r="67" spans="2:12" ht="14.4" customHeight="1" outlineLevel="2" x14ac:dyDescent="0.25">
      <c r="B67" s="61" t="s">
        <v>140</v>
      </c>
      <c r="C67" s="57">
        <f>C26</f>
        <v>85100</v>
      </c>
      <c r="D67" s="57">
        <f t="shared" ref="D67:G67" si="92">D26</f>
        <v>2514.9999999999995</v>
      </c>
      <c r="E67" s="57">
        <f t="shared" si="92"/>
        <v>24604</v>
      </c>
      <c r="F67" s="57">
        <f t="shared" si="92"/>
        <v>109334</v>
      </c>
      <c r="G67" s="57">
        <f t="shared" si="92"/>
        <v>213469</v>
      </c>
      <c r="H67" s="68">
        <f>$H$11*AVERAGE(C68:G68)</f>
        <v>129418.18685069191</v>
      </c>
      <c r="I67" s="68">
        <f>$I$11*AVERAGE(D68:H68)</f>
        <v>130834.33249137041</v>
      </c>
      <c r="J67" s="68">
        <f>$J$11*AVERAGE(E68:I68)</f>
        <v>180424.39333775005</v>
      </c>
      <c r="K67" s="68">
        <f>$K$11*AVERAGE(F68:J68)</f>
        <v>238729.9070249194</v>
      </c>
      <c r="L67" s="68">
        <f>$L$11*AVERAGE(G68:K68)</f>
        <v>280236.98883493757</v>
      </c>
    </row>
    <row r="68" spans="2:12" ht="14.4" customHeight="1" outlineLevel="2" x14ac:dyDescent="0.25">
      <c r="B68" s="59" t="s">
        <v>138</v>
      </c>
      <c r="C68" s="52">
        <f>C67/$C$11</f>
        <v>1.7920316711590299E-2</v>
      </c>
      <c r="D68" s="52">
        <f>D67/$D$11</f>
        <v>4.6607864776036702E-4</v>
      </c>
      <c r="E68" s="52">
        <f>E67/$E$11</f>
        <v>3.2954820794432985E-3</v>
      </c>
      <c r="F68" s="52">
        <f>F67/$F$11</f>
        <v>1.212686680977022E-2</v>
      </c>
      <c r="G68" s="52">
        <f>G67/$G$11</f>
        <v>2.0917079124486742E-2</v>
      </c>
      <c r="H68" s="46">
        <f>H67/$H$11</f>
        <v>1.0945164674610186E-2</v>
      </c>
      <c r="I68" s="46">
        <f>I67/$I$11</f>
        <v>9.5501342672141623E-3</v>
      </c>
      <c r="J68" s="46">
        <f>J67/$J$11</f>
        <v>1.1366945391104921E-2</v>
      </c>
      <c r="K68" s="46">
        <f>K67/$K$11</f>
        <v>1.2981238053437247E-2</v>
      </c>
      <c r="L68" s="46">
        <f>L67/$L$11</f>
        <v>1.3152112302170652E-2</v>
      </c>
    </row>
    <row r="69" spans="2:12" ht="14.4" customHeight="1" outlineLevel="2" x14ac:dyDescent="0.25">
      <c r="B69" s="61"/>
      <c r="C69" s="50"/>
      <c r="D69" s="50"/>
      <c r="E69" s="50"/>
      <c r="F69" s="50"/>
      <c r="G69" s="50"/>
    </row>
    <row r="70" spans="2:12" ht="14.4" customHeight="1" outlineLevel="2" x14ac:dyDescent="0.25">
      <c r="B70" s="61" t="s">
        <v>141</v>
      </c>
      <c r="C70" s="57">
        <f>C29</f>
        <v>-2148</v>
      </c>
      <c r="D70" s="57">
        <f t="shared" ref="D70:G70" si="93">D29</f>
        <v>0</v>
      </c>
      <c r="E70" s="57">
        <f t="shared" si="93"/>
        <v>0</v>
      </c>
      <c r="F70" s="57">
        <f t="shared" si="93"/>
        <v>-13065</v>
      </c>
      <c r="G70" s="57">
        <f t="shared" si="93"/>
        <v>0</v>
      </c>
      <c r="H70" s="68">
        <f>$H$11*AVERAGE(C71:G71)</f>
        <v>-4496.6132408259655</v>
      </c>
      <c r="I70" s="68">
        <f>$I$11*AVERAGE(D71:H71)</f>
        <v>-5012.4673253066421</v>
      </c>
      <c r="J70" s="68">
        <f>$J$11*AVERAGE(E71:I71)</f>
        <v>-6969.0252048736447</v>
      </c>
      <c r="K70" s="68">
        <f>$K$11*AVERAGE(F71:J71)</f>
        <v>-9689.3025239207927</v>
      </c>
      <c r="L70" s="68">
        <f>$L$11*AVERAGE(G71:K71)</f>
        <v>-7296.0418281841248</v>
      </c>
    </row>
    <row r="71" spans="2:12" ht="14.4" customHeight="1" outlineLevel="2" x14ac:dyDescent="0.25">
      <c r="B71" s="59" t="s">
        <v>138</v>
      </c>
      <c r="C71" s="52">
        <f>C70/$C$11</f>
        <v>-4.5232479784366585E-4</v>
      </c>
      <c r="D71" s="52">
        <f>D70/$D$11</f>
        <v>0</v>
      </c>
      <c r="E71" s="52">
        <f>E70/$E$11</f>
        <v>0</v>
      </c>
      <c r="F71" s="52">
        <f>F70/$F$11</f>
        <v>-1.4491147755469288E-3</v>
      </c>
      <c r="G71" s="52">
        <f>G70/$G$11</f>
        <v>0</v>
      </c>
      <c r="H71" s="46">
        <f>H70/$H$11</f>
        <v>-3.8028791467811893E-4</v>
      </c>
      <c r="I71" s="46">
        <f>I70/$I$11</f>
        <v>-3.6588053804500955E-4</v>
      </c>
      <c r="J71" s="46">
        <f>J70/$J$11</f>
        <v>-4.3905664565401144E-4</v>
      </c>
      <c r="K71" s="46">
        <f>K70/$K$11</f>
        <v>-5.2686797478481372E-4</v>
      </c>
      <c r="L71" s="46">
        <f>L70/$L$11</f>
        <v>-3.4241861463239076E-4</v>
      </c>
    </row>
    <row r="72" spans="2:12" ht="14.4" customHeight="1" outlineLevel="2" x14ac:dyDescent="0.25">
      <c r="B72" s="61"/>
      <c r="C72" s="50"/>
      <c r="D72" s="50"/>
      <c r="E72" s="50"/>
      <c r="F72" s="50"/>
      <c r="G72" s="50"/>
    </row>
    <row r="73" spans="2:12" ht="14.4" customHeight="1" outlineLevel="2" x14ac:dyDescent="0.25">
      <c r="B73" s="61" t="s">
        <v>142</v>
      </c>
      <c r="C73" s="57">
        <f>C32</f>
        <v>-900</v>
      </c>
      <c r="D73" s="57">
        <f t="shared" ref="D73:G73" si="94">D32</f>
        <v>-586</v>
      </c>
      <c r="E73" s="57">
        <f t="shared" si="94"/>
        <v>-1317</v>
      </c>
      <c r="F73" s="57">
        <f t="shared" si="94"/>
        <v>164</v>
      </c>
      <c r="G73" s="57">
        <f t="shared" si="94"/>
        <v>-634</v>
      </c>
      <c r="H73" s="68">
        <f>$H$11*AVERAGE(C74:G74)</f>
        <v>-1226.0601028641154</v>
      </c>
      <c r="I73" s="68">
        <f>$I$11*AVERAGE(D74:H74)</f>
        <v>-1185.3591624361877</v>
      </c>
      <c r="J73" s="68">
        <f>$J$11*AVERAGE(E74:I74)</f>
        <v>-1303.3033679294485</v>
      </c>
      <c r="K73" s="68">
        <f>$K$11*AVERAGE(F74:J74)</f>
        <v>-1163.2192979819376</v>
      </c>
      <c r="L73" s="68">
        <f>$L$11*AVERAGE(G74:K74)</f>
        <v>-1694.7853561717202</v>
      </c>
    </row>
    <row r="74" spans="2:12" ht="14.4" customHeight="1" outlineLevel="2" x14ac:dyDescent="0.25">
      <c r="B74" s="59" t="s">
        <v>138</v>
      </c>
      <c r="C74" s="52">
        <f>C73/$C$11</f>
        <v>-1.8952156334231808E-4</v>
      </c>
      <c r="D74" s="52">
        <f>D73/$D$11</f>
        <v>-1.085972515258748E-4</v>
      </c>
      <c r="E74" s="52">
        <f>E73/$E$11</f>
        <v>-1.7640017471251925E-4</v>
      </c>
      <c r="F74" s="52">
        <f>F73/$F$11</f>
        <v>1.8190189298866923E-5</v>
      </c>
      <c r="G74" s="52">
        <f>G73/$G$11</f>
        <v>-6.2123437899294951E-5</v>
      </c>
      <c r="H74" s="46">
        <f>H73/$H$11</f>
        <v>-1.0369044763622803E-4</v>
      </c>
      <c r="I74" s="46">
        <f>I73/$I$11</f>
        <v>-8.6524224495009998E-5</v>
      </c>
      <c r="J74" s="46">
        <f>J73/$J$11</f>
        <v>-8.2109619088837049E-5</v>
      </c>
      <c r="K74" s="46">
        <f>K73/$K$11</f>
        <v>-6.3251507964100614E-5</v>
      </c>
      <c r="L74" s="46">
        <f>L73/$L$11</f>
        <v>-7.9539847416694134E-5</v>
      </c>
    </row>
    <row r="75" spans="2:12" ht="14.4" customHeight="1" outlineLevel="2" x14ac:dyDescent="0.25">
      <c r="B75" s="59"/>
      <c r="C75" s="52"/>
      <c r="D75" s="52"/>
      <c r="E75" s="52"/>
      <c r="F75" s="52"/>
      <c r="G75" s="52"/>
      <c r="H75" s="69"/>
      <c r="I75" s="69"/>
      <c r="J75" s="69"/>
      <c r="K75" s="69"/>
      <c r="L75" s="69"/>
    </row>
    <row r="76" spans="2:12" ht="14.4" customHeight="1" outlineLevel="1" x14ac:dyDescent="0.25"/>
    <row r="77" spans="2:12" ht="14.4" customHeight="1" outlineLevel="1" x14ac:dyDescent="0.25">
      <c r="B77" s="67" t="s">
        <v>143</v>
      </c>
      <c r="C77" s="65"/>
      <c r="D77" s="65"/>
      <c r="E77" s="65"/>
      <c r="F77" s="65"/>
      <c r="G77" s="65"/>
      <c r="H77" s="66"/>
      <c r="I77" s="66"/>
      <c r="J77" s="66"/>
      <c r="K77" s="66"/>
      <c r="L77" s="66"/>
    </row>
    <row r="78" spans="2:12" ht="14.4" customHeight="1" outlineLevel="2" x14ac:dyDescent="0.25"/>
    <row r="79" spans="2:12" ht="14.4" customHeight="1" outlineLevel="2" x14ac:dyDescent="0.25">
      <c r="B79" s="61" t="s">
        <v>129</v>
      </c>
      <c r="C79" s="57">
        <f>C38</f>
        <v>201900</v>
      </c>
      <c r="D79" s="57">
        <f t="shared" ref="D79:G79" si="95">D38</f>
        <v>127248</v>
      </c>
      <c r="E79" s="57">
        <f t="shared" si="95"/>
        <v>278206</v>
      </c>
      <c r="F79" s="57">
        <f t="shared" si="95"/>
        <v>218319</v>
      </c>
      <c r="G79" s="57">
        <f t="shared" si="95"/>
        <v>301981</v>
      </c>
      <c r="H79" s="68">
        <f>H11*AVERAGE(C80:G80)</f>
        <v>371673.01831885491</v>
      </c>
      <c r="I79" s="68">
        <f>I11*AVERAGE(D80:H80)</f>
        <v>400259.60646594816</v>
      </c>
      <c r="J79" s="68">
        <f>J11*AVERAGE(E80:I80)</f>
        <v>481635.59200872522</v>
      </c>
      <c r="K79" s="68">
        <f>K11*AVERAGE(F80:J80)</f>
        <v>532579.64819518884</v>
      </c>
      <c r="L79" s="68">
        <f>L11*AVERAGE(G80:K80)</f>
        <v>637274.15316305985</v>
      </c>
    </row>
    <row r="80" spans="2:12" ht="14.4" customHeight="1" outlineLevel="2" x14ac:dyDescent="0.25">
      <c r="B80" s="59" t="s">
        <v>138</v>
      </c>
      <c r="C80" s="52">
        <f t="shared" ref="C80:L80" si="96">C79/C11</f>
        <v>4.2516004043126693E-2</v>
      </c>
      <c r="D80" s="52">
        <f t="shared" si="96"/>
        <v>2.358154106171419E-2</v>
      </c>
      <c r="E80" s="52">
        <f t="shared" si="96"/>
        <v>3.7263164013721435E-2</v>
      </c>
      <c r="F80" s="52">
        <f t="shared" si="96"/>
        <v>2.4215024009386143E-2</v>
      </c>
      <c r="G80" s="52">
        <f t="shared" si="96"/>
        <v>2.9590059779600931E-2</v>
      </c>
      <c r="H80" s="46">
        <f t="shared" si="96"/>
        <v>3.1433158581509878E-2</v>
      </c>
      <c r="I80" s="46">
        <f t="shared" si="96"/>
        <v>2.9216589489186519E-2</v>
      </c>
      <c r="J80" s="46">
        <f t="shared" si="96"/>
        <v>3.034359917468098E-2</v>
      </c>
      <c r="K80" s="46">
        <f t="shared" si="96"/>
        <v>2.8959686206872892E-2</v>
      </c>
      <c r="L80" s="46">
        <f t="shared" si="96"/>
        <v>2.9908618646370243E-2</v>
      </c>
    </row>
    <row r="81" spans="2:12" ht="14.4" customHeight="1" outlineLevel="2" x14ac:dyDescent="0.25">
      <c r="B81" s="61"/>
      <c r="C81" s="50"/>
      <c r="D81" s="50"/>
      <c r="E81" s="50"/>
      <c r="F81" s="50"/>
      <c r="G81" s="50"/>
    </row>
    <row r="82" spans="2:12" ht="14.4" customHeight="1" outlineLevel="2" x14ac:dyDescent="0.25">
      <c r="B82" s="61" t="s">
        <v>130</v>
      </c>
      <c r="C82" s="57">
        <f>C41</f>
        <v>-217800</v>
      </c>
      <c r="D82" s="57">
        <f t="shared" ref="D82:G82" si="97">D41</f>
        <v>-189330</v>
      </c>
      <c r="E82" s="57">
        <f t="shared" si="97"/>
        <v>-363235</v>
      </c>
      <c r="F82" s="57">
        <f t="shared" si="97"/>
        <v>-345909</v>
      </c>
      <c r="G82" s="57">
        <f t="shared" si="97"/>
        <v>-592544</v>
      </c>
      <c r="H82" s="68">
        <f>H11*AVERAGE(C83:G83)</f>
        <v>-534528.37798304099</v>
      </c>
      <c r="I82" s="68">
        <f>I11*AVERAGE(D83:H83)</f>
        <v>-617509.71592337172</v>
      </c>
      <c r="J82" s="68">
        <f>J11*AVERAGE(E83:I83)</f>
        <v>-747163.57177226851</v>
      </c>
      <c r="K82" s="68">
        <f>K11*AVERAGE(F83:J83)</f>
        <v>-859864.26427528099</v>
      </c>
      <c r="L82" s="68">
        <f>L11*AVERAGE(G83:K83)</f>
        <v>-1032003.1742920435</v>
      </c>
    </row>
    <row r="83" spans="2:12" ht="14.4" customHeight="1" outlineLevel="2" x14ac:dyDescent="0.25">
      <c r="B83" s="59" t="s">
        <v>138</v>
      </c>
      <c r="C83" s="52">
        <f t="shared" ref="C83:L83" si="98">C82/C11</f>
        <v>-4.586421832884098E-2</v>
      </c>
      <c r="D83" s="52">
        <f t="shared" si="98"/>
        <v>-3.5086548859033916E-2</v>
      </c>
      <c r="E83" s="52">
        <f t="shared" si="98"/>
        <v>-4.8652025407518555E-2</v>
      </c>
      <c r="F83" s="52">
        <f t="shared" si="98"/>
        <v>-3.8366769452327795E-2</v>
      </c>
      <c r="G83" s="52">
        <f t="shared" si="98"/>
        <v>-5.8061309758043897E-2</v>
      </c>
      <c r="H83" s="46">
        <f t="shared" si="98"/>
        <v>-4.5206174361153033E-2</v>
      </c>
      <c r="I83" s="46">
        <f t="shared" si="98"/>
        <v>-4.5074565567615445E-2</v>
      </c>
      <c r="J83" s="46">
        <f t="shared" si="98"/>
        <v>-4.7072168909331739E-2</v>
      </c>
      <c r="K83" s="46">
        <f t="shared" si="98"/>
        <v>-4.6756197609694385E-2</v>
      </c>
      <c r="L83" s="46">
        <f t="shared" si="98"/>
        <v>-4.84340832411677E-2</v>
      </c>
    </row>
    <row r="84" spans="2:12" ht="14.4" customHeight="1" outlineLevel="2" x14ac:dyDescent="0.25"/>
    <row r="85" spans="2:12" ht="14.4" customHeight="1" outlineLevel="1" x14ac:dyDescent="0.25"/>
    <row r="86" spans="2:12" ht="14.4" customHeight="1" outlineLevel="1" x14ac:dyDescent="0.25">
      <c r="B86" s="71" t="s">
        <v>144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</row>
    <row r="87" spans="2:12" ht="14.4" customHeight="1" outlineLevel="2" x14ac:dyDescent="0.25"/>
    <row r="88" spans="2:12" ht="14.4" customHeight="1" outlineLevel="2" x14ac:dyDescent="0.25">
      <c r="B88" s="61" t="s">
        <v>133</v>
      </c>
      <c r="C88" s="57">
        <f>C47</f>
        <v>-33300</v>
      </c>
      <c r="D88" s="57">
        <f t="shared" ref="D88:G88" si="99">D47</f>
        <v>-22133</v>
      </c>
      <c r="E88" s="57">
        <f t="shared" si="99"/>
        <v>-73449</v>
      </c>
      <c r="F88" s="57">
        <f t="shared" si="99"/>
        <v>-31064</v>
      </c>
      <c r="G88" s="57">
        <f t="shared" si="99"/>
        <v>-26268</v>
      </c>
      <c r="H88" s="68">
        <f>H44*AVERAGE(C89:G89)</f>
        <v>-44205.300024407443</v>
      </c>
      <c r="I88" s="68">
        <f>I44*AVERAGE(D89:H89)</f>
        <v>-54653.390524061164</v>
      </c>
      <c r="J88" s="68">
        <f>J44*AVERAGE(E89:I89)</f>
        <v>-69735.166750799719</v>
      </c>
      <c r="K88" s="68">
        <f>K44*AVERAGE(F89:J89)</f>
        <v>-69816.428124260652</v>
      </c>
      <c r="L88" s="68">
        <f>L44*AVERAGE(G89:K89)</f>
        <v>-78411.487983308893</v>
      </c>
    </row>
    <row r="89" spans="2:12" ht="14.4" customHeight="1" outlineLevel="2" x14ac:dyDescent="0.25">
      <c r="B89" s="59" t="s">
        <v>145</v>
      </c>
      <c r="C89" s="52">
        <f t="shared" ref="C89:L89" si="100">C88/C44</f>
        <v>-9.0983606557377195E-2</v>
      </c>
      <c r="D89" s="52">
        <f t="shared" si="100"/>
        <v>-9.3697347365569242E-2</v>
      </c>
      <c r="E89" s="52">
        <f t="shared" si="100"/>
        <v>-0.13673503201076725</v>
      </c>
      <c r="F89" s="52">
        <f t="shared" si="100"/>
        <v>-6.0989568710450949E-2</v>
      </c>
      <c r="G89" s="52">
        <f t="shared" si="100"/>
        <v>-6.6463406920108908E-2</v>
      </c>
      <c r="H89" s="46">
        <f t="shared" si="100"/>
        <v>-8.9773792312854719E-2</v>
      </c>
      <c r="I89" s="46">
        <f t="shared" si="100"/>
        <v>-8.9531829463950205E-2</v>
      </c>
      <c r="J89" s="46">
        <f t="shared" si="100"/>
        <v>-8.86987258836264E-2</v>
      </c>
      <c r="K89" s="46">
        <f t="shared" si="100"/>
        <v>-7.9091464658198232E-2</v>
      </c>
      <c r="L89" s="46">
        <f t="shared" si="100"/>
        <v>-8.2711843847747685E-2</v>
      </c>
    </row>
    <row r="90" spans="2:12" ht="14.4" customHeight="1" outlineLevel="2" x14ac:dyDescent="0.25">
      <c r="B90" s="61"/>
      <c r="C90" s="50"/>
      <c r="D90" s="50"/>
      <c r="E90" s="50"/>
      <c r="F90" s="50"/>
      <c r="G90" s="50"/>
    </row>
    <row r="91" spans="2:12" ht="14.4" customHeight="1" outlineLevel="2" x14ac:dyDescent="0.25">
      <c r="B91" s="61" t="s">
        <v>134</v>
      </c>
      <c r="C91" s="57">
        <f>C50</f>
        <v>29600</v>
      </c>
      <c r="D91" s="57">
        <f t="shared" ref="D91:G91" si="101">D50</f>
        <v>25549.000000000004</v>
      </c>
      <c r="E91" s="57">
        <f t="shared" si="101"/>
        <v>-1038</v>
      </c>
      <c r="F91" s="57">
        <f t="shared" si="101"/>
        <v>446</v>
      </c>
      <c r="G91" s="57">
        <f t="shared" si="101"/>
        <v>-15273</v>
      </c>
      <c r="H91" s="68">
        <f>H44*AVERAGE(C92:G92)</f>
        <v>14706.477863095775</v>
      </c>
      <c r="I91" s="68">
        <f>I44*AVERAGE(D92:H92)</f>
        <v>12004.15016992132</v>
      </c>
      <c r="J91" s="68">
        <f>J44*AVERAGE(E92:I92)</f>
        <v>1545.8066467754272</v>
      </c>
      <c r="K91" s="68">
        <f>K44*AVERAGE(F92:J92)</f>
        <v>2423.8686187451781</v>
      </c>
      <c r="L91" s="68">
        <f>L44*AVERAGE(G92:K92)</f>
        <v>2957.7102971277618</v>
      </c>
    </row>
    <row r="92" spans="2:12" ht="14.4" customHeight="1" outlineLevel="2" x14ac:dyDescent="0.25">
      <c r="B92" s="59" t="s">
        <v>145</v>
      </c>
      <c r="C92" s="52">
        <f t="shared" ref="C92:L92" si="102">C91/C44</f>
        <v>8.0874316939890833E-2</v>
      </c>
      <c r="D92" s="52">
        <f t="shared" si="102"/>
        <v>0.10815856539298463</v>
      </c>
      <c r="E92" s="52">
        <f t="shared" si="102"/>
        <v>-1.9323743444727146E-3</v>
      </c>
      <c r="F92" s="52">
        <f t="shared" si="102"/>
        <v>8.7565502333444259E-4</v>
      </c>
      <c r="G92" s="52">
        <f t="shared" si="102"/>
        <v>-3.8643810487696946E-2</v>
      </c>
      <c r="H92" s="46">
        <f t="shared" si="102"/>
        <v>2.9866470504808052E-2</v>
      </c>
      <c r="I92" s="46">
        <f t="shared" si="102"/>
        <v>1.9664901217791495E-2</v>
      </c>
      <c r="J92" s="46">
        <f t="shared" si="102"/>
        <v>1.9661683827528658E-3</v>
      </c>
      <c r="K92" s="46">
        <f t="shared" si="102"/>
        <v>2.7458769281979815E-3</v>
      </c>
      <c r="L92" s="46">
        <f t="shared" si="102"/>
        <v>3.1199213091706894E-3</v>
      </c>
    </row>
    <row r="93" spans="2:12" ht="14.4" customHeight="1" outlineLevel="2" x14ac:dyDescent="0.25"/>
    <row r="94" spans="2:12" ht="14.4" customHeight="1" outlineLevel="2" x14ac:dyDescent="0.25">
      <c r="B94" s="61" t="s">
        <v>146</v>
      </c>
      <c r="C94" s="72">
        <f>SUM(C88,C91)</f>
        <v>-3700</v>
      </c>
      <c r="D94" s="72">
        <f t="shared" ref="D94:G94" si="103">SUM(D88,D91)</f>
        <v>3416.0000000000036</v>
      </c>
      <c r="E94" s="72">
        <f t="shared" si="103"/>
        <v>-74487</v>
      </c>
      <c r="F94" s="72">
        <f t="shared" si="103"/>
        <v>-30618</v>
      </c>
      <c r="G94" s="72">
        <f t="shared" si="103"/>
        <v>-41541</v>
      </c>
      <c r="H94" s="70">
        <f>SUM(H88,H91)</f>
        <v>-29498.822161311669</v>
      </c>
      <c r="I94" s="70">
        <f t="shared" ref="I94:L94" si="104">SUM(I88,I91)</f>
        <v>-42649.240354139845</v>
      </c>
      <c r="J94" s="70">
        <f t="shared" si="104"/>
        <v>-68189.360104024294</v>
      </c>
      <c r="K94" s="70">
        <f t="shared" si="104"/>
        <v>-67392.55950551547</v>
      </c>
      <c r="L94" s="70">
        <f t="shared" si="104"/>
        <v>-75453.777686181129</v>
      </c>
    </row>
    <row r="95" spans="2:12" ht="14.4" customHeight="1" outlineLevel="2" x14ac:dyDescent="0.25">
      <c r="B95" s="59" t="s">
        <v>145</v>
      </c>
      <c r="C95" s="52">
        <f t="shared" ref="C95:L95" si="105">C94/C44</f>
        <v>-1.0109289617486354E-2</v>
      </c>
      <c r="D95" s="52">
        <f t="shared" si="105"/>
        <v>1.4461218027415393E-2</v>
      </c>
      <c r="E95" s="52">
        <f t="shared" si="105"/>
        <v>-0.13866740635523997</v>
      </c>
      <c r="F95" s="52">
        <f t="shared" si="105"/>
        <v>-6.0113913687116508E-2</v>
      </c>
      <c r="G95" s="52">
        <f t="shared" si="105"/>
        <v>-0.10510721740780585</v>
      </c>
      <c r="H95" s="46">
        <f t="shared" si="105"/>
        <v>-5.9907321808046671E-2</v>
      </c>
      <c r="I95" s="46">
        <f t="shared" si="105"/>
        <v>-6.9866928246158713E-2</v>
      </c>
      <c r="J95" s="46">
        <f t="shared" si="105"/>
        <v>-8.6732557500873525E-2</v>
      </c>
      <c r="K95" s="46">
        <f t="shared" si="105"/>
        <v>-7.6345587730000247E-2</v>
      </c>
      <c r="L95" s="46">
        <f t="shared" si="105"/>
        <v>-7.9591922538576998E-2</v>
      </c>
    </row>
    <row r="96" spans="2:12" ht="14.4" customHeight="1" outlineLevel="2" x14ac:dyDescent="0.25"/>
    <row r="97" ht="14.4" customHeight="1" outlineLevel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6B9D-02A4-4F9F-9B12-A3F7F9CE7852}">
  <dimension ref="A1:K40"/>
  <sheetViews>
    <sheetView topLeftCell="A16" workbookViewId="0">
      <selection activeCell="G31" sqref="G31"/>
    </sheetView>
  </sheetViews>
  <sheetFormatPr defaultRowHeight="14.4" x14ac:dyDescent="0.3"/>
  <cols>
    <col min="1" max="1" width="26.6640625" bestFit="1" customWidth="1"/>
    <col min="2" max="6" width="14" customWidth="1"/>
    <col min="7" max="7" width="9.109375" bestFit="1" customWidth="1"/>
  </cols>
  <sheetData>
    <row r="1" spans="1:11" x14ac:dyDescent="0.3">
      <c r="A1" s="6" t="s">
        <v>147</v>
      </c>
      <c r="B1" s="7">
        <v>2018</v>
      </c>
      <c r="C1" s="7">
        <v>2019</v>
      </c>
      <c r="D1" s="7">
        <v>2020</v>
      </c>
      <c r="E1" s="7">
        <v>2021</v>
      </c>
      <c r="F1" s="7">
        <v>2022</v>
      </c>
      <c r="G1" s="140" t="s">
        <v>16</v>
      </c>
      <c r="H1" s="140" t="s">
        <v>17</v>
      </c>
      <c r="I1" s="140" t="s">
        <v>18</v>
      </c>
      <c r="J1" s="140" t="s">
        <v>19</v>
      </c>
      <c r="K1" s="140" t="s">
        <v>20</v>
      </c>
    </row>
    <row r="2" spans="1:11" x14ac:dyDescent="0.3">
      <c r="A2" s="8" t="s">
        <v>148</v>
      </c>
      <c r="B2" s="2"/>
      <c r="C2" s="2"/>
      <c r="D2" s="2"/>
      <c r="E2" s="2"/>
      <c r="F2" s="2"/>
      <c r="G2" s="141" t="s">
        <v>149</v>
      </c>
      <c r="H2" s="141"/>
      <c r="I2" s="141"/>
      <c r="J2" s="142">
        <f>B40</f>
        <v>0.23400810315801993</v>
      </c>
      <c r="K2" s="9"/>
    </row>
    <row r="3" spans="1:11" x14ac:dyDescent="0.3">
      <c r="A3" s="1" t="s">
        <v>150</v>
      </c>
      <c r="B3" s="3">
        <v>4741</v>
      </c>
      <c r="C3" s="3">
        <v>583960</v>
      </c>
      <c r="D3" s="3">
        <v>248776</v>
      </c>
      <c r="E3" s="3">
        <v>849234</v>
      </c>
      <c r="F3" s="3">
        <v>-1054440</v>
      </c>
    </row>
    <row r="4" spans="1:11" x14ac:dyDescent="0.3">
      <c r="A4" s="4" t="s">
        <v>151</v>
      </c>
      <c r="B4" s="3">
        <v>1451451</v>
      </c>
      <c r="C4" s="3">
        <v>1209455</v>
      </c>
      <c r="D4" s="3">
        <v>2185570</v>
      </c>
      <c r="E4" s="3">
        <v>2169932</v>
      </c>
      <c r="F4" s="3">
        <v>2431791</v>
      </c>
    </row>
    <row r="5" spans="1:11" x14ac:dyDescent="0.3">
      <c r="A5" s="5" t="s">
        <v>152</v>
      </c>
      <c r="B5" s="3">
        <v>854013</v>
      </c>
      <c r="C5" s="3">
        <v>502581</v>
      </c>
      <c r="D5" s="3">
        <v>1423921</v>
      </c>
      <c r="E5" s="3">
        <v>1248009</v>
      </c>
      <c r="F5" s="3">
        <v>1093934</v>
      </c>
    </row>
    <row r="6" spans="1:11" x14ac:dyDescent="0.3">
      <c r="A6" s="5" t="s">
        <v>153</v>
      </c>
      <c r="B6" s="3">
        <v>250536</v>
      </c>
      <c r="C6" s="3">
        <v>348108</v>
      </c>
      <c r="D6" s="3">
        <v>411299</v>
      </c>
      <c r="E6" s="3">
        <v>419276</v>
      </c>
      <c r="F6" s="3">
        <v>564202</v>
      </c>
      <c r="G6" s="9">
        <f>F6*(1+$J$2)</f>
        <v>696229.8398179611</v>
      </c>
      <c r="H6" s="9">
        <f>G6*(1+$J$2)</f>
        <v>859153.26399577421</v>
      </c>
      <c r="I6" s="9">
        <f>H6*(1+$J$2)</f>
        <v>1060202.0896254468</v>
      </c>
      <c r="J6" s="9">
        <f>I6*(1+$J$2)</f>
        <v>1308297.9695828666</v>
      </c>
      <c r="K6" s="9">
        <f>J6*(1+$J$2)</f>
        <v>1614450.2958104422</v>
      </c>
    </row>
    <row r="7" spans="1:11" x14ac:dyDescent="0.3">
      <c r="A7" s="5" t="s">
        <v>154</v>
      </c>
      <c r="B7" s="3">
        <v>-1572</v>
      </c>
      <c r="C7" s="3">
        <v>14212</v>
      </c>
      <c r="D7" s="3">
        <v>14186</v>
      </c>
      <c r="E7" s="3">
        <v>15959</v>
      </c>
      <c r="F7" s="3">
        <v>25211</v>
      </c>
    </row>
    <row r="8" spans="1:11" x14ac:dyDescent="0.3">
      <c r="A8" s="5" t="s">
        <v>155</v>
      </c>
      <c r="B8" s="3">
        <v>93664</v>
      </c>
      <c r="C8" s="3">
        <v>34347</v>
      </c>
      <c r="D8" s="3">
        <v>11331</v>
      </c>
      <c r="E8" s="3">
        <v>99764</v>
      </c>
      <c r="F8" s="3">
        <v>2925</v>
      </c>
    </row>
    <row r="9" spans="1:11" x14ac:dyDescent="0.3">
      <c r="A9" s="5" t="s">
        <v>156</v>
      </c>
      <c r="B9" s="3">
        <v>2707</v>
      </c>
      <c r="C9" s="3">
        <v>6541</v>
      </c>
      <c r="D9" s="3">
        <v>3027</v>
      </c>
      <c r="E9" s="3">
        <v>-908</v>
      </c>
      <c r="F9" s="3">
        <v>-466</v>
      </c>
    </row>
    <row r="10" spans="1:11" x14ac:dyDescent="0.3">
      <c r="A10" s="5" t="s">
        <v>157</v>
      </c>
      <c r="B10" s="3">
        <v>252103</v>
      </c>
      <c r="C10" s="3">
        <v>303666</v>
      </c>
      <c r="D10" s="3">
        <v>321806</v>
      </c>
      <c r="E10" s="3">
        <v>387832</v>
      </c>
      <c r="F10" s="3">
        <v>745985</v>
      </c>
    </row>
    <row r="11" spans="1:11" x14ac:dyDescent="0.3">
      <c r="A11" s="4" t="s">
        <v>158</v>
      </c>
      <c r="B11" s="3">
        <v>-1446710</v>
      </c>
      <c r="C11" s="3">
        <v>-625495</v>
      </c>
      <c r="D11" s="3">
        <v>-1936794</v>
      </c>
      <c r="E11" s="3">
        <v>-1320698</v>
      </c>
      <c r="F11" s="3">
        <v>-3486231</v>
      </c>
    </row>
    <row r="12" spans="1:11" x14ac:dyDescent="0.3">
      <c r="A12" s="5" t="s">
        <v>159</v>
      </c>
      <c r="B12" s="3">
        <v>101308</v>
      </c>
      <c r="C12" s="3">
        <v>-110034</v>
      </c>
      <c r="D12" s="3">
        <v>-692506</v>
      </c>
      <c r="E12" s="3">
        <v>-970185</v>
      </c>
      <c r="F12" s="3">
        <v>-748415</v>
      </c>
    </row>
    <row r="13" spans="1:11" x14ac:dyDescent="0.3">
      <c r="A13" s="5" t="s">
        <v>160</v>
      </c>
      <c r="B13" s="3">
        <v>-1588386</v>
      </c>
      <c r="C13" s="3">
        <v>-1207841</v>
      </c>
      <c r="D13" s="3">
        <v>-2247571</v>
      </c>
      <c r="E13" s="3">
        <v>-1459581</v>
      </c>
      <c r="F13" s="3">
        <v>-2088379</v>
      </c>
    </row>
    <row r="14" spans="1:11" x14ac:dyDescent="0.3">
      <c r="A14" s="5" t="s">
        <v>161</v>
      </c>
      <c r="B14" s="3">
        <v>-617187</v>
      </c>
      <c r="C14" s="3">
        <v>154179</v>
      </c>
      <c r="D14" s="3">
        <v>5772</v>
      </c>
      <c r="E14" s="3">
        <v>-151989</v>
      </c>
      <c r="F14" s="3">
        <v>-23265</v>
      </c>
    </row>
    <row r="15" spans="1:11" x14ac:dyDescent="0.3">
      <c r="A15" s="5" t="s">
        <v>162</v>
      </c>
      <c r="B15" s="3">
        <v>504448</v>
      </c>
      <c r="C15" s="3">
        <v>690426</v>
      </c>
      <c r="D15" s="3">
        <v>1158950</v>
      </c>
      <c r="E15" s="3">
        <v>1793954</v>
      </c>
      <c r="F15" s="3">
        <v>184259</v>
      </c>
    </row>
    <row r="16" spans="1:11" x14ac:dyDescent="0.3">
      <c r="A16" s="5" t="s">
        <v>163</v>
      </c>
      <c r="B16" s="3">
        <v>90499</v>
      </c>
      <c r="C16" s="3">
        <v>-99071</v>
      </c>
      <c r="D16" s="3">
        <v>48525</v>
      </c>
      <c r="E16" s="3">
        <v>-91510</v>
      </c>
      <c r="F16" s="3">
        <v>115914</v>
      </c>
    </row>
    <row r="17" spans="1:6" x14ac:dyDescent="0.3">
      <c r="A17" s="5" t="s">
        <v>164</v>
      </c>
      <c r="B17" s="3">
        <v>62608</v>
      </c>
      <c r="C17" s="3">
        <v>-53154</v>
      </c>
      <c r="D17" s="3">
        <v>-209964</v>
      </c>
      <c r="E17" s="3">
        <v>-441387</v>
      </c>
      <c r="F17" s="3">
        <v>-926345</v>
      </c>
    </row>
    <row r="18" spans="1:6" x14ac:dyDescent="0.3">
      <c r="A18" s="1" t="s">
        <v>165</v>
      </c>
      <c r="B18" s="3">
        <v>418623</v>
      </c>
      <c r="C18" s="3">
        <v>-1118410</v>
      </c>
      <c r="D18" s="3">
        <v>-526315</v>
      </c>
      <c r="E18" s="3">
        <v>-1447393</v>
      </c>
      <c r="F18" s="3">
        <v>-1625359</v>
      </c>
    </row>
    <row r="19" spans="1:6" x14ac:dyDescent="0.3">
      <c r="A19" s="4" t="s">
        <v>166</v>
      </c>
      <c r="B19" s="3">
        <v>-607251</v>
      </c>
      <c r="C19" s="3">
        <v>-353471</v>
      </c>
      <c r="D19" s="3">
        <v>-410540</v>
      </c>
      <c r="E19" s="3">
        <v>-1473851</v>
      </c>
      <c r="F19" s="3">
        <v>-1693298</v>
      </c>
    </row>
    <row r="20" spans="1:6" x14ac:dyDescent="0.3">
      <c r="A20" s="5" t="s">
        <v>167</v>
      </c>
      <c r="B20" s="3">
        <v>0</v>
      </c>
      <c r="C20" s="3">
        <v>0</v>
      </c>
      <c r="D20" s="3">
        <v>0</v>
      </c>
      <c r="E20" s="3">
        <v>-416377</v>
      </c>
      <c r="F20" s="3">
        <v>-956858</v>
      </c>
    </row>
    <row r="21" spans="1:6" x14ac:dyDescent="0.3">
      <c r="A21" s="5" t="s">
        <v>168</v>
      </c>
      <c r="B21" s="3">
        <v>-627215</v>
      </c>
      <c r="C21" s="3">
        <v>-354782</v>
      </c>
      <c r="D21" s="3">
        <v>-414336</v>
      </c>
      <c r="E21" s="3">
        <v>-1115517</v>
      </c>
      <c r="F21" s="3">
        <v>-750113</v>
      </c>
    </row>
    <row r="22" spans="1:6" x14ac:dyDescent="0.3">
      <c r="A22" s="5" t="s">
        <v>169</v>
      </c>
      <c r="B22" s="3">
        <v>19964</v>
      </c>
      <c r="C22" s="3">
        <v>1311</v>
      </c>
      <c r="D22" s="3">
        <v>3796</v>
      </c>
      <c r="E22" s="3">
        <v>58043</v>
      </c>
      <c r="F22" s="3">
        <v>13673</v>
      </c>
    </row>
    <row r="23" spans="1:6" x14ac:dyDescent="0.3">
      <c r="A23" s="4" t="s">
        <v>170</v>
      </c>
      <c r="B23" s="3">
        <v>999441</v>
      </c>
      <c r="C23" s="3">
        <v>-764939</v>
      </c>
      <c r="D23" s="3">
        <v>-115775</v>
      </c>
      <c r="E23" s="3">
        <v>-2784</v>
      </c>
      <c r="F23" s="3">
        <v>13483</v>
      </c>
    </row>
    <row r="24" spans="1:6" x14ac:dyDescent="0.3">
      <c r="A24" s="4" t="s">
        <v>171</v>
      </c>
      <c r="B24" s="3">
        <v>26433</v>
      </c>
      <c r="C24" s="3">
        <v>0</v>
      </c>
      <c r="D24" s="3">
        <v>0</v>
      </c>
      <c r="E24" s="3">
        <v>29242</v>
      </c>
      <c r="F24" s="3">
        <v>54456</v>
      </c>
    </row>
    <row r="25" spans="1:6" x14ac:dyDescent="0.3">
      <c r="A25" s="1" t="s">
        <v>172</v>
      </c>
      <c r="B25" s="3">
        <v>-28164</v>
      </c>
      <c r="C25" s="3">
        <v>1076025</v>
      </c>
      <c r="D25" s="3">
        <v>3248324</v>
      </c>
      <c r="E25" s="3">
        <v>2677328</v>
      </c>
      <c r="F25" s="3">
        <v>1132063</v>
      </c>
    </row>
    <row r="26" spans="1:6" x14ac:dyDescent="0.3">
      <c r="A26" s="4" t="s">
        <v>173</v>
      </c>
      <c r="B26" s="3">
        <v>154091</v>
      </c>
      <c r="C26" s="3">
        <v>1774006</v>
      </c>
      <c r="D26" s="3">
        <v>3668246</v>
      </c>
      <c r="E26" s="3">
        <v>3251526</v>
      </c>
      <c r="F26" s="3">
        <v>1789813</v>
      </c>
    </row>
    <row r="27" spans="1:6" x14ac:dyDescent="0.3">
      <c r="A27" s="5" t="s">
        <v>174</v>
      </c>
      <c r="B27" s="3">
        <v>1697186</v>
      </c>
      <c r="C27" s="3">
        <v>3997644</v>
      </c>
      <c r="D27" s="3">
        <v>6051272</v>
      </c>
      <c r="E27" s="3">
        <v>6215408</v>
      </c>
      <c r="F27" s="3">
        <v>5115830</v>
      </c>
    </row>
    <row r="28" spans="1:6" x14ac:dyDescent="0.3">
      <c r="A28" s="5" t="s">
        <v>175</v>
      </c>
      <c r="B28" s="3">
        <v>-1543095</v>
      </c>
      <c r="C28" s="3">
        <v>-2223638</v>
      </c>
      <c r="D28" s="3">
        <v>-2383026</v>
      </c>
      <c r="E28" s="3">
        <v>-2963882</v>
      </c>
      <c r="F28" s="3">
        <v>-3326017</v>
      </c>
    </row>
    <row r="29" spans="1:6" x14ac:dyDescent="0.3">
      <c r="A29" s="4" t="s">
        <v>176</v>
      </c>
      <c r="B29" s="3">
        <v>-98859</v>
      </c>
      <c r="C29" s="3">
        <v>-464776</v>
      </c>
      <c r="D29" s="3">
        <v>-67982</v>
      </c>
      <c r="E29" s="3">
        <v>-141257</v>
      </c>
      <c r="F29" s="3">
        <v>-273374</v>
      </c>
    </row>
    <row r="30" spans="1:6" x14ac:dyDescent="0.3">
      <c r="A30" s="5" t="s">
        <v>177</v>
      </c>
      <c r="B30" s="3">
        <v>-98859</v>
      </c>
      <c r="C30" s="3">
        <v>-464776</v>
      </c>
      <c r="D30" s="3">
        <v>-67982</v>
      </c>
      <c r="E30" s="3">
        <v>-141257</v>
      </c>
      <c r="F30" s="3">
        <v>-273374</v>
      </c>
    </row>
    <row r="31" spans="1:6" x14ac:dyDescent="0.3">
      <c r="A31" s="4" t="s">
        <v>178</v>
      </c>
      <c r="B31" s="3">
        <v>-85000</v>
      </c>
      <c r="C31" s="3">
        <v>-173000</v>
      </c>
      <c r="D31" s="3">
        <v>-290000</v>
      </c>
      <c r="E31" s="3">
        <v>-215000</v>
      </c>
      <c r="F31" s="3">
        <v>-335000</v>
      </c>
    </row>
    <row r="32" spans="1:6" x14ac:dyDescent="0.3">
      <c r="A32" s="4" t="s">
        <v>179</v>
      </c>
      <c r="B32" s="3">
        <v>1604</v>
      </c>
      <c r="C32" s="3">
        <v>-60205</v>
      </c>
      <c r="D32" s="3">
        <v>-61940</v>
      </c>
      <c r="E32" s="3">
        <v>-217941</v>
      </c>
      <c r="F32" s="3">
        <v>-49376</v>
      </c>
    </row>
    <row r="33" spans="1:6" x14ac:dyDescent="0.3">
      <c r="A33" s="1" t="s">
        <v>180</v>
      </c>
      <c r="B33" s="3">
        <v>28249</v>
      </c>
      <c r="C33" s="3">
        <v>-2273</v>
      </c>
      <c r="D33" s="3">
        <v>46364</v>
      </c>
      <c r="E33" s="3">
        <v>-160856</v>
      </c>
      <c r="F33" s="3">
        <v>-91399</v>
      </c>
    </row>
    <row r="34" spans="1:6" x14ac:dyDescent="0.3">
      <c r="A34" s="1" t="s">
        <v>181</v>
      </c>
      <c r="B34" s="3">
        <v>423449</v>
      </c>
      <c r="C34" s="3">
        <v>539302</v>
      </c>
      <c r="D34" s="3">
        <v>3017149</v>
      </c>
      <c r="E34" s="3">
        <v>1918313</v>
      </c>
      <c r="F34" s="3">
        <v>-1639135</v>
      </c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  <row r="37" spans="1:6" x14ac:dyDescent="0.3">
      <c r="A37" s="136" t="s">
        <v>182</v>
      </c>
      <c r="B37" s="137">
        <v>2018</v>
      </c>
      <c r="C37" s="137">
        <v>2019</v>
      </c>
      <c r="D37" s="137">
        <v>2020</v>
      </c>
      <c r="E37" s="137">
        <v>2021</v>
      </c>
      <c r="F37" s="137">
        <v>2022</v>
      </c>
    </row>
    <row r="38" spans="1:6" x14ac:dyDescent="0.3">
      <c r="B38" s="15">
        <f>B6</f>
        <v>250536</v>
      </c>
      <c r="C38" s="15">
        <f>C6</f>
        <v>348108</v>
      </c>
      <c r="D38" s="15">
        <f>D6</f>
        <v>411299</v>
      </c>
      <c r="E38" s="15">
        <f>E6</f>
        <v>419276</v>
      </c>
      <c r="F38" s="15">
        <f>F6</f>
        <v>564202</v>
      </c>
    </row>
    <row r="39" spans="1:6" x14ac:dyDescent="0.3">
      <c r="A39" s="138" t="s">
        <v>183</v>
      </c>
      <c r="B39" s="138"/>
      <c r="C39" s="139">
        <f>(C38-B38)/B38</f>
        <v>0.38945301274068395</v>
      </c>
      <c r="D39" s="139">
        <f>(D38-C38)/C38</f>
        <v>0.18152699736863273</v>
      </c>
      <c r="E39" s="139">
        <f>(E38-D38)/D38</f>
        <v>1.9394649634450849E-2</v>
      </c>
      <c r="F39" s="139">
        <f>(F38-E38)/E38</f>
        <v>0.34565775288831224</v>
      </c>
    </row>
    <row r="40" spans="1:6" x14ac:dyDescent="0.3">
      <c r="A40" t="s">
        <v>184</v>
      </c>
      <c r="B40" s="29">
        <f>AVERAGE(C39:F39)</f>
        <v>0.23400810315801993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62A6-E1BF-4D09-83CF-03F82EC68586}">
  <dimension ref="A1:M76"/>
  <sheetViews>
    <sheetView showGridLines="0" zoomScale="109" workbookViewId="0">
      <pane ySplit="6" topLeftCell="A45" activePane="bottomLeft" state="frozen"/>
      <selection pane="bottomLeft" activeCell="D62" sqref="D62"/>
    </sheetView>
  </sheetViews>
  <sheetFormatPr defaultColWidth="8.88671875" defaultRowHeight="14.4" x14ac:dyDescent="0.3"/>
  <cols>
    <col min="1" max="1" width="3.33203125" style="79" customWidth="1"/>
    <col min="2" max="2" width="58.5546875" style="100" bestFit="1" customWidth="1"/>
    <col min="3" max="13" width="11.109375" style="100" customWidth="1"/>
    <col min="14" max="16384" width="8.88671875" style="100"/>
  </cols>
  <sheetData>
    <row r="1" spans="1:13" s="93" customFormat="1" ht="16.2" customHeight="1" x14ac:dyDescent="0.3">
      <c r="A1" s="78"/>
      <c r="B1" s="92" t="s">
        <v>14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s="93" customFormat="1" ht="6.6" customHeight="1" x14ac:dyDescent="0.3">
      <c r="A2" s="78"/>
    </row>
    <row r="3" spans="1:13" s="93" customFormat="1" ht="16.2" customHeight="1" x14ac:dyDescent="0.3">
      <c r="A3" s="78"/>
      <c r="B3" s="92" t="s">
        <v>15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s="93" customFormat="1" ht="7.2" customHeight="1" x14ac:dyDescent="0.3">
      <c r="A4" s="78"/>
    </row>
    <row r="5" spans="1:13" s="93" customFormat="1" ht="16.2" customHeight="1" x14ac:dyDescent="0.3">
      <c r="A5" s="78"/>
      <c r="B5" s="35" t="s">
        <v>115</v>
      </c>
      <c r="C5" s="94">
        <v>2017</v>
      </c>
      <c r="D5" s="95">
        <v>2018</v>
      </c>
      <c r="E5" s="95">
        <v>2019</v>
      </c>
      <c r="F5" s="95">
        <v>2020</v>
      </c>
      <c r="G5" s="95">
        <v>2021</v>
      </c>
      <c r="H5" s="95">
        <v>2022</v>
      </c>
      <c r="I5" s="96" t="s">
        <v>16</v>
      </c>
      <c r="J5" s="96" t="s">
        <v>17</v>
      </c>
      <c r="K5" s="96" t="s">
        <v>18</v>
      </c>
      <c r="L5" s="96" t="s">
        <v>19</v>
      </c>
      <c r="M5" s="96" t="s">
        <v>20</v>
      </c>
    </row>
    <row r="6" spans="1:13" s="97" customFormat="1" ht="7.95" customHeight="1" x14ac:dyDescent="0.3">
      <c r="A6" s="79"/>
    </row>
    <row r="7" spans="1:13" s="97" customFormat="1" ht="15" customHeight="1" x14ac:dyDescent="0.3">
      <c r="A7" s="79"/>
    </row>
    <row r="8" spans="1:13" x14ac:dyDescent="0.3">
      <c r="B8" s="92" t="s">
        <v>185</v>
      </c>
      <c r="C8" s="92"/>
      <c r="D8" s="98"/>
      <c r="E8" s="98"/>
      <c r="F8" s="98"/>
      <c r="G8" s="98"/>
      <c r="H8" s="98"/>
      <c r="I8" s="99"/>
      <c r="J8" s="99"/>
      <c r="K8" s="99"/>
      <c r="L8" s="99"/>
      <c r="M8" s="99"/>
    </row>
    <row r="9" spans="1:13" x14ac:dyDescent="0.3">
      <c r="B9" s="97"/>
      <c r="C9" s="97"/>
      <c r="D9" s="101"/>
      <c r="E9" s="101"/>
      <c r="F9" s="101"/>
      <c r="G9" s="101"/>
      <c r="H9" s="101"/>
      <c r="I9" s="97"/>
      <c r="J9" s="97"/>
      <c r="K9" s="97"/>
      <c r="L9" s="97"/>
      <c r="M9" s="97"/>
    </row>
    <row r="10" spans="1:13" x14ac:dyDescent="0.3">
      <c r="A10" s="129"/>
      <c r="B10" s="102" t="s">
        <v>127</v>
      </c>
      <c r="C10" s="102"/>
      <c r="D10" s="103">
        <f>DRE!C35</f>
        <v>381899.99999999942</v>
      </c>
      <c r="E10" s="103">
        <f>DRE!D35</f>
        <v>298299.99999999959</v>
      </c>
      <c r="F10" s="103">
        <f>DRE!E35</f>
        <v>622192.00000000163</v>
      </c>
      <c r="G10" s="103">
        <f>DRE!F35</f>
        <v>636922.99999999814</v>
      </c>
      <c r="H10" s="103">
        <f>DRE!G35</f>
        <v>685787.9999999993</v>
      </c>
      <c r="I10" s="103">
        <f>DRE!H35</f>
        <v>655262.98649535968</v>
      </c>
      <c r="J10" s="103">
        <f>DRE!I35</f>
        <v>827685.42448767484</v>
      </c>
      <c r="K10" s="103">
        <f>DRE!J35</f>
        <v>1051730.5554611124</v>
      </c>
      <c r="L10" s="103">
        <f>DRE!K35</f>
        <v>1210014.8629655105</v>
      </c>
      <c r="M10" s="103">
        <f>DRE!L35</f>
        <v>1342737.0008283034</v>
      </c>
    </row>
    <row r="11" spans="1:13" x14ac:dyDescent="0.3">
      <c r="A11" s="130"/>
      <c r="B11" s="102" t="s">
        <v>186</v>
      </c>
      <c r="C11" s="102"/>
      <c r="D11" s="90">
        <f>SUM(DRE!C47,DRE!C50)</f>
        <v>-3700</v>
      </c>
      <c r="E11" s="90">
        <f>SUM(DRE!D47,DRE!D50)</f>
        <v>3416.0000000000036</v>
      </c>
      <c r="F11" s="90">
        <f>SUM(DRE!E47,DRE!E50)</f>
        <v>-74487</v>
      </c>
      <c r="G11" s="90">
        <f>SUM(DRE!F47,DRE!F50)</f>
        <v>-30618</v>
      </c>
      <c r="H11" s="90">
        <f>SUM(DRE!G47,DRE!G50)</f>
        <v>-41541</v>
      </c>
      <c r="I11" s="90">
        <f>SUM(DRE!H47,DRE!H50)</f>
        <v>-29498.822161311669</v>
      </c>
      <c r="J11" s="90">
        <f>SUM(DRE!I47,DRE!I50)</f>
        <v>-42649.240354139845</v>
      </c>
      <c r="K11" s="90">
        <f>SUM(DRE!J47,DRE!J50)</f>
        <v>-68189.360104024294</v>
      </c>
      <c r="L11" s="90">
        <f>SUM(DRE!K47,DRE!K50)</f>
        <v>-67392.55950551547</v>
      </c>
      <c r="M11" s="90">
        <f>SUM(DRE!L47,DRE!L50)</f>
        <v>-75453.777686181129</v>
      </c>
    </row>
    <row r="12" spans="1:13" ht="15" thickBot="1" x14ac:dyDescent="0.35">
      <c r="A12" s="134"/>
      <c r="B12" s="104" t="s">
        <v>187</v>
      </c>
      <c r="C12" s="104"/>
      <c r="D12" s="105">
        <f>DFC!B6</f>
        <v>250536</v>
      </c>
      <c r="E12" s="105">
        <f>DFC!C6</f>
        <v>348108</v>
      </c>
      <c r="F12" s="105">
        <f>DFC!D6</f>
        <v>411299</v>
      </c>
      <c r="G12" s="105">
        <f>DFC!E6</f>
        <v>419276</v>
      </c>
      <c r="H12" s="105">
        <f>DFC!F6</f>
        <v>564202</v>
      </c>
      <c r="I12" s="146">
        <f>DFC!G6</f>
        <v>696229.8398179611</v>
      </c>
      <c r="J12" s="146">
        <f>DFC!H6</f>
        <v>859153.26399577421</v>
      </c>
      <c r="K12" s="146">
        <f>DFC!I6</f>
        <v>1060202.0896254468</v>
      </c>
      <c r="L12" s="146">
        <f>DFC!J6</f>
        <v>1308297.9695828666</v>
      </c>
      <c r="M12" s="146">
        <f>DFC!K6</f>
        <v>1614450.2958104422</v>
      </c>
    </row>
    <row r="13" spans="1:13" x14ac:dyDescent="0.3">
      <c r="A13" s="133"/>
      <c r="B13" s="101" t="s">
        <v>188</v>
      </c>
      <c r="C13" s="101"/>
      <c r="D13" s="107">
        <f t="shared" ref="D13:M13" si="0">SUM(D10:D12)</f>
        <v>628735.99999999942</v>
      </c>
      <c r="E13" s="107">
        <f t="shared" si="0"/>
        <v>649823.99999999953</v>
      </c>
      <c r="F13" s="107">
        <f t="shared" si="0"/>
        <v>959004.00000000163</v>
      </c>
      <c r="G13" s="107">
        <f t="shared" si="0"/>
        <v>1025580.9999999981</v>
      </c>
      <c r="H13" s="107">
        <f t="shared" si="0"/>
        <v>1208448.9999999993</v>
      </c>
      <c r="I13" s="107">
        <f t="shared" si="0"/>
        <v>1321994.0041520093</v>
      </c>
      <c r="J13" s="107">
        <f t="shared" si="0"/>
        <v>1644189.4481293093</v>
      </c>
      <c r="K13" s="107">
        <f t="shared" si="0"/>
        <v>2043743.2849825351</v>
      </c>
      <c r="L13" s="107">
        <f t="shared" si="0"/>
        <v>2450920.2730428614</v>
      </c>
      <c r="M13" s="107">
        <f t="shared" si="0"/>
        <v>2881733.5189525643</v>
      </c>
    </row>
    <row r="14" spans="1:13" x14ac:dyDescent="0.3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131"/>
    </row>
    <row r="15" spans="1:13" x14ac:dyDescent="0.3">
      <c r="A15" s="135"/>
      <c r="B15" s="102" t="s">
        <v>189</v>
      </c>
      <c r="C15" s="102"/>
      <c r="D15" s="103">
        <f>BP!C29</f>
        <v>823049</v>
      </c>
      <c r="E15" s="103">
        <f>BP!D29</f>
        <v>971829</v>
      </c>
      <c r="F15" s="103">
        <f>BP!E29</f>
        <v>1101921</v>
      </c>
      <c r="G15" s="103">
        <f>BP!F29</f>
        <v>1338400</v>
      </c>
      <c r="H15" s="103">
        <f>BP!G29</f>
        <v>1756482</v>
      </c>
      <c r="I15" s="103">
        <f>BP!H29</f>
        <v>2273393</v>
      </c>
      <c r="J15" s="103">
        <f>BP!I29</f>
        <v>2378337.4732680283</v>
      </c>
      <c r="K15" s="103">
        <f>BP!J29</f>
        <v>2745970.833253595</v>
      </c>
      <c r="L15" s="103">
        <f>BP!K29</f>
        <v>3169562.5040525915</v>
      </c>
      <c r="M15" s="103">
        <f>BP!L29</f>
        <v>3747408.2175177969</v>
      </c>
    </row>
    <row r="16" spans="1:13" x14ac:dyDescent="0.3">
      <c r="A16" s="135"/>
      <c r="B16" s="102" t="s">
        <v>190</v>
      </c>
      <c r="C16" s="102"/>
      <c r="D16" s="103">
        <f t="shared" ref="D16:M16" si="1">E15</f>
        <v>971829</v>
      </c>
      <c r="E16" s="103">
        <f t="shared" si="1"/>
        <v>1101921</v>
      </c>
      <c r="F16" s="103">
        <f t="shared" si="1"/>
        <v>1338400</v>
      </c>
      <c r="G16" s="103">
        <f t="shared" si="1"/>
        <v>1756482</v>
      </c>
      <c r="H16" s="103">
        <f t="shared" si="1"/>
        <v>2273393</v>
      </c>
      <c r="I16" s="103">
        <f t="shared" si="1"/>
        <v>2378337.4732680283</v>
      </c>
      <c r="J16" s="103">
        <f t="shared" si="1"/>
        <v>2745970.833253595</v>
      </c>
      <c r="K16" s="103">
        <f t="shared" si="1"/>
        <v>3169562.5040525915</v>
      </c>
      <c r="L16" s="103">
        <f t="shared" si="1"/>
        <v>3747408.2175177969</v>
      </c>
      <c r="M16" s="103">
        <f t="shared" si="1"/>
        <v>0</v>
      </c>
    </row>
    <row r="17" spans="1:13" ht="15" thickBot="1" x14ac:dyDescent="0.35">
      <c r="A17" s="132"/>
      <c r="B17" s="104" t="s">
        <v>187</v>
      </c>
      <c r="C17" s="104"/>
      <c r="D17" s="105">
        <f t="shared" ref="D17:M17" si="2">D12</f>
        <v>250536</v>
      </c>
      <c r="E17" s="105">
        <f t="shared" si="2"/>
        <v>348108</v>
      </c>
      <c r="F17" s="105">
        <f t="shared" si="2"/>
        <v>411299</v>
      </c>
      <c r="G17" s="105">
        <f t="shared" si="2"/>
        <v>419276</v>
      </c>
      <c r="H17" s="105">
        <f t="shared" si="2"/>
        <v>564202</v>
      </c>
      <c r="I17" s="146">
        <f t="shared" si="2"/>
        <v>696229.8398179611</v>
      </c>
      <c r="J17" s="146">
        <f t="shared" si="2"/>
        <v>859153.26399577421</v>
      </c>
      <c r="K17" s="146">
        <f t="shared" si="2"/>
        <v>1060202.0896254468</v>
      </c>
      <c r="L17" s="146">
        <f t="shared" si="2"/>
        <v>1308297.9695828666</v>
      </c>
      <c r="M17" s="146">
        <f t="shared" si="2"/>
        <v>1614450.2958104422</v>
      </c>
    </row>
    <row r="18" spans="1:13" x14ac:dyDescent="0.3">
      <c r="A18" s="132"/>
      <c r="B18" s="101" t="s">
        <v>191</v>
      </c>
      <c r="C18" s="101"/>
      <c r="D18" s="107">
        <f t="shared" ref="D18:M18" si="3">D16-D15+D17</f>
        <v>399316</v>
      </c>
      <c r="E18" s="107">
        <f t="shared" si="3"/>
        <v>478200</v>
      </c>
      <c r="F18" s="107">
        <f t="shared" si="3"/>
        <v>647778</v>
      </c>
      <c r="G18" s="107">
        <f t="shared" si="3"/>
        <v>837358</v>
      </c>
      <c r="H18" s="107">
        <f t="shared" si="3"/>
        <v>1081113</v>
      </c>
      <c r="I18" s="107">
        <f t="shared" si="3"/>
        <v>801174.31308598944</v>
      </c>
      <c r="J18" s="107">
        <f t="shared" si="3"/>
        <v>1226786.6239813408</v>
      </c>
      <c r="K18" s="107">
        <f t="shared" si="3"/>
        <v>1483793.7604244433</v>
      </c>
      <c r="L18" s="107">
        <f t="shared" si="3"/>
        <v>1886143.683048072</v>
      </c>
      <c r="M18" s="107">
        <f t="shared" si="3"/>
        <v>-2132957.9217073545</v>
      </c>
    </row>
    <row r="19" spans="1:13" s="108" customFormat="1" x14ac:dyDescent="0.3">
      <c r="A19" s="80"/>
    </row>
    <row r="20" spans="1:13" x14ac:dyDescent="0.3">
      <c r="A20" s="135"/>
      <c r="B20" s="97" t="s">
        <v>192</v>
      </c>
      <c r="C20" s="97"/>
      <c r="D20" s="103">
        <f>BP!C10</f>
        <v>2291114</v>
      </c>
      <c r="E20" s="103">
        <f>BP!D10</f>
        <v>2483575</v>
      </c>
      <c r="F20" s="103">
        <f>BP!E10</f>
        <v>2700181</v>
      </c>
      <c r="G20" s="103">
        <f>BP!F10</f>
        <v>3804035</v>
      </c>
      <c r="H20" s="103">
        <f>BP!G10</f>
        <v>4829110</v>
      </c>
      <c r="I20" s="103">
        <f>BP!H10</f>
        <v>5087060</v>
      </c>
      <c r="J20" s="103">
        <f>BP!I10</f>
        <v>5931519.7993327435</v>
      </c>
      <c r="K20" s="103">
        <f>BP!J10</f>
        <v>6833638.3388593933</v>
      </c>
      <c r="L20" s="103">
        <f>BP!K10</f>
        <v>7955682.7239874722</v>
      </c>
      <c r="M20" s="103">
        <f>BP!L10</f>
        <v>9226813.1654229108</v>
      </c>
    </row>
    <row r="21" spans="1:13" x14ac:dyDescent="0.3">
      <c r="A21" s="135"/>
      <c r="B21" s="97" t="s">
        <v>193</v>
      </c>
      <c r="C21" s="97"/>
      <c r="D21" s="103">
        <f>BP!D10</f>
        <v>2483575</v>
      </c>
      <c r="E21" s="103">
        <f>BP!E10</f>
        <v>2700181</v>
      </c>
      <c r="F21" s="103">
        <f>BP!F10</f>
        <v>3804035</v>
      </c>
      <c r="G21" s="103">
        <f>BP!G10</f>
        <v>4829110</v>
      </c>
      <c r="H21" s="103">
        <f>BP!H10</f>
        <v>5087060</v>
      </c>
      <c r="I21" s="103">
        <f>BP!I10</f>
        <v>5931519.7993327435</v>
      </c>
      <c r="J21" s="103">
        <f>BP!J10</f>
        <v>6833638.3388593933</v>
      </c>
      <c r="K21" s="103">
        <f>BP!K10</f>
        <v>7955682.7239874722</v>
      </c>
      <c r="L21" s="103">
        <f>BP!L10</f>
        <v>9226813.1654229108</v>
      </c>
      <c r="M21" s="103">
        <f>BP!M10</f>
        <v>10607851.283072688</v>
      </c>
    </row>
    <row r="22" spans="1:13" x14ac:dyDescent="0.3">
      <c r="A22" s="135"/>
      <c r="B22" s="97" t="s">
        <v>194</v>
      </c>
      <c r="C22" s="97"/>
      <c r="D22" s="103">
        <f>BP!C39+BP!C42+BP!C45</f>
        <v>445807</v>
      </c>
      <c r="E22" s="103">
        <f>BP!D39+BP!D42+BP!D45</f>
        <v>533482</v>
      </c>
      <c r="F22" s="103">
        <f>BP!E39+BP!E42+BP!E45</f>
        <v>598640</v>
      </c>
      <c r="G22" s="103">
        <f>BP!F39+BP!F42+BP!F45</f>
        <v>805912</v>
      </c>
      <c r="H22" s="103">
        <f>BP!G39+BP!G42+BP!G45</f>
        <v>1240765</v>
      </c>
      <c r="I22" s="103">
        <f>BP!H39+BP!H42+BP!H45</f>
        <v>1185365</v>
      </c>
      <c r="J22" s="103">
        <f>BP!I39+BP!I42+BP!I45</f>
        <v>1367606.9250326855</v>
      </c>
      <c r="K22" s="103">
        <f>BP!J39+BP!J42+BP!J45</f>
        <v>1578755.1956866297</v>
      </c>
      <c r="L22" s="103">
        <f>BP!K39+BP!K42+BP!K45</f>
        <v>1823394.7987425958</v>
      </c>
      <c r="M22" s="103">
        <f>BP!L39+BP!L42+BP!L45</f>
        <v>2106837.9697334096</v>
      </c>
    </row>
    <row r="23" spans="1:13" x14ac:dyDescent="0.3">
      <c r="A23" s="135"/>
      <c r="B23" s="97" t="s">
        <v>195</v>
      </c>
      <c r="C23" s="97"/>
      <c r="D23" s="103">
        <f>BP!D39+BP!D42+BP!D45</f>
        <v>533482</v>
      </c>
      <c r="E23" s="103">
        <f>BP!E39+BP!E42+BP!E45</f>
        <v>598640</v>
      </c>
      <c r="F23" s="103">
        <f>BP!F39+BP!F42+BP!F45</f>
        <v>805912</v>
      </c>
      <c r="G23" s="103">
        <f>BP!G39+BP!G42+BP!G45</f>
        <v>1240765</v>
      </c>
      <c r="H23" s="103">
        <f>BP!H39+BP!H42+BP!H45</f>
        <v>1185365</v>
      </c>
      <c r="I23" s="103">
        <f>BP!I39+BP!I42+BP!I45</f>
        <v>1367606.9250326855</v>
      </c>
      <c r="J23" s="103">
        <f>BP!J39+BP!J42+BP!J45</f>
        <v>1578755.1956866297</v>
      </c>
      <c r="K23" s="103">
        <f>BP!K39+BP!K42+BP!K45</f>
        <v>1823394.7987425958</v>
      </c>
      <c r="L23" s="103">
        <f>BP!L39+BP!L42+BP!L45</f>
        <v>2106837.9697334096</v>
      </c>
      <c r="M23" s="103">
        <f>BP!M39+BP!M42+BP!M45</f>
        <v>2435239.5456750961</v>
      </c>
    </row>
    <row r="24" spans="1:13" x14ac:dyDescent="0.3">
      <c r="A24" s="135"/>
      <c r="B24" s="97" t="s">
        <v>196</v>
      </c>
      <c r="C24" s="97"/>
      <c r="D24" s="103">
        <f t="shared" ref="D24:H25" si="4">D20-D22</f>
        <v>1845307</v>
      </c>
      <c r="E24" s="103">
        <f t="shared" si="4"/>
        <v>1950093</v>
      </c>
      <c r="F24" s="103">
        <f t="shared" si="4"/>
        <v>2101541</v>
      </c>
      <c r="G24" s="103">
        <f t="shared" si="4"/>
        <v>2998123</v>
      </c>
      <c r="H24" s="103">
        <f t="shared" si="4"/>
        <v>3588345</v>
      </c>
      <c r="I24" s="103">
        <f t="shared" ref="I24:M25" si="5">I20-I22</f>
        <v>3901695</v>
      </c>
      <c r="J24" s="103">
        <f t="shared" si="5"/>
        <v>4563912.874300058</v>
      </c>
      <c r="K24" s="103">
        <f t="shared" si="5"/>
        <v>5254883.1431727633</v>
      </c>
      <c r="L24" s="103">
        <f t="shared" si="5"/>
        <v>6132287.9252448762</v>
      </c>
      <c r="M24" s="103">
        <f t="shared" si="5"/>
        <v>7119975.1956895012</v>
      </c>
    </row>
    <row r="25" spans="1:13" ht="15" thickBot="1" x14ac:dyDescent="0.35">
      <c r="A25" s="135"/>
      <c r="B25" s="106" t="s">
        <v>197</v>
      </c>
      <c r="C25" s="106"/>
      <c r="D25" s="105">
        <f t="shared" si="4"/>
        <v>1950093</v>
      </c>
      <c r="E25" s="105">
        <f t="shared" si="4"/>
        <v>2101541</v>
      </c>
      <c r="F25" s="105">
        <f t="shared" si="4"/>
        <v>2998123</v>
      </c>
      <c r="G25" s="105">
        <f t="shared" si="4"/>
        <v>3588345</v>
      </c>
      <c r="H25" s="105">
        <f t="shared" si="4"/>
        <v>3901695</v>
      </c>
      <c r="I25" s="105">
        <f t="shared" si="5"/>
        <v>4563912.874300058</v>
      </c>
      <c r="J25" s="105">
        <f t="shared" si="5"/>
        <v>5254883.1431727633</v>
      </c>
      <c r="K25" s="105">
        <f t="shared" si="5"/>
        <v>6132287.9252448762</v>
      </c>
      <c r="L25" s="105">
        <f t="shared" si="5"/>
        <v>7119975.1956895012</v>
      </c>
      <c r="M25" s="105">
        <f t="shared" si="5"/>
        <v>8172611.7373975916</v>
      </c>
    </row>
    <row r="26" spans="1:13" x14ac:dyDescent="0.3">
      <c r="B26" s="101" t="s">
        <v>198</v>
      </c>
      <c r="C26" s="101"/>
      <c r="D26" s="107">
        <f t="shared" ref="D26:M26" si="6">D25-D24</f>
        <v>104786</v>
      </c>
      <c r="E26" s="107">
        <f t="shared" si="6"/>
        <v>151448</v>
      </c>
      <c r="F26" s="107">
        <f t="shared" si="6"/>
        <v>896582</v>
      </c>
      <c r="G26" s="107">
        <f t="shared" si="6"/>
        <v>590222</v>
      </c>
      <c r="H26" s="107">
        <f t="shared" si="6"/>
        <v>313350</v>
      </c>
      <c r="I26" s="107">
        <f t="shared" si="6"/>
        <v>662217.874300058</v>
      </c>
      <c r="J26" s="107">
        <f t="shared" si="6"/>
        <v>690970.26887270529</v>
      </c>
      <c r="K26" s="107">
        <f t="shared" si="6"/>
        <v>877404.7820721129</v>
      </c>
      <c r="L26" s="107">
        <f t="shared" si="6"/>
        <v>987687.27044462506</v>
      </c>
      <c r="M26" s="107">
        <f t="shared" si="6"/>
        <v>1052636.5417080903</v>
      </c>
    </row>
    <row r="27" spans="1:13" x14ac:dyDescent="0.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</row>
    <row r="28" spans="1:13" x14ac:dyDescent="0.3">
      <c r="A28" s="135"/>
      <c r="B28" s="109" t="s">
        <v>199</v>
      </c>
      <c r="C28" s="109"/>
      <c r="D28" s="110">
        <f t="shared" ref="D28:M28" si="7">D13-D18-D26</f>
        <v>124633.99999999942</v>
      </c>
      <c r="E28" s="110">
        <f t="shared" si="7"/>
        <v>20175.999999999534</v>
      </c>
      <c r="F28" s="110">
        <f t="shared" si="7"/>
        <v>-585355.99999999837</v>
      </c>
      <c r="G28" s="110">
        <f t="shared" si="7"/>
        <v>-401999.00000000186</v>
      </c>
      <c r="H28" s="110">
        <f t="shared" si="7"/>
        <v>-186014.0000000007</v>
      </c>
      <c r="I28" s="110">
        <f t="shared" si="7"/>
        <v>-141398.18323403818</v>
      </c>
      <c r="J28" s="110">
        <f t="shared" si="7"/>
        <v>-273567.44472473674</v>
      </c>
      <c r="K28" s="110">
        <f t="shared" si="7"/>
        <v>-317455.25751402113</v>
      </c>
      <c r="L28" s="110">
        <f t="shared" si="7"/>
        <v>-422910.68044983572</v>
      </c>
      <c r="M28" s="110">
        <f t="shared" si="7"/>
        <v>3962054.8989518285</v>
      </c>
    </row>
    <row r="29" spans="1:13" x14ac:dyDescent="0.3">
      <c r="B29" s="97"/>
      <c r="C29" s="97"/>
      <c r="D29" s="103"/>
      <c r="E29" s="103"/>
      <c r="F29" s="103"/>
      <c r="G29" s="103"/>
      <c r="H29" s="103"/>
      <c r="I29" s="97"/>
      <c r="J29" s="97"/>
      <c r="K29" s="97"/>
      <c r="L29" s="97"/>
      <c r="M29" s="97"/>
    </row>
    <row r="30" spans="1:13" x14ac:dyDescent="0.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</row>
    <row r="31" spans="1:13" x14ac:dyDescent="0.3">
      <c r="B31" s="92" t="s">
        <v>200</v>
      </c>
      <c r="C31" s="92"/>
      <c r="D31" s="111"/>
      <c r="E31" s="111"/>
      <c r="F31" s="111"/>
      <c r="G31" s="111"/>
      <c r="H31" s="111"/>
      <c r="I31" s="99"/>
      <c r="J31" s="99"/>
      <c r="K31" s="99"/>
      <c r="L31" s="99"/>
      <c r="M31" s="99"/>
    </row>
    <row r="32" spans="1:13" x14ac:dyDescent="0.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</row>
    <row r="33" spans="2:13" x14ac:dyDescent="0.3">
      <c r="B33" s="81" t="s">
        <v>201</v>
      </c>
      <c r="C33" s="81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2:13" x14ac:dyDescent="0.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</row>
    <row r="35" spans="2:13" x14ac:dyDescent="0.3">
      <c r="B35" s="125" t="s">
        <v>202</v>
      </c>
      <c r="C35" s="125"/>
      <c r="D35" s="126">
        <f>BP!D155</f>
        <v>85000</v>
      </c>
      <c r="E35" s="126">
        <f>BP!E155</f>
        <v>173000</v>
      </c>
      <c r="F35" s="126">
        <f>BP!F155</f>
        <v>290000</v>
      </c>
      <c r="G35" s="126">
        <f>BP!G155</f>
        <v>215000</v>
      </c>
      <c r="H35" s="126">
        <f>BP!H155</f>
        <v>335000</v>
      </c>
      <c r="I35" s="126">
        <f>BP!I155</f>
        <v>275859.1303275688</v>
      </c>
      <c r="J35" s="126">
        <f>BP!J155</f>
        <v>379387.88756492897</v>
      </c>
      <c r="K35" s="126">
        <f>BP!K155</f>
        <v>472049.77584003465</v>
      </c>
      <c r="L35" s="126">
        <f>BP!L155</f>
        <v>541032.73784078658</v>
      </c>
      <c r="M35" s="126">
        <f>BP!M155</f>
        <v>616423.6721135854</v>
      </c>
    </row>
    <row r="36" spans="2:13" x14ac:dyDescent="0.3">
      <c r="B36" s="102" t="s">
        <v>203</v>
      </c>
      <c r="C36" s="102"/>
      <c r="D36" s="103">
        <f>FCx!D45-FCx!C45</f>
        <v>-24890</v>
      </c>
      <c r="E36" s="103">
        <f>FCx!E45-FCx!D45</f>
        <v>45234</v>
      </c>
      <c r="F36" s="103">
        <f>FCx!F45-FCx!E45</f>
        <v>-44414</v>
      </c>
      <c r="G36" s="103">
        <f>FCx!G45-FCx!F45</f>
        <v>-61338</v>
      </c>
      <c r="H36" s="103">
        <f>FCx!H45-FCx!G45</f>
        <v>102339</v>
      </c>
      <c r="I36" s="143">
        <f>FCx!I45-FCx!H45</f>
        <v>0</v>
      </c>
      <c r="J36" s="143">
        <f>FCx!J45-FCx!I45</f>
        <v>0</v>
      </c>
      <c r="K36" s="143">
        <f>FCx!K45-FCx!J45</f>
        <v>0</v>
      </c>
      <c r="L36" s="143">
        <f>FCx!L45-FCx!K45</f>
        <v>0</v>
      </c>
      <c r="M36" s="143">
        <f>FCx!M45-FCx!L45</f>
        <v>0</v>
      </c>
    </row>
    <row r="37" spans="2:13" ht="15" thickBot="1" x14ac:dyDescent="0.35">
      <c r="B37" s="104" t="s">
        <v>204</v>
      </c>
      <c r="C37" s="104"/>
      <c r="D37" s="105">
        <f>FCx!D43-FCx!C43</f>
        <v>1796</v>
      </c>
      <c r="E37" s="105">
        <f>FCx!E43-FCx!D43</f>
        <v>-68182</v>
      </c>
      <c r="F37" s="105">
        <f>FCx!F43-FCx!E43</f>
        <v>4386</v>
      </c>
      <c r="G37" s="105">
        <f>FCx!G43-FCx!F43</f>
        <v>3770</v>
      </c>
      <c r="H37" s="105">
        <f>FCx!H43-FCx!G43</f>
        <v>5917</v>
      </c>
      <c r="I37" s="144">
        <f>FCx!I43-FCx!H43</f>
        <v>0</v>
      </c>
      <c r="J37" s="144">
        <f>FCx!J43-FCx!I43</f>
        <v>0</v>
      </c>
      <c r="K37" s="144">
        <f>FCx!K43-FCx!J43</f>
        <v>0</v>
      </c>
      <c r="L37" s="144">
        <f>FCx!L43-FCx!K43</f>
        <v>0</v>
      </c>
      <c r="M37" s="144">
        <f>FCx!M43-FCx!L43</f>
        <v>0</v>
      </c>
    </row>
    <row r="38" spans="2:13" x14ac:dyDescent="0.3">
      <c r="B38" s="113" t="s">
        <v>205</v>
      </c>
      <c r="C38" s="113"/>
      <c r="D38" s="114">
        <f t="shared" ref="D38:M38" si="8">D35+D36-D37</f>
        <v>58314</v>
      </c>
      <c r="E38" s="114">
        <f t="shared" si="8"/>
        <v>286416</v>
      </c>
      <c r="F38" s="114">
        <f t="shared" si="8"/>
        <v>241200</v>
      </c>
      <c r="G38" s="114">
        <f t="shared" si="8"/>
        <v>149892</v>
      </c>
      <c r="H38" s="114">
        <f t="shared" si="8"/>
        <v>431422</v>
      </c>
      <c r="I38" s="114">
        <f t="shared" si="8"/>
        <v>275859.1303275688</v>
      </c>
      <c r="J38" s="114">
        <f t="shared" si="8"/>
        <v>379387.88756492897</v>
      </c>
      <c r="K38" s="114">
        <f t="shared" si="8"/>
        <v>472049.77584003465</v>
      </c>
      <c r="L38" s="114">
        <f t="shared" si="8"/>
        <v>541032.73784078658</v>
      </c>
      <c r="M38" s="114">
        <f t="shared" si="8"/>
        <v>616423.6721135854</v>
      </c>
    </row>
    <row r="39" spans="2:13" x14ac:dyDescent="0.3">
      <c r="B39" s="113"/>
      <c r="C39" s="113"/>
      <c r="D39" s="114"/>
      <c r="E39" s="114"/>
      <c r="F39" s="114"/>
      <c r="G39" s="114"/>
      <c r="H39" s="114"/>
      <c r="L39" s="97"/>
      <c r="M39" s="97"/>
    </row>
    <row r="40" spans="2:13" x14ac:dyDescent="0.3">
      <c r="B40" s="115" t="s">
        <v>206</v>
      </c>
      <c r="C40" s="115"/>
      <c r="D40" s="116"/>
      <c r="E40" s="116"/>
      <c r="F40" s="116"/>
      <c r="G40" s="116"/>
      <c r="H40" s="116"/>
      <c r="I40" s="117"/>
      <c r="J40" s="117"/>
      <c r="K40" s="117"/>
      <c r="L40" s="118"/>
      <c r="M40" s="118"/>
    </row>
    <row r="41" spans="2:13" x14ac:dyDescent="0.3">
      <c r="B41" s="102" t="s">
        <v>207</v>
      </c>
      <c r="C41" s="103">
        <f>BP!C68</f>
        <v>938260</v>
      </c>
      <c r="D41" s="103">
        <f>BP!D68</f>
        <v>937994</v>
      </c>
      <c r="E41" s="103">
        <f>BP!E68</f>
        <v>937994</v>
      </c>
      <c r="F41" s="103">
        <f>BP!F68</f>
        <v>937994</v>
      </c>
      <c r="G41" s="103">
        <f>BP!G68</f>
        <v>937994</v>
      </c>
      <c r="H41" s="103">
        <f>BP!H68</f>
        <v>937994</v>
      </c>
      <c r="I41" s="143">
        <f>BP!I68</f>
        <v>937994</v>
      </c>
      <c r="J41" s="143">
        <f>BP!J68</f>
        <v>937994</v>
      </c>
      <c r="K41" s="143">
        <f>BP!K68</f>
        <v>937994</v>
      </c>
      <c r="L41" s="143">
        <f>BP!L68</f>
        <v>937994</v>
      </c>
      <c r="M41" s="143">
        <f>BP!M68</f>
        <v>937994</v>
      </c>
    </row>
    <row r="42" spans="2:13" ht="15" thickBot="1" x14ac:dyDescent="0.35">
      <c r="B42" s="104" t="s">
        <v>208</v>
      </c>
      <c r="C42" s="105">
        <f>BP!C70+BP!C71</f>
        <v>71235</v>
      </c>
      <c r="D42" s="105">
        <f>BP!D70+BP!D71</f>
        <v>73297</v>
      </c>
      <c r="E42" s="105">
        <f>BP!E70+BP!E71</f>
        <v>5115</v>
      </c>
      <c r="F42" s="105">
        <f>BP!F70+BP!F71</f>
        <v>9501</v>
      </c>
      <c r="G42" s="105">
        <f>BP!G70+BP!G71</f>
        <v>13271</v>
      </c>
      <c r="H42" s="105">
        <f>BP!H70+BP!H71</f>
        <v>19188</v>
      </c>
      <c r="I42" s="144">
        <f>BP!I70+BP!I71</f>
        <v>19188</v>
      </c>
      <c r="J42" s="144">
        <f>BP!J70+BP!J71</f>
        <v>19188</v>
      </c>
      <c r="K42" s="144">
        <f>BP!K70+BP!K71</f>
        <v>19188</v>
      </c>
      <c r="L42" s="144">
        <f>BP!L70+BP!L71</f>
        <v>19188</v>
      </c>
      <c r="M42" s="144">
        <f>BP!M70+BP!M71</f>
        <v>19188</v>
      </c>
    </row>
    <row r="43" spans="2:13" x14ac:dyDescent="0.3">
      <c r="B43" s="97" t="s">
        <v>209</v>
      </c>
      <c r="C43" s="128">
        <f t="shared" ref="C43:H43" si="9">C41+C42</f>
        <v>1009495</v>
      </c>
      <c r="D43" s="128">
        <f t="shared" si="9"/>
        <v>1011291</v>
      </c>
      <c r="E43" s="128">
        <f t="shared" si="9"/>
        <v>943109</v>
      </c>
      <c r="F43" s="128">
        <f t="shared" si="9"/>
        <v>947495</v>
      </c>
      <c r="G43" s="128">
        <f t="shared" si="9"/>
        <v>951265</v>
      </c>
      <c r="H43" s="128">
        <f t="shared" si="9"/>
        <v>957182</v>
      </c>
      <c r="I43" s="145">
        <f>I41+I42</f>
        <v>957182</v>
      </c>
      <c r="J43" s="145">
        <f>J41+J42</f>
        <v>957182</v>
      </c>
      <c r="K43" s="145">
        <f>K41+K42</f>
        <v>957182</v>
      </c>
      <c r="L43" s="145">
        <f>L41+L42</f>
        <v>957182</v>
      </c>
      <c r="M43" s="145">
        <f>M41+M42</f>
        <v>957182</v>
      </c>
    </row>
    <row r="44" spans="2:13" x14ac:dyDescent="0.3">
      <c r="B44" s="97"/>
      <c r="C44" s="119"/>
      <c r="D44" s="119"/>
      <c r="E44" s="119"/>
      <c r="F44" s="119"/>
      <c r="G44" s="119"/>
      <c r="H44" s="119"/>
      <c r="L44" s="97"/>
      <c r="M44" s="97"/>
    </row>
    <row r="45" spans="2:13" ht="15" customHeight="1" x14ac:dyDescent="0.3">
      <c r="B45" s="120" t="s">
        <v>210</v>
      </c>
      <c r="C45" s="103">
        <f>BP!C72</f>
        <v>-20344</v>
      </c>
      <c r="D45" s="103">
        <f>BP!D72</f>
        <v>-45234</v>
      </c>
      <c r="E45" s="103">
        <f>BP!E72</f>
        <v>0</v>
      </c>
      <c r="F45" s="103">
        <f>BP!F72</f>
        <v>-44414</v>
      </c>
      <c r="G45" s="103">
        <f>BP!G72</f>
        <v>-105752</v>
      </c>
      <c r="H45" s="103">
        <f>BP!H72</f>
        <v>-3413</v>
      </c>
      <c r="I45" s="143">
        <f>BP!I72</f>
        <v>-3413</v>
      </c>
      <c r="J45" s="143">
        <f>BP!J72</f>
        <v>-3413</v>
      </c>
      <c r="K45" s="143">
        <f>BP!K72</f>
        <v>-3413</v>
      </c>
      <c r="L45" s="143">
        <f>BP!L72</f>
        <v>-3413</v>
      </c>
      <c r="M45" s="143">
        <f>BP!M72</f>
        <v>-3413</v>
      </c>
    </row>
    <row r="46" spans="2:13" ht="15" customHeight="1" x14ac:dyDescent="0.3">
      <c r="B46" s="113"/>
      <c r="C46" s="113"/>
      <c r="D46" s="114"/>
      <c r="E46" s="114"/>
      <c r="F46" s="114"/>
      <c r="G46" s="114"/>
      <c r="H46" s="114"/>
      <c r="L46" s="97"/>
      <c r="M46" s="97"/>
    </row>
    <row r="47" spans="2:13" ht="15" customHeight="1" x14ac:dyDescent="0.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13" ht="15" customHeight="1" x14ac:dyDescent="0.3">
      <c r="B48" s="81" t="s">
        <v>211</v>
      </c>
      <c r="C48" s="81"/>
      <c r="D48" s="112"/>
      <c r="E48" s="112"/>
      <c r="F48" s="112"/>
      <c r="G48" s="112"/>
      <c r="H48" s="112"/>
      <c r="I48" s="112"/>
      <c r="J48" s="112"/>
      <c r="K48" s="112"/>
      <c r="L48" s="112"/>
      <c r="M48" s="112"/>
    </row>
    <row r="49" spans="1:13" ht="15" customHeight="1" x14ac:dyDescent="0.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</row>
    <row r="50" spans="1:13" s="121" customFormat="1" ht="15" customHeight="1" x14ac:dyDescent="0.3">
      <c r="A50" s="91"/>
      <c r="B50" s="125" t="s">
        <v>212</v>
      </c>
      <c r="C50" s="127"/>
      <c r="D50" s="126">
        <f>DRE!C41</f>
        <v>-217800</v>
      </c>
      <c r="E50" s="126">
        <f>DRE!D41</f>
        <v>-189330</v>
      </c>
      <c r="F50" s="126">
        <f>DRE!E41</f>
        <v>-363235</v>
      </c>
      <c r="G50" s="126">
        <f>DRE!F41</f>
        <v>-345909</v>
      </c>
      <c r="H50" s="126">
        <f>DRE!G41</f>
        <v>-592544</v>
      </c>
      <c r="I50" s="126">
        <f>DRE!H41</f>
        <v>-534528.37798304099</v>
      </c>
      <c r="J50" s="126">
        <f>DRE!I41</f>
        <v>-617509.71592337172</v>
      </c>
      <c r="K50" s="126">
        <f>DRE!J41</f>
        <v>-747163.57177226851</v>
      </c>
      <c r="L50" s="126">
        <f>DRE!K41</f>
        <v>-859864.26427528099</v>
      </c>
      <c r="M50" s="126">
        <f>DRE!L41</f>
        <v>-1032003.1742920435</v>
      </c>
    </row>
    <row r="51" spans="1:13" s="121" customFormat="1" ht="15" customHeight="1" thickBot="1" x14ac:dyDescent="0.35">
      <c r="A51" s="91"/>
      <c r="B51" s="104" t="s">
        <v>213</v>
      </c>
      <c r="C51" s="106"/>
      <c r="D51" s="105">
        <f>FCx!D58</f>
        <v>143170</v>
      </c>
      <c r="E51" s="105">
        <f>FCx!E58</f>
        <v>265468</v>
      </c>
      <c r="F51" s="105">
        <f>FCx!F58</f>
        <v>670293</v>
      </c>
      <c r="G51" s="105">
        <f>FCx!G58</f>
        <v>1065393</v>
      </c>
      <c r="H51" s="105">
        <f>FCx!H58</f>
        <v>746629</v>
      </c>
      <c r="I51" s="105">
        <f>FCx!I58</f>
        <v>0</v>
      </c>
      <c r="J51" s="105">
        <f>FCx!J58</f>
        <v>0</v>
      </c>
      <c r="K51" s="105">
        <f>FCx!K58</f>
        <v>0</v>
      </c>
      <c r="L51" s="105">
        <f>FCx!L58</f>
        <v>0</v>
      </c>
      <c r="M51" s="105">
        <f>FCx!M58</f>
        <v>0</v>
      </c>
    </row>
    <row r="52" spans="1:13" s="123" customFormat="1" ht="15" customHeight="1" x14ac:dyDescent="0.3">
      <c r="A52" s="122"/>
      <c r="B52" s="113" t="s">
        <v>214</v>
      </c>
      <c r="C52" s="101"/>
      <c r="D52" s="114">
        <f>(-D50)-D51</f>
        <v>74630</v>
      </c>
      <c r="E52" s="114">
        <f>(-E50)-E51</f>
        <v>-76138</v>
      </c>
      <c r="F52" s="114">
        <f t="shared" ref="F52:H52" si="10">(-F50)-F51</f>
        <v>-307058</v>
      </c>
      <c r="G52" s="114">
        <f t="shared" si="10"/>
        <v>-719484</v>
      </c>
      <c r="H52" s="114">
        <f t="shared" si="10"/>
        <v>-154085</v>
      </c>
      <c r="I52" s="114">
        <f>(-I50)-I51</f>
        <v>534528.37798304099</v>
      </c>
      <c r="J52" s="114">
        <f>(-J50)-J51</f>
        <v>617509.71592337172</v>
      </c>
      <c r="K52" s="114">
        <f>(-K50)-K51</f>
        <v>747163.57177226851</v>
      </c>
      <c r="L52" s="114">
        <f>(-L50)-L51</f>
        <v>859864.26427528099</v>
      </c>
      <c r="M52" s="114">
        <f>(-M50)-M51</f>
        <v>1032003.1742920435</v>
      </c>
    </row>
    <row r="53" spans="1:13" s="121" customFormat="1" ht="15" customHeight="1" x14ac:dyDescent="0.3">
      <c r="A53" s="91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1:13" s="121" customFormat="1" ht="15" customHeight="1" x14ac:dyDescent="0.3">
      <c r="A54" s="91"/>
      <c r="B54" s="124" t="s">
        <v>215</v>
      </c>
      <c r="C54" s="118"/>
      <c r="D54" s="124"/>
      <c r="E54" s="124"/>
      <c r="F54" s="124"/>
      <c r="G54" s="124"/>
      <c r="H54" s="124"/>
      <c r="I54" s="118"/>
      <c r="J54" s="118"/>
      <c r="K54" s="118"/>
      <c r="L54" s="118"/>
      <c r="M54" s="118"/>
    </row>
    <row r="55" spans="1:13" s="121" customFormat="1" ht="15" customHeight="1" x14ac:dyDescent="0.3">
      <c r="A55" s="91"/>
      <c r="B55" s="102" t="str">
        <f>BP!B49</f>
        <v xml:space="preserve"> Total empres e financ CP</v>
      </c>
      <c r="C55" s="103">
        <f>BP!C49</f>
        <v>159878</v>
      </c>
      <c r="D55" s="103">
        <f>BP!D49</f>
        <v>514114</v>
      </c>
      <c r="E55" s="103">
        <f>BP!E49</f>
        <v>586591</v>
      </c>
      <c r="F55" s="103">
        <f>BP!F49</f>
        <v>703141</v>
      </c>
      <c r="G55" s="103">
        <f>BP!G49</f>
        <v>623139</v>
      </c>
      <c r="H55" s="103">
        <f>BP!H49</f>
        <v>1178555</v>
      </c>
      <c r="I55" s="103">
        <f>BP!I49</f>
        <v>1178555</v>
      </c>
      <c r="J55" s="103">
        <f>BP!J49</f>
        <v>1178555</v>
      </c>
      <c r="K55" s="103">
        <f>BP!K49</f>
        <v>1178555</v>
      </c>
      <c r="L55" s="103">
        <f>BP!L49</f>
        <v>1178555</v>
      </c>
      <c r="M55" s="103">
        <f>BP!M49</f>
        <v>1178555</v>
      </c>
    </row>
    <row r="56" spans="1:13" s="121" customFormat="1" ht="15" customHeight="1" x14ac:dyDescent="0.3">
      <c r="A56" s="91"/>
      <c r="B56" s="102" t="str">
        <f>BP!B58</f>
        <v xml:space="preserve"> Total empres e financ LP</v>
      </c>
      <c r="C56" s="103">
        <f>BP!C58</f>
        <v>1125811</v>
      </c>
      <c r="D56" s="103">
        <f>BP!D58</f>
        <v>914745</v>
      </c>
      <c r="E56" s="103">
        <f>BP!E58</f>
        <v>1107736</v>
      </c>
      <c r="F56" s="103">
        <f>BP!F58</f>
        <v>1661479</v>
      </c>
      <c r="G56" s="103">
        <f>BP!G58</f>
        <v>2806874</v>
      </c>
      <c r="H56" s="103">
        <f>BP!H58</f>
        <v>2998087</v>
      </c>
      <c r="I56" s="103">
        <f>BP!I58</f>
        <v>2998087</v>
      </c>
      <c r="J56" s="103">
        <f>BP!J58</f>
        <v>2998087</v>
      </c>
      <c r="K56" s="103">
        <f>BP!K58</f>
        <v>2998087</v>
      </c>
      <c r="L56" s="103">
        <f>BP!L58</f>
        <v>2998087</v>
      </c>
      <c r="M56" s="103">
        <f>BP!M58</f>
        <v>2998087</v>
      </c>
    </row>
    <row r="57" spans="1:13" s="121" customFormat="1" ht="15" customHeight="1" thickBot="1" x14ac:dyDescent="0.35">
      <c r="A57" s="91"/>
      <c r="B57" s="104" t="s">
        <v>216</v>
      </c>
      <c r="C57" s="105">
        <f t="shared" ref="C57:H57" si="11">C55+C56</f>
        <v>1285689</v>
      </c>
      <c r="D57" s="105">
        <f t="shared" si="11"/>
        <v>1428859</v>
      </c>
      <c r="E57" s="105">
        <f t="shared" si="11"/>
        <v>1694327</v>
      </c>
      <c r="F57" s="105">
        <f t="shared" si="11"/>
        <v>2364620</v>
      </c>
      <c r="G57" s="105">
        <f t="shared" si="11"/>
        <v>3430013</v>
      </c>
      <c r="H57" s="105">
        <f t="shared" si="11"/>
        <v>4176642</v>
      </c>
      <c r="I57" s="105">
        <f>I55+I56</f>
        <v>4176642</v>
      </c>
      <c r="J57" s="105">
        <f>J55+J56</f>
        <v>4176642</v>
      </c>
      <c r="K57" s="105">
        <f>K55+K56</f>
        <v>4176642</v>
      </c>
      <c r="L57" s="105">
        <f>L55+L56</f>
        <v>4176642</v>
      </c>
      <c r="M57" s="105">
        <f>M55+M56</f>
        <v>4176642</v>
      </c>
    </row>
    <row r="58" spans="1:13" s="121" customFormat="1" ht="15" customHeight="1" x14ac:dyDescent="0.3">
      <c r="A58" s="91"/>
      <c r="B58" s="101" t="s">
        <v>217</v>
      </c>
      <c r="C58" s="97"/>
      <c r="D58" s="114">
        <f t="shared" ref="D58:M58" si="12">D57-C57</f>
        <v>143170</v>
      </c>
      <c r="E58" s="114">
        <f t="shared" si="12"/>
        <v>265468</v>
      </c>
      <c r="F58" s="114">
        <f t="shared" si="12"/>
        <v>670293</v>
      </c>
      <c r="G58" s="114">
        <f t="shared" si="12"/>
        <v>1065393</v>
      </c>
      <c r="H58" s="114">
        <f t="shared" si="12"/>
        <v>746629</v>
      </c>
      <c r="I58" s="114">
        <f t="shared" si="12"/>
        <v>0</v>
      </c>
      <c r="J58" s="114">
        <f t="shared" si="12"/>
        <v>0</v>
      </c>
      <c r="K58" s="114">
        <f t="shared" si="12"/>
        <v>0</v>
      </c>
      <c r="L58" s="114">
        <f t="shared" si="12"/>
        <v>0</v>
      </c>
      <c r="M58" s="114">
        <f t="shared" si="12"/>
        <v>0</v>
      </c>
    </row>
    <row r="59" spans="1:13" s="121" customFormat="1" ht="15" customHeight="1" x14ac:dyDescent="0.3">
      <c r="A59" s="91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1:13" s="121" customFormat="1" ht="15" customHeight="1" x14ac:dyDescent="0.3">
      <c r="A60" s="91"/>
    </row>
    <row r="61" spans="1:13" ht="15" customHeight="1" x14ac:dyDescent="0.3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1:13" ht="15" customHeight="1" x14ac:dyDescent="0.3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1:13" ht="15" customHeight="1" x14ac:dyDescent="0.3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</row>
    <row r="64" spans="1:13" x14ac:dyDescent="0.3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</row>
    <row r="65" spans="2:13" x14ac:dyDescent="0.3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  <row r="66" spans="2:13" x14ac:dyDescent="0.3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</row>
    <row r="67" spans="2:13" x14ac:dyDescent="0.3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</row>
    <row r="68" spans="2:13" x14ac:dyDescent="0.3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2:13" x14ac:dyDescent="0.3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</row>
    <row r="70" spans="2:13" x14ac:dyDescent="0.3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</row>
    <row r="71" spans="2:13" x14ac:dyDescent="0.3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</row>
    <row r="72" spans="2:13" x14ac:dyDescent="0.3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</row>
    <row r="73" spans="2:13" x14ac:dyDescent="0.3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</row>
    <row r="74" spans="2:13" x14ac:dyDescent="0.3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</row>
    <row r="75" spans="2:13" x14ac:dyDescent="0.3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</row>
    <row r="76" spans="2:13" x14ac:dyDescent="0.3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1778-914C-413D-9ACE-982AFC96F872}">
  <dimension ref="A1:I22"/>
  <sheetViews>
    <sheetView workbookViewId="0">
      <selection activeCell="F20" sqref="F20"/>
    </sheetView>
  </sheetViews>
  <sheetFormatPr defaultRowHeight="14.4" x14ac:dyDescent="0.3"/>
  <cols>
    <col min="4" max="4" width="14.44140625" customWidth="1"/>
    <col min="5" max="9" width="11.88671875" bestFit="1" customWidth="1"/>
    <col min="12" max="12" width="24.109375" customWidth="1"/>
  </cols>
  <sheetData>
    <row r="1" spans="1:9" x14ac:dyDescent="0.3">
      <c r="A1" t="s">
        <v>147</v>
      </c>
      <c r="E1" s="9">
        <v>2018</v>
      </c>
      <c r="F1" s="9">
        <v>2019</v>
      </c>
      <c r="G1" s="9">
        <v>2020</v>
      </c>
      <c r="H1" s="9">
        <v>2021</v>
      </c>
      <c r="I1" s="9">
        <v>2022</v>
      </c>
    </row>
    <row r="2" spans="1:9" x14ac:dyDescent="0.3">
      <c r="A2" s="9" t="s">
        <v>218</v>
      </c>
    </row>
    <row r="15" spans="1:9" x14ac:dyDescent="0.3">
      <c r="A15" s="18" t="s">
        <v>219</v>
      </c>
      <c r="B15" s="18"/>
      <c r="C15" s="18"/>
      <c r="D15" s="18"/>
      <c r="E15" s="19" t="s">
        <v>220</v>
      </c>
      <c r="F15" s="18"/>
    </row>
    <row r="17" spans="4:9" x14ac:dyDescent="0.3">
      <c r="E17" s="15"/>
    </row>
    <row r="18" spans="4:9" x14ac:dyDescent="0.3">
      <c r="E18" s="15"/>
      <c r="F18" s="15"/>
      <c r="G18" s="15"/>
      <c r="H18" s="15"/>
      <c r="I18" s="15"/>
    </row>
    <row r="19" spans="4:9" x14ac:dyDescent="0.3">
      <c r="D19" t="s">
        <v>221</v>
      </c>
      <c r="E19" s="30">
        <v>560435</v>
      </c>
      <c r="F19" s="30">
        <v>404103</v>
      </c>
      <c r="G19" s="30">
        <v>258356</v>
      </c>
      <c r="H19" s="30">
        <v>405515</v>
      </c>
      <c r="I19" s="30">
        <v>871039</v>
      </c>
    </row>
    <row r="20" spans="4:9" x14ac:dyDescent="0.3">
      <c r="D20" t="s">
        <v>222</v>
      </c>
      <c r="E20" s="15">
        <f>FCx!D38+FCx!D52</f>
        <v>132944</v>
      </c>
      <c r="F20" s="15">
        <f>FCx!E38+FCx!E52</f>
        <v>210278</v>
      </c>
      <c r="G20" s="15">
        <f>FCx!F38+FCx!F52</f>
        <v>-65858</v>
      </c>
      <c r="H20" s="15">
        <f>FCx!G38+FCx!G52</f>
        <v>-569592</v>
      </c>
      <c r="I20" s="15">
        <f>FCx!H38+FCx!H52</f>
        <v>277337</v>
      </c>
    </row>
    <row r="22" spans="4:9" x14ac:dyDescent="0.3">
      <c r="E22" s="15"/>
      <c r="F22" s="15"/>
      <c r="G22" s="15"/>
      <c r="H22" s="15"/>
      <c r="I22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BP</vt:lpstr>
      <vt:lpstr>DRE</vt:lpstr>
      <vt:lpstr>DFC</vt:lpstr>
      <vt:lpstr>FCx</vt:lpstr>
      <vt:lpstr>Fluxo de Caixa dos Investidores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Hicham Tayfour</cp:lastModifiedBy>
  <cp:revision/>
  <dcterms:created xsi:type="dcterms:W3CDTF">2000-01-01T12:00:00Z</dcterms:created>
  <dcterms:modified xsi:type="dcterms:W3CDTF">2023-09-10T20:11:51Z</dcterms:modified>
  <cp:category/>
  <cp:contentStatus/>
</cp:coreProperties>
</file>