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slicers/slicer2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Cliente Stela - RODRIGO\"/>
    </mc:Choice>
  </mc:AlternateContent>
  <xr:revisionPtr revIDLastSave="0" documentId="8_{327333EC-E7B9-47C5-929F-A010F70C8227}" xr6:coauthVersionLast="47" xr6:coauthVersionMax="47" xr10:uidLastSave="{00000000-0000-0000-0000-000000000000}"/>
  <bookViews>
    <workbookView xWindow="6059" yWindow="3804" windowWidth="19562" windowHeight="10148" tabRatio="855" firstSheet="1" activeTab="3" xr2:uid="{67D5977E-04A3-4BF5-A276-666E16C952AA}"/>
  </bookViews>
  <sheets>
    <sheet name="EX BD" sheetId="33" state="hidden" r:id="rId1"/>
    <sheet name="BD dp" sheetId="1" r:id="rId2"/>
    <sheet name="BASE. FIN." sheetId="30" r:id="rId3"/>
    <sheet name="ANALISES COMERCIAL" sheetId="21" r:id="rId4"/>
    <sheet name="BASE DADOS COMERCIAL" sheetId="20" r:id="rId5"/>
    <sheet name="ANALISES FIN." sheetId="31" r:id="rId6"/>
    <sheet name="ANALISES SEPARACAO" sheetId="16" r:id="rId7"/>
    <sheet name="ANALISES CONF" sheetId="18" r:id="rId8"/>
    <sheet name="ANALISES RECEB" sheetId="12" r:id="rId9"/>
  </sheets>
  <definedNames>
    <definedName name="SegmentaçãodeDados_COLABORADOR1">#N/A</definedName>
    <definedName name="SegmentaçãodeDados_DATA1">#N/A</definedName>
    <definedName name="SegmentaçãodeDados_DATA11">#N/A</definedName>
    <definedName name="SegmentaçãodeDados_DEPT1">#N/A</definedName>
    <definedName name="SegmentaçãodeDados_MÊS1">#N/A</definedName>
    <definedName name="SegmentaçãodeDados_VENDEDOR1">#N/A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fileRecoveryPr repairLoad="1"/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1"/>
        <x14:slicerCache r:id="rId22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_0a026d38-dcf9-44aa-94d8-49c6377e36a8" name="Tabela1" connection="Consulta - Tabela1"/>
          <x15:modelTable id="ANALISES_b5f1665c-c28d-4f00-8f0f-9bec1b1ef83d" name="ANALISES" connection="Consulta - ANALISES"/>
          <x15:modelTable id="APOIO_4ffe876c-b025-4268-ad61-1856863338e6" name="APOIO" connection="Consulta - APOIO"/>
          <x15:modelTable id="RECEBIMENTO_faaa3696-ee07-43ff-acef-bd65037fba0c" name="RECEBIMENTO" connection="Consulta - RECEBIMENT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30" l="1"/>
  <c r="Y5" i="30"/>
  <c r="Y6" i="30"/>
  <c r="Y7" i="30"/>
  <c r="Y8" i="30"/>
  <c r="Y9" i="30"/>
  <c r="Y10" i="30"/>
  <c r="Y11" i="30"/>
  <c r="Y12" i="30"/>
  <c r="Y13" i="30"/>
  <c r="Y14" i="30"/>
  <c r="Y15" i="30"/>
  <c r="Y16" i="30"/>
  <c r="Y17" i="30"/>
  <c r="Y18" i="30"/>
  <c r="Y19" i="30"/>
  <c r="Y20" i="30"/>
  <c r="Y21" i="30"/>
  <c r="Y22" i="30"/>
  <c r="Y23" i="30"/>
  <c r="Y24" i="30"/>
  <c r="Y25" i="30"/>
  <c r="Y26" i="30"/>
  <c r="Y27" i="30"/>
  <c r="Y28" i="30"/>
  <c r="Y29" i="30"/>
  <c r="Y30" i="30"/>
  <c r="Y31" i="30"/>
  <c r="Y32" i="30"/>
  <c r="Y3" i="30"/>
  <c r="AL2" i="31"/>
  <c r="AB2" i="31"/>
  <c r="AQ2" i="31"/>
  <c r="AN2" i="31"/>
  <c r="AJ2" i="31"/>
  <c r="AI2" i="31"/>
  <c r="AA2" i="31"/>
  <c r="AM2" i="31"/>
  <c r="AF2" i="31"/>
  <c r="AR2" i="31"/>
  <c r="AE2" i="31"/>
  <c r="AH2" i="31" l="1"/>
  <c r="AP1" i="31"/>
  <c r="AP2" i="31" s="1"/>
  <c r="Z2" i="31"/>
  <c r="AH1" i="31"/>
  <c r="S41" i="21"/>
  <c r="S42" i="21"/>
  <c r="S43" i="21"/>
  <c r="S6" i="21"/>
  <c r="S7" i="21"/>
  <c r="S8" i="21"/>
  <c r="G35" i="20" l="1"/>
  <c r="G34" i="20"/>
  <c r="G33" i="20"/>
  <c r="G20" i="20"/>
  <c r="G21" i="20"/>
  <c r="G22" i="20"/>
  <c r="A12" i="21"/>
  <c r="E2" i="1" l="1"/>
  <c r="D2" i="1"/>
  <c r="M5" i="21"/>
  <c r="M4" i="21"/>
  <c r="A93" i="33"/>
  <c r="A14" i="21"/>
  <c r="I2" i="21"/>
  <c r="F2" i="21"/>
  <c r="M2" i="21" l="1"/>
  <c r="S4" i="31"/>
  <c r="N3" i="31"/>
  <c r="J3" i="31"/>
  <c r="F3" i="31"/>
  <c r="W4" i="31" l="1"/>
  <c r="X4" i="31"/>
  <c r="T4" i="31"/>
  <c r="U4" i="31"/>
  <c r="S34" i="21"/>
  <c r="S47" i="21"/>
  <c r="S38" i="21"/>
  <c r="S48" i="21"/>
  <c r="S46" i="21"/>
  <c r="S49" i="21"/>
  <c r="S39" i="21"/>
  <c r="S40" i="21"/>
  <c r="S44" i="21"/>
  <c r="S45" i="21"/>
  <c r="S37" i="21"/>
  <c r="Q18" i="21"/>
  <c r="S3" i="21"/>
  <c r="S4" i="21"/>
  <c r="S5" i="21"/>
  <c r="S9" i="21"/>
  <c r="S10" i="21"/>
  <c r="S11" i="21"/>
  <c r="S12" i="21"/>
  <c r="S13" i="21"/>
  <c r="S14" i="21"/>
  <c r="S2" i="21"/>
  <c r="G18" i="20"/>
  <c r="G29" i="20"/>
  <c r="G30" i="20"/>
  <c r="G16" i="20"/>
  <c r="G17" i="20"/>
  <c r="G13" i="20"/>
  <c r="G23" i="20"/>
  <c r="G24" i="20"/>
  <c r="G28" i="20"/>
  <c r="G31" i="20"/>
  <c r="G11" i="20" l="1"/>
  <c r="G12" i="20"/>
  <c r="G14" i="20"/>
  <c r="G15" i="20"/>
  <c r="G19" i="20"/>
  <c r="G25" i="20"/>
  <c r="G26" i="20"/>
  <c r="G27" i="20"/>
  <c r="G32" i="20"/>
  <c r="G10" i="20"/>
  <c r="B2" i="21"/>
  <c r="I343" i="18" l="1"/>
  <c r="J343" i="18" s="1"/>
  <c r="G343" i="18"/>
  <c r="I342" i="18"/>
  <c r="G342" i="18" s="1"/>
  <c r="I341" i="18"/>
  <c r="G341" i="18" s="1"/>
  <c r="I339" i="18"/>
  <c r="J339" i="18" s="1"/>
  <c r="G339" i="18"/>
  <c r="I338" i="18"/>
  <c r="J338" i="18" s="1"/>
  <c r="G338" i="18"/>
  <c r="I337" i="18"/>
  <c r="G337" i="18" s="1"/>
  <c r="I335" i="18"/>
  <c r="G335" i="18" s="1"/>
  <c r="I334" i="18"/>
  <c r="J334" i="18" s="1"/>
  <c r="G334" i="18"/>
  <c r="I333" i="18"/>
  <c r="J333" i="18" s="1"/>
  <c r="G333" i="18"/>
  <c r="I331" i="18"/>
  <c r="G331" i="18" s="1"/>
  <c r="I330" i="18"/>
  <c r="G330" i="18" s="1"/>
  <c r="I329" i="18"/>
  <c r="J329" i="18" s="1"/>
  <c r="I327" i="18"/>
  <c r="J327" i="18" s="1"/>
  <c r="G327" i="18"/>
  <c r="J326" i="18"/>
  <c r="I326" i="18"/>
  <c r="G326" i="18" s="1"/>
  <c r="I325" i="18"/>
  <c r="G325" i="18" s="1"/>
  <c r="I323" i="18"/>
  <c r="J323" i="18" s="1"/>
  <c r="G323" i="18"/>
  <c r="I322" i="18"/>
  <c r="J322" i="18" s="1"/>
  <c r="I321" i="18"/>
  <c r="G321" i="18" s="1"/>
  <c r="I319" i="18"/>
  <c r="G319" i="18" s="1"/>
  <c r="I318" i="18"/>
  <c r="J318" i="18" s="1"/>
  <c r="G318" i="18"/>
  <c r="I317" i="18"/>
  <c r="J317" i="18" s="1"/>
  <c r="J315" i="18"/>
  <c r="I315" i="18"/>
  <c r="G315" i="18" s="1"/>
  <c r="I314" i="18"/>
  <c r="G314" i="18" s="1"/>
  <c r="I313" i="18"/>
  <c r="J313" i="18" s="1"/>
  <c r="I311" i="18"/>
  <c r="J311" i="18" s="1"/>
  <c r="J310" i="18"/>
  <c r="I310" i="18"/>
  <c r="G310" i="18" s="1"/>
  <c r="I309" i="18"/>
  <c r="G309" i="18" s="1"/>
  <c r="D277" i="18"/>
  <c r="D248" i="18"/>
  <c r="D216" i="18"/>
  <c r="G216" i="18" s="1"/>
  <c r="D187" i="18"/>
  <c r="G187" i="18" s="1"/>
  <c r="E248" i="18"/>
  <c r="F287" i="18"/>
  <c r="I316" i="18"/>
  <c r="F283" i="18"/>
  <c r="I340" i="18"/>
  <c r="C44" i="18"/>
  <c r="E277" i="18"/>
  <c r="E216" i="18"/>
  <c r="D82" i="18"/>
  <c r="I324" i="18"/>
  <c r="I312" i="18"/>
  <c r="I308" i="18"/>
  <c r="E187" i="18"/>
  <c r="F288" i="18"/>
  <c r="F286" i="18"/>
  <c r="F285" i="18"/>
  <c r="I320" i="18"/>
  <c r="F282" i="18"/>
  <c r="C124" i="18"/>
  <c r="I332" i="18"/>
  <c r="C158" i="18"/>
  <c r="I336" i="18"/>
  <c r="F284" i="18"/>
  <c r="F257" i="18"/>
  <c r="I328" i="18"/>
  <c r="F258" i="18"/>
  <c r="F256" i="18"/>
  <c r="G311" i="18" l="1"/>
  <c r="J331" i="18"/>
  <c r="J321" i="18"/>
  <c r="G329" i="18"/>
  <c r="J337" i="18"/>
  <c r="G313" i="18"/>
  <c r="G322" i="18"/>
  <c r="J342" i="18"/>
  <c r="G317" i="18"/>
  <c r="G308" i="18"/>
  <c r="K308" i="18"/>
  <c r="J308" i="18"/>
  <c r="G324" i="18"/>
  <c r="K324" i="18"/>
  <c r="J324" i="18"/>
  <c r="G340" i="18"/>
  <c r="K340" i="18"/>
  <c r="J340" i="18"/>
  <c r="K312" i="18"/>
  <c r="J312" i="18"/>
  <c r="G312" i="18"/>
  <c r="K328" i="18"/>
  <c r="J328" i="18"/>
  <c r="G328" i="18"/>
  <c r="F216" i="18"/>
  <c r="J316" i="18"/>
  <c r="G316" i="18"/>
  <c r="K316" i="18"/>
  <c r="J332" i="18"/>
  <c r="K332" i="18"/>
  <c r="G332" i="18"/>
  <c r="F187" i="18"/>
  <c r="F248" i="18"/>
  <c r="E2" i="18"/>
  <c r="E3" i="18" s="1"/>
  <c r="G320" i="18"/>
  <c r="K320" i="18"/>
  <c r="J320" i="18"/>
  <c r="J336" i="18"/>
  <c r="G336" i="18"/>
  <c r="K336" i="18"/>
  <c r="J309" i="18"/>
  <c r="J314" i="18"/>
  <c r="J319" i="18"/>
  <c r="J325" i="18"/>
  <c r="J330" i="18"/>
  <c r="J335" i="18"/>
  <c r="J341" i="18"/>
  <c r="F194" i="18"/>
  <c r="F191" i="18"/>
  <c r="F195" i="18"/>
  <c r="F192" i="18"/>
  <c r="F225" i="18"/>
  <c r="F222" i="18"/>
  <c r="F196" i="18"/>
  <c r="F193" i="18"/>
  <c r="F223" i="18"/>
  <c r="F221" i="18"/>
  <c r="F224" i="18"/>
  <c r="F226" i="18"/>
  <c r="G196" i="18" l="1"/>
  <c r="G225" i="18"/>
  <c r="G191" i="18"/>
  <c r="G226" i="18"/>
  <c r="G224" i="18"/>
  <c r="G192" i="18"/>
  <c r="G193" i="18"/>
  <c r="G221" i="18"/>
  <c r="G194" i="18"/>
  <c r="G195" i="18"/>
  <c r="G222" i="18"/>
  <c r="G223" i="18"/>
  <c r="G257" i="18"/>
  <c r="F255" i="18"/>
  <c r="G255" i="18"/>
  <c r="G256" i="18"/>
  <c r="G258" i="18"/>
  <c r="G254" i="18"/>
  <c r="F254" i="18"/>
  <c r="G253" i="18"/>
  <c r="F253" i="18"/>
  <c r="I265" i="16" l="1"/>
  <c r="I264" i="16"/>
  <c r="J259" i="16"/>
  <c r="K259" i="16" s="1"/>
  <c r="E235" i="16"/>
  <c r="H235" i="16" s="1"/>
  <c r="E208" i="16"/>
  <c r="H208" i="16" s="1"/>
  <c r="M129" i="16" s="1"/>
  <c r="E184" i="16"/>
  <c r="H184" i="16" s="1"/>
  <c r="M128" i="16" s="1"/>
  <c r="E158" i="16"/>
  <c r="M127" i="16"/>
  <c r="B157" i="16"/>
  <c r="H163" i="16"/>
  <c r="J263" i="16"/>
  <c r="H161" i="16"/>
  <c r="H221" i="16"/>
  <c r="H168" i="16"/>
  <c r="H162" i="16"/>
  <c r="C138" i="16"/>
  <c r="Z4" i="16"/>
  <c r="F158" i="16"/>
  <c r="F208" i="16"/>
  <c r="J283" i="16"/>
  <c r="F235" i="16"/>
  <c r="C104" i="16"/>
  <c r="H165" i="16"/>
  <c r="J279" i="16"/>
  <c r="F184" i="16"/>
  <c r="H196" i="16"/>
  <c r="H166" i="16"/>
  <c r="J275" i="16"/>
  <c r="D62" i="16"/>
  <c r="H169" i="16"/>
  <c r="J287" i="16"/>
  <c r="H167" i="16"/>
  <c r="H164" i="16"/>
  <c r="J267" i="16"/>
  <c r="J271" i="16"/>
  <c r="J291" i="16"/>
  <c r="G184" i="16" l="1"/>
  <c r="H275" i="16"/>
  <c r="K275" i="16"/>
  <c r="G235" i="16"/>
  <c r="H291" i="16"/>
  <c r="K291" i="16"/>
  <c r="Z14" i="16"/>
  <c r="Z15" i="16" s="1"/>
  <c r="K279" i="16"/>
  <c r="H279" i="16"/>
  <c r="G208" i="16"/>
  <c r="K267" i="16"/>
  <c r="H267" i="16"/>
  <c r="K283" i="16"/>
  <c r="H283" i="16"/>
  <c r="H263" i="16"/>
  <c r="K263" i="16"/>
  <c r="H271" i="16"/>
  <c r="K271" i="16"/>
  <c r="H287" i="16"/>
  <c r="K287" i="16"/>
  <c r="H259" i="16"/>
  <c r="G194" i="16"/>
  <c r="G221" i="16"/>
  <c r="G191" i="16"/>
  <c r="G188" i="16"/>
  <c r="G219" i="16"/>
  <c r="G218" i="16"/>
  <c r="G220" i="16"/>
  <c r="G190" i="16"/>
  <c r="G217" i="16"/>
  <c r="G189" i="16"/>
  <c r="G193" i="16"/>
  <c r="G192" i="16"/>
  <c r="G216" i="16"/>
  <c r="G215" i="16"/>
  <c r="G213" i="16"/>
  <c r="G214" i="16"/>
  <c r="G195" i="16"/>
  <c r="G196" i="16"/>
  <c r="J265" i="16" l="1"/>
  <c r="J264" i="16"/>
  <c r="J269" i="16"/>
  <c r="J292" i="16"/>
  <c r="J261" i="16"/>
  <c r="J260" i="16"/>
  <c r="J276" i="16"/>
  <c r="J281" i="16"/>
  <c r="J284" i="16"/>
  <c r="J289" i="16"/>
  <c r="J273" i="16"/>
  <c r="J285" i="16"/>
  <c r="J280" i="16"/>
  <c r="J293" i="16"/>
  <c r="J277" i="16"/>
  <c r="J288" i="16"/>
  <c r="J272" i="16"/>
  <c r="J268" i="16"/>
  <c r="M130" i="16"/>
  <c r="H194" i="16"/>
  <c r="H244" i="16"/>
  <c r="H191" i="16"/>
  <c r="G249" i="16"/>
  <c r="H245" i="16"/>
  <c r="H188" i="16"/>
  <c r="H248" i="16"/>
  <c r="H218" i="16"/>
  <c r="H247" i="16"/>
  <c r="H246" i="16"/>
  <c r="G245" i="16"/>
  <c r="H216" i="16"/>
  <c r="H215" i="16"/>
  <c r="G246" i="16"/>
  <c r="H213" i="16"/>
  <c r="G244" i="16"/>
  <c r="H190" i="16"/>
  <c r="H243" i="16"/>
  <c r="H242" i="16"/>
  <c r="G243" i="16"/>
  <c r="H241" i="16"/>
  <c r="G248" i="16"/>
  <c r="H219" i="16"/>
  <c r="H195" i="16"/>
  <c r="H249" i="16"/>
  <c r="H214" i="16"/>
  <c r="G247" i="16"/>
  <c r="H193" i="16"/>
  <c r="H220" i="16"/>
  <c r="H192" i="16"/>
  <c r="H189" i="16"/>
  <c r="G241" i="16"/>
  <c r="H217" i="16"/>
  <c r="G242" i="16"/>
  <c r="J270" i="16" l="1"/>
  <c r="L267" i="16" s="1"/>
  <c r="J286" i="16"/>
  <c r="L283" i="16" s="1"/>
  <c r="J262" i="16"/>
  <c r="L259" i="16" s="1"/>
  <c r="J278" i="16"/>
  <c r="J294" i="16"/>
  <c r="L291" i="16" s="1"/>
  <c r="J282" i="16"/>
  <c r="L279" i="16" s="1"/>
  <c r="J274" i="16"/>
  <c r="L271" i="16" s="1"/>
  <c r="J290" i="16"/>
  <c r="L287" i="16" s="1"/>
  <c r="J266" i="16"/>
  <c r="L263" i="16" s="1"/>
  <c r="H288" i="16"/>
  <c r="K288" i="16"/>
  <c r="H292" i="16"/>
  <c r="K292" i="16"/>
  <c r="H277" i="16"/>
  <c r="K277" i="16"/>
  <c r="K273" i="16"/>
  <c r="H273" i="16"/>
  <c r="H276" i="16"/>
  <c r="K276" i="16"/>
  <c r="K269" i="16"/>
  <c r="H269" i="16"/>
  <c r="K285" i="16"/>
  <c r="H285" i="16"/>
  <c r="H281" i="16"/>
  <c r="K281" i="16"/>
  <c r="K268" i="16"/>
  <c r="H268" i="16"/>
  <c r="H293" i="16"/>
  <c r="K293" i="16"/>
  <c r="K289" i="16"/>
  <c r="H289" i="16"/>
  <c r="K260" i="16"/>
  <c r="H260" i="16"/>
  <c r="H264" i="16"/>
  <c r="K264" i="16"/>
  <c r="H272" i="16"/>
  <c r="K272" i="16"/>
  <c r="K280" i="16"/>
  <c r="H280" i="16"/>
  <c r="K284" i="16"/>
  <c r="H284" i="16"/>
  <c r="K261" i="16"/>
  <c r="H261" i="16"/>
  <c r="H265" i="16"/>
  <c r="K265" i="16"/>
  <c r="K290" i="16" l="1"/>
  <c r="H290" i="16"/>
  <c r="K278" i="16"/>
  <c r="H278" i="16"/>
  <c r="K274" i="16"/>
  <c r="H274" i="16"/>
  <c r="H262" i="16"/>
  <c r="K262" i="16"/>
  <c r="L275" i="16"/>
  <c r="H282" i="16"/>
  <c r="K282" i="16"/>
  <c r="H286" i="16"/>
  <c r="K286" i="16"/>
  <c r="H266" i="16"/>
  <c r="K266" i="16"/>
  <c r="K294" i="16"/>
  <c r="H294" i="16"/>
  <c r="H270" i="16"/>
  <c r="K270" i="16"/>
  <c r="C1" i="12"/>
  <c r="G1" i="12"/>
  <c r="D97" i="12"/>
  <c r="M81" i="12"/>
  <c r="K1" i="12"/>
  <c r="N1" i="12"/>
  <c r="E90" i="12" l="1"/>
  <c r="E89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A5C9A-19D2-450C-80C2-9D986C697BFA}" name="Consulta - ANALISES" description="Conexão com a consulta 'ANALISES' na pasta de trabalho." type="100" refreshedVersion="7" minRefreshableVersion="5">
    <extLst>
      <ext xmlns:x15="http://schemas.microsoft.com/office/spreadsheetml/2010/11/main" uri="{DE250136-89BD-433C-8126-D09CA5730AF9}">
        <x15:connection id="f7a6c8c6-152d-4b63-8c9f-ef801c33fb9c"/>
      </ext>
    </extLst>
  </connection>
  <connection id="2" xr16:uid="{C0EA4ED5-5508-417C-ABB8-D486361DEF17}" name="Consulta - APOIO" description="Conexão com a consulta 'APOIO' na pasta de trabalho." type="100" refreshedVersion="7" minRefreshableVersion="5">
    <extLst>
      <ext xmlns:x15="http://schemas.microsoft.com/office/spreadsheetml/2010/11/main" uri="{DE250136-89BD-433C-8126-D09CA5730AF9}">
        <x15:connection id="4a6f3d27-b282-43a5-a25f-d3a441d4e6e9"/>
      </ext>
    </extLst>
  </connection>
  <connection id="3" xr16:uid="{EC9AEEB8-3D58-4205-9492-52CC7CD39D12}" name="Consulta - RECEBIMENTO" description="Conexão com a consulta 'RECEBIMENTO' na pasta de trabalho." type="100" refreshedVersion="7" minRefreshableVersion="5">
    <extLst>
      <ext xmlns:x15="http://schemas.microsoft.com/office/spreadsheetml/2010/11/main" uri="{DE250136-89BD-433C-8126-D09CA5730AF9}">
        <x15:connection id="a8fa90de-b0c4-4659-97c3-eb26e49fd128"/>
      </ext>
    </extLst>
  </connection>
  <connection id="4" xr16:uid="{2FA5DDEF-A71A-4C75-AF19-A491BE41BAC0}" name="Consulta - Tabela1" description="Conexão com a consulta 'Tabela1' na pasta de trabalho." type="100" refreshedVersion="7" minRefreshableVersion="5">
    <extLst>
      <ext xmlns:x15="http://schemas.microsoft.com/office/spreadsheetml/2010/11/main" uri="{DE250136-89BD-433C-8126-D09CA5730AF9}">
        <x15:connection id="f9d84b51-b46e-4158-be4b-3a3e0d16cdf5"/>
      </ext>
    </extLst>
  </connection>
  <connection id="5" xr16:uid="{CEF9AEE5-ACB0-4485-8B90-DA1A13F0A1A5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<sst xmlns="http://schemas.openxmlformats.org/spreadsheetml/2006/main" count="1314" uniqueCount="395">
  <si>
    <t>DATA</t>
  </si>
  <si>
    <t>DEPT</t>
  </si>
  <si>
    <t>INDICADOR</t>
  </si>
  <si>
    <t>PREVISTO</t>
  </si>
  <si>
    <t>REALIZADO</t>
  </si>
  <si>
    <t>GRÁFICO</t>
  </si>
  <si>
    <t>Faturamento Bruto</t>
  </si>
  <si>
    <t>Barra</t>
  </si>
  <si>
    <t>Finanças</t>
  </si>
  <si>
    <t>Processos</t>
  </si>
  <si>
    <t>Pessoas</t>
  </si>
  <si>
    <t>Comercial</t>
  </si>
  <si>
    <t>ESG</t>
  </si>
  <si>
    <t>Faturamento Líquido</t>
  </si>
  <si>
    <t>Custo da Mercadoria Vendida (CMV)</t>
  </si>
  <si>
    <t>Lucro Bruto</t>
  </si>
  <si>
    <t>Margem Bruta (%)</t>
  </si>
  <si>
    <t>Lucro Operacional</t>
  </si>
  <si>
    <t>Lucro Líquido</t>
  </si>
  <si>
    <t>Margem Líquida (%)</t>
  </si>
  <si>
    <t>Ponto de Equilíbrio</t>
  </si>
  <si>
    <t>Margem de Contribuição (%)</t>
  </si>
  <si>
    <t>Margem de Lucro por Produto</t>
  </si>
  <si>
    <t>Liquidez Corrente</t>
  </si>
  <si>
    <t>Liquidez Seca</t>
  </si>
  <si>
    <t>Liquidez Imediata</t>
  </si>
  <si>
    <t>Índice de Endividamento Geral</t>
  </si>
  <si>
    <t>Composição do Endividamento</t>
  </si>
  <si>
    <t>Grau de Alavancagem Financeira</t>
  </si>
  <si>
    <t>Ciclo Operacional (dias)</t>
  </si>
  <si>
    <t>Ciclo Financeiro (dias)</t>
  </si>
  <si>
    <t>Giro de Estoque (vezes)</t>
  </si>
  <si>
    <t>Prazo Médio de Recebimento (PMR)</t>
  </si>
  <si>
    <t>Prazo Médio de Pagamento (PMP)</t>
  </si>
  <si>
    <t>Necessidade de Capital de Giro (NCG)</t>
  </si>
  <si>
    <t>Variação Absoluta</t>
  </si>
  <si>
    <t>Desvio (%)</t>
  </si>
  <si>
    <t>Índice de Cobertura de Juros</t>
  </si>
  <si>
    <t>Capacidade de Pagamento Mensal</t>
  </si>
  <si>
    <t>EBITDA</t>
  </si>
  <si>
    <t>Risco de Inadimplência</t>
  </si>
  <si>
    <t>Taxa de Retrabalho (%)</t>
  </si>
  <si>
    <t>Eficiência Operacional (%)</t>
  </si>
  <si>
    <t>Produtividade por Colaborador</t>
  </si>
  <si>
    <t>Frequência de Atualização dos KPIs</t>
  </si>
  <si>
    <t>Índice de Confiança na Liderança</t>
  </si>
  <si>
    <t>Índice de Comunicação Interna</t>
  </si>
  <si>
    <t>Taxa de Conversão Total</t>
  </si>
  <si>
    <t>Operacional</t>
  </si>
  <si>
    <t>Coluna / Barra</t>
  </si>
  <si>
    <t>Coluna</t>
  </si>
  <si>
    <t>Gauge / Velocímetro</t>
  </si>
  <si>
    <t>Gauge</t>
  </si>
  <si>
    <t>Linha</t>
  </si>
  <si>
    <t>70% CP / 30% LP</t>
  </si>
  <si>
    <t>75% CP / 25% LP</t>
  </si>
  <si>
    <t>Pizza</t>
  </si>
  <si>
    <t>85 dias</t>
  </si>
  <si>
    <t>92 dias</t>
  </si>
  <si>
    <t>40 dias</t>
  </si>
  <si>
    <t>48 dias</t>
  </si>
  <si>
    <t>35 dias</t>
  </si>
  <si>
    <t>42 dias</t>
  </si>
  <si>
    <t>25 dias</t>
  </si>
  <si>
    <t>28 dias</t>
  </si>
  <si>
    <t>Realizado vs Orçado (%)</t>
  </si>
  <si>
    <t>Tempo de Ciclo (Lead Time)</t>
  </si>
  <si>
    <t>12 dias</t>
  </si>
  <si>
    <t>15 dias</t>
  </si>
  <si>
    <t>120 unidades</t>
  </si>
  <si>
    <t>105 unidades</t>
  </si>
  <si>
    <t>% com POP Documentado</t>
  </si>
  <si>
    <t>% com Fluxograma BPMN</t>
  </si>
  <si>
    <t>Taxa de Conformidade com POPs</t>
  </si>
  <si>
    <t>Índice de Revisão de Processos</t>
  </si>
  <si>
    <t>% com KPIs Ativos</t>
  </si>
  <si>
    <t>30 dias</t>
  </si>
  <si>
    <t>45 dias</t>
  </si>
  <si>
    <t>% Cumprimento de Metas</t>
  </si>
  <si>
    <t>Nº de Reuniões por Processo</t>
  </si>
  <si>
    <t>% de Cargos com Descrição</t>
  </si>
  <si>
    <t>% com Matriz de Competências</t>
  </si>
  <si>
    <t>% com Perfil DISC</t>
  </si>
  <si>
    <t>% de Aderência Estrutural</t>
  </si>
  <si>
    <t>% com Dossiê Completo</t>
  </si>
  <si>
    <t>% Conformidade CCT</t>
  </si>
  <si>
    <t>% Atualização Cadastral</t>
  </si>
  <si>
    <t>% Aderência Legal</t>
  </si>
  <si>
    <t>Tempo Médio de Integração</t>
  </si>
  <si>
    <t>% com Trilha de Aprendizagem</t>
  </si>
  <si>
    <t>Índice de Aderência à Integração</t>
  </si>
  <si>
    <t>% Retenção Experiência</t>
  </si>
  <si>
    <t>% Avaliados 360°</t>
  </si>
  <si>
    <t>Índice Médio de Desempenho</t>
  </si>
  <si>
    <t>% com PDI Ativo</t>
  </si>
  <si>
    <t>% Aderência a Treinamentos</t>
  </si>
  <si>
    <t>Índice de Satisfação Geral</t>
  </si>
  <si>
    <t>% Participação no Clima</t>
  </si>
  <si>
    <t>Índice de Turnover</t>
  </si>
  <si>
    <t>Índice de Absenteísmo</t>
  </si>
  <si>
    <t>Custo Médio por Colaborador</t>
  </si>
  <si>
    <t>Tempo Médio de R&amp;S</t>
  </si>
  <si>
    <t>32 dias</t>
  </si>
  <si>
    <t>Relação Colaborador/Liderança</t>
  </si>
  <si>
    <t>% Indicadores RH Atualizados</t>
  </si>
  <si>
    <t>Conversão por Etapa</t>
  </si>
  <si>
    <t>Tempo Médio de Fechamento</t>
  </si>
  <si>
    <t>18 dias</t>
  </si>
  <si>
    <t>22 dias</t>
  </si>
  <si>
    <t>Ticket Médio</t>
  </si>
  <si>
    <t>CAC</t>
  </si>
  <si>
    <t>Retenção de Clientes</t>
  </si>
  <si>
    <t>CSAT</t>
  </si>
  <si>
    <t>NPS</t>
  </si>
  <si>
    <t>LTV</t>
  </si>
  <si>
    <t>Churn</t>
  </si>
  <si>
    <t>Participação de Mercado</t>
  </si>
  <si>
    <t>Meta de Vendas Atingida</t>
  </si>
  <si>
    <t>Crescimento de Vendas</t>
  </si>
  <si>
    <t>Vendas Novos vs Repetidos</t>
  </si>
  <si>
    <t>60/40</t>
  </si>
  <si>
    <t>55/45</t>
  </si>
  <si>
    <t>Eficiência por Vendedor</t>
  </si>
  <si>
    <t>Riscos Tratados</t>
  </si>
  <si>
    <t>Código de Conduta Implantado</t>
  </si>
  <si>
    <t>S</t>
  </si>
  <si>
    <t>Indicador Simples</t>
  </si>
  <si>
    <t>Redução de Desperdício</t>
  </si>
  <si>
    <t>Práticas Sustentáveis</t>
  </si>
  <si>
    <t>Ações Sociais por Ano</t>
  </si>
  <si>
    <t>Investimento Social (% Receita)</t>
  </si>
  <si>
    <t>Maturidade ESG</t>
  </si>
  <si>
    <t>Ações de Melhoria ESG</t>
  </si>
  <si>
    <t>Rótulos de Linha</t>
  </si>
  <si>
    <t>Soma de VOLUMES</t>
  </si>
  <si>
    <t>Contagem de N° PEDIDO COMPRA</t>
  </si>
  <si>
    <t>Média de % SLA CONFORMIDADES</t>
  </si>
  <si>
    <t>Média de ACURA.CONF</t>
  </si>
  <si>
    <t>CAZI QUIMICA FARMACEUTICA INDUSTRIA</t>
  </si>
  <si>
    <t>JC DISTRIBUICAO LOGISTICA IMP E EXP</t>
  </si>
  <si>
    <t>REMORA PRODUTOS PARA SAUDE LTDA-EPP</t>
  </si>
  <si>
    <t>WW DISTRIBUIDORA DE MEDICAMENTOS LT</t>
  </si>
  <si>
    <t>HOSPDROGAS COMERCIAL LTDA-DEMAIS</t>
  </si>
  <si>
    <t>3B INDUSTRIA E COMERCIO DE ARTEFATO</t>
  </si>
  <si>
    <t>ATIVA COMERCIAL HOSPITALAR LTDA-DEM</t>
  </si>
  <si>
    <t>RD HOSPITALAR LTDA-EPP</t>
  </si>
  <si>
    <t>DISTRIBEM MED. E MAT. HOSP. LTDA-DE</t>
  </si>
  <si>
    <t>ESTOQUE MED TO A LOGISTICA CERTA CO</t>
  </si>
  <si>
    <t>ACCUMED PRODUTOS MEDICO HOSPITALARE</t>
  </si>
  <si>
    <t>URBANIN &amp; NAVARRO LTDA-DEMAIS</t>
  </si>
  <si>
    <t>REDE BRASIL DISTRIBUICAO E LOGIST L</t>
  </si>
  <si>
    <t>VFB BRASIL LTDA-DEMAIS</t>
  </si>
  <si>
    <t>SUPERMEDICA DISTRIBUIDORA HOSPITALA</t>
  </si>
  <si>
    <t>LINK HOME DISTRIBUIDORA LTDA-EPP</t>
  </si>
  <si>
    <t>ALEXDAN IMPORTACAO E EXPORTACAO LTD</t>
  </si>
  <si>
    <t>RIO VERMELHO DISTRIBUICAO DE ALIMEN</t>
  </si>
  <si>
    <t>XWW DISTRIBUIDORA DE MEDICAMENTOS LT</t>
  </si>
  <si>
    <t>JRD INDUSTRIA FARMACEUTICA LTDA-</t>
  </si>
  <si>
    <t>CIENTIFICA MEDICA HOSPITALAR LTDA-D</t>
  </si>
  <si>
    <t>B2B PHARMACEUTICA LTDA-ME</t>
  </si>
  <si>
    <t>Total Geral</t>
  </si>
  <si>
    <t>FLORA NECTAR INDUSTRIA COMERCIO IMP</t>
  </si>
  <si>
    <t>MARTINS COM SERV DISTR AS</t>
  </si>
  <si>
    <t>UNIFARMA FARMACEUTICA LTDA-DEMAIS</t>
  </si>
  <si>
    <t>ED MED COMERCIAL LTDA</t>
  </si>
  <si>
    <t>MARTINS COMERCIO E SERVICOS DE DIST</t>
  </si>
  <si>
    <t>JN PHARMA DISTRIBUIDORA DE MEDICAME</t>
  </si>
  <si>
    <t>GOIAS LOGISTICA DE MEDICAMENTOS LTD</t>
  </si>
  <si>
    <t>NATUBRAS INDUSTRIA E COMERCIO DE PR</t>
  </si>
  <si>
    <t>MARTINS COM SERV DISTR SA</t>
  </si>
  <si>
    <t>MULTICANAL ATACADO LTDA -F2</t>
  </si>
  <si>
    <t>C.A. HOSPITALAR LTDA-DEMAIS</t>
  </si>
  <si>
    <t>SC DISTRIBUICAO LTDA-DEMAIS(panphar</t>
  </si>
  <si>
    <t>DISTRIBUIDORA BRASIL COML DE PRODUT</t>
  </si>
  <si>
    <t>MAEVE PRODUTOS HOSPITALARES LTDA-DE</t>
  </si>
  <si>
    <t>SERVIMED - ITUMBIARA</t>
  </si>
  <si>
    <t>DISTRIBUIDORA GAMA LTDA-DEMAIS</t>
  </si>
  <si>
    <t>VIVA COMERCIO E IMPORTACAO LTDA</t>
  </si>
  <si>
    <t>TERRA HOSPITALAR DISTRIBUIDORA DE M</t>
  </si>
  <si>
    <t>FARMALEV PRODUTOS FARMACEUTICOS LTD</t>
  </si>
  <si>
    <t>JPMED DISTRIBUIDORA FARMACEUTICA LT</t>
  </si>
  <si>
    <t xml:space="preserve">GOYAZ SERVICE COMERCIO E LOGISTICA </t>
  </si>
  <si>
    <t xml:space="preserve">JC DISTRIB. DE PROD. FARMACEUTICOS </t>
  </si>
  <si>
    <t>DPC DISTRIBUIDOR ATACADISTA S/A-DEM</t>
  </si>
  <si>
    <t>MEDCENTRO DISTRIBUIDORA DE PRODUTOS</t>
  </si>
  <si>
    <t>G3PHARMA DISTRIBUIDORA DE MEDICAMEN</t>
  </si>
  <si>
    <t xml:space="preserve">PROFARMA DISTRIBUIDORA DE PRODUTOS </t>
  </si>
  <si>
    <t>GENESIO A MENDES &amp; CIA LTDA-DEM</t>
  </si>
  <si>
    <t>REAL DISTRIBUIDORA E LOGISTICA LTDA</t>
  </si>
  <si>
    <t>DISTRIBUIDORA DE MEDICAMENTOS SANTA</t>
  </si>
  <si>
    <t>Soma de APURACAO LT D+0</t>
  </si>
  <si>
    <t>STATUS</t>
  </si>
  <si>
    <t>%</t>
  </si>
  <si>
    <t>D1 +</t>
  </si>
  <si>
    <t>D+0</t>
  </si>
  <si>
    <t>Média de LEAD TIME DISPONIBILIZACAO</t>
  </si>
  <si>
    <t>FALTA PRODUTO</t>
  </si>
  <si>
    <t xml:space="preserve">PRODUTO A MAIS </t>
  </si>
  <si>
    <t>AVARIA</t>
  </si>
  <si>
    <t xml:space="preserve">  </t>
  </si>
  <si>
    <t>Média de DESEMPENHO  %</t>
  </si>
  <si>
    <t>fev</t>
  </si>
  <si>
    <t>Atual</t>
  </si>
  <si>
    <t>Faltante</t>
  </si>
  <si>
    <t>ACURACIDADE PEDIDOS SEPARADOR(RES)</t>
  </si>
  <si>
    <t>Média de MEDIA SKU POR PEDIDO</t>
  </si>
  <si>
    <t>PABLYNE SANTANA</t>
  </si>
  <si>
    <t>RONALDO JOSE</t>
  </si>
  <si>
    <t>GUILHERME HENRIQUE</t>
  </si>
  <si>
    <t>MARILEUZA</t>
  </si>
  <si>
    <t>JAILSON</t>
  </si>
  <si>
    <t>FERNANDO BORGES</t>
  </si>
  <si>
    <t>WARLEY GABRIEL</t>
  </si>
  <si>
    <t>IGOR</t>
  </si>
  <si>
    <t>WILSON JUNIOR</t>
  </si>
  <si>
    <t>ARMANDO SANTOS</t>
  </si>
  <si>
    <t>MEDIA SKU POR PEDIDO COLABORADOR(ES)</t>
  </si>
  <si>
    <t>Soma de ITENS SEPARADOS</t>
  </si>
  <si>
    <t>COMPOSICAO METRICAS SEPARACAO</t>
  </si>
  <si>
    <t>ACERTIVIDADE SEPARACAO</t>
  </si>
  <si>
    <t xml:space="preserve">PARTICIPACAO DEMANDA </t>
  </si>
  <si>
    <t>Soma de QTD PEDIDOS</t>
  </si>
  <si>
    <t>PARTICIPACAO UNIDADES</t>
  </si>
  <si>
    <t>PARTICIPACAO SKU</t>
  </si>
  <si>
    <t>2026</t>
  </si>
  <si>
    <t>AVALIACAO ACERTIVIDADE SEPARACAO</t>
  </si>
  <si>
    <t>QTD OPERADOR</t>
  </si>
  <si>
    <t>MEDIA AC. EQUIPE</t>
  </si>
  <si>
    <t>META AC. SEPARACAO</t>
  </si>
  <si>
    <t>AC. MINIMA</t>
  </si>
  <si>
    <t>ATINGIMENTO</t>
  </si>
  <si>
    <t>Trim1</t>
  </si>
  <si>
    <t>AVALIAÇÃO PARCIPACAO DEMANDA DE PEDIDOS</t>
  </si>
  <si>
    <t>QTD DE PEDIDOS SEPARADOS</t>
  </si>
  <si>
    <t>META PED SEPARADO</t>
  </si>
  <si>
    <t>PARTICIPACAO MINIMA</t>
  </si>
  <si>
    <t>REPRESENT. OPERADOR</t>
  </si>
  <si>
    <t>QTD UND SEPARADAS</t>
  </si>
  <si>
    <t>META UND SEPARADO</t>
  </si>
  <si>
    <t>QTD MEDIA SKU POR PEDIDO</t>
  </si>
  <si>
    <t>META SKU PEDIDO</t>
  </si>
  <si>
    <t>REPRESENTATIVIDADE</t>
  </si>
  <si>
    <t>ATINGIMENTO META</t>
  </si>
  <si>
    <t>%PARTICIP MINIMA</t>
  </si>
  <si>
    <t>% PARTICIPACAO ATINGIDA</t>
  </si>
  <si>
    <t>DIF SOB META</t>
  </si>
  <si>
    <t>% PARTICIPACAO TOTAL</t>
  </si>
  <si>
    <t>PARTICIPAÇÃO NA DEMANDA DE QTD DE PEDIDOS</t>
  </si>
  <si>
    <t>PARTICIPAÇÃO NA DEMANDA DE QTD UNIDADES SEPARADAS</t>
  </si>
  <si>
    <t>PARTICIPAÇÃO DEMANDA PERFIL DE PEDIDOS</t>
  </si>
  <si>
    <t>ACURACIDADE SEPARACAO</t>
  </si>
  <si>
    <t>PABLYNE</t>
  </si>
  <si>
    <t>ARMANDO</t>
  </si>
  <si>
    <t>RONALDO</t>
  </si>
  <si>
    <t>GUIILHERME HENRIQUE</t>
  </si>
  <si>
    <t>Marileuza</t>
  </si>
  <si>
    <t xml:space="preserve">Ronaldo </t>
  </si>
  <si>
    <t>Igor</t>
  </si>
  <si>
    <t>Pablyne</t>
  </si>
  <si>
    <t xml:space="preserve">JAILSON </t>
  </si>
  <si>
    <t>Armando</t>
  </si>
  <si>
    <t>Wilson</t>
  </si>
  <si>
    <t>Fernando</t>
  </si>
  <si>
    <t>OPERADORES</t>
  </si>
  <si>
    <t xml:space="preserve"> QUANTIDADE DE  PEDIDOS</t>
  </si>
  <si>
    <t>AVALIAÇÃO PARCIPACAO DEMANDA EM UNIDADES</t>
  </si>
  <si>
    <t>QTD UND CONFERIDAS</t>
  </si>
  <si>
    <t>QUANTIDADE DE UNIDADES</t>
  </si>
  <si>
    <t>REPRESENT.OPERADOR</t>
  </si>
  <si>
    <t xml:space="preserve">AVALIAÇÃO PARCIPACAO DEMANDA PERFIL DE PEDIDOS QUANTIDADE DE SKU </t>
  </si>
  <si>
    <t/>
  </si>
  <si>
    <t>AVALIAÇÃO PARCIPACAO DEMANDA ACURACIDADE DE CONFERENCIA</t>
  </si>
  <si>
    <t>DESEMPENHO %</t>
  </si>
  <si>
    <t>META DESEMPENHO %</t>
  </si>
  <si>
    <t>COLABORADOR</t>
  </si>
  <si>
    <t>AVALIAÇÃO MENSAL DESEMPENHO SEPARAÇÃO DE MERCADORIAS  POR COLABORADOR</t>
  </si>
  <si>
    <t>CRITERIO AVALIACAO</t>
  </si>
  <si>
    <t>Joao Vitor</t>
  </si>
  <si>
    <t>JANEIRO</t>
  </si>
  <si>
    <t>JULIA</t>
  </si>
  <si>
    <t>ANA</t>
  </si>
  <si>
    <t>AMANDA</t>
  </si>
  <si>
    <t>JULIO CESAR</t>
  </si>
  <si>
    <t>IOLNDA</t>
  </si>
  <si>
    <t>GABRIEL</t>
  </si>
  <si>
    <t>SINIBALDO</t>
  </si>
  <si>
    <t>RENATO</t>
  </si>
  <si>
    <t>FLAVIO</t>
  </si>
  <si>
    <t>VICTOR</t>
  </si>
  <si>
    <t>VENDEDOR</t>
  </si>
  <si>
    <t>MÊS</t>
  </si>
  <si>
    <t>FATURAMENTO</t>
  </si>
  <si>
    <t>FEVEREIRO</t>
  </si>
  <si>
    <t>FATURAMENTO POR VENDEDOR</t>
  </si>
  <si>
    <t xml:space="preserve">NOVOS CADASTROS </t>
  </si>
  <si>
    <t xml:space="preserve">POSITIVADOS </t>
  </si>
  <si>
    <t>% POSITIVACAO MÊS</t>
  </si>
  <si>
    <t>Soma de FATURAMENTO</t>
  </si>
  <si>
    <t xml:space="preserve">Soma de POSITIVADOS </t>
  </si>
  <si>
    <t>EQUIPE</t>
  </si>
  <si>
    <t>TELEVENDAS</t>
  </si>
  <si>
    <t>EXTERNO</t>
  </si>
  <si>
    <t>MEDFACIL</t>
  </si>
  <si>
    <t>CRESCIMENTO</t>
  </si>
  <si>
    <t>Soma de CRESCIMENTO</t>
  </si>
  <si>
    <t>IOLANDA</t>
  </si>
  <si>
    <t>MAIOR CRESCIMENTO</t>
  </si>
  <si>
    <t>Saldos conciliados (todas as contas)</t>
  </si>
  <si>
    <t xml:space="preserve">Total de Vendas do Mês </t>
  </si>
  <si>
    <t>Total de recebimentos dentro do mês (conciliados)</t>
  </si>
  <si>
    <t>Total de NF de fornecedores do mês</t>
  </si>
  <si>
    <t>(Salários Liquido + Adiantamentos + Encargos)</t>
  </si>
  <si>
    <t>Total de comissões do mês (Vendedores Externos)</t>
  </si>
  <si>
    <t>Total de comissões do mês (Vendedores Internos)</t>
  </si>
  <si>
    <t>Total de impostos pagos (ICMS + Simples Nacional)</t>
  </si>
  <si>
    <t>Total de pagamentos conciliados</t>
  </si>
  <si>
    <t xml:space="preserve">Receita total - deduções - custos e despesas variaveis </t>
  </si>
  <si>
    <t>Lucro antes pagamento dívidas, investimentos e sócio</t>
  </si>
  <si>
    <t>DRE gerencial simplificada</t>
  </si>
  <si>
    <t>Maiores receita por cliente / total de vendas</t>
  </si>
  <si>
    <t>Maiores despesas / total de saídas</t>
  </si>
  <si>
    <t>Títulos vencidos/em atraso (quando houver)</t>
  </si>
  <si>
    <t>Agenda financeira / contas a pagar futuras</t>
  </si>
  <si>
    <t>FORNECEDOR</t>
  </si>
  <si>
    <t xml:space="preserve">VALOR </t>
  </si>
  <si>
    <t xml:space="preserve">FERREIRA E MENDONÇA </t>
  </si>
  <si>
    <t>FARMACIA YANOMELO</t>
  </si>
  <si>
    <t>MORAES REPRESENTAÇÕES</t>
  </si>
  <si>
    <t>RECMED</t>
  </si>
  <si>
    <t xml:space="preserve">VIVA BEM </t>
  </si>
  <si>
    <t xml:space="preserve">DESCRIÇÃO </t>
  </si>
  <si>
    <t>VALOR</t>
  </si>
  <si>
    <t xml:space="preserve">MANUTENÇÃO </t>
  </si>
  <si>
    <t xml:space="preserve">COMPUTADORES E PERIFERICOS </t>
  </si>
  <si>
    <t xml:space="preserve">TARIFAS BANCARIAS </t>
  </si>
  <si>
    <t xml:space="preserve">COMBUSTIVEL </t>
  </si>
  <si>
    <t xml:space="preserve">GASTOS COM VEICULOS </t>
  </si>
  <si>
    <t xml:space="preserve">BASE DADOS FINANCEIRO </t>
  </si>
  <si>
    <t>META</t>
  </si>
  <si>
    <t>REPRES.</t>
  </si>
  <si>
    <t>ATING %</t>
  </si>
  <si>
    <t>OBSERVACOES</t>
  </si>
  <si>
    <t>5 MAIORES RECEITAS MÊS</t>
  </si>
  <si>
    <t>5 MAIORES DESPESAS MÊS</t>
  </si>
  <si>
    <t>(vazio)</t>
  </si>
  <si>
    <t>Soma de VALOR</t>
  </si>
  <si>
    <t>LUCRO BRUT</t>
  </si>
  <si>
    <t>MARGEM</t>
  </si>
  <si>
    <t>VENDAS</t>
  </si>
  <si>
    <t>COMPRAS</t>
  </si>
  <si>
    <t>Caixa disponível</t>
  </si>
  <si>
    <t>Faturamento Bruto (R$) 1520</t>
  </si>
  <si>
    <t>Entradas totais do mês (R$) 1468 Receita Total</t>
  </si>
  <si>
    <t>Compras totais do mês (R$)  1321</t>
  </si>
  <si>
    <t>Folha de pagamento total (R$)</t>
  </si>
  <si>
    <t>Impostos do Mês 1468</t>
  </si>
  <si>
    <t>Saídas totais do mês (R$) 1136</t>
  </si>
  <si>
    <t xml:space="preserve">Margem de Contribuição </t>
  </si>
  <si>
    <t>Lucro liquido ( regime caixa) 1468</t>
  </si>
  <si>
    <t>Resultado do mês (R$) 1468</t>
  </si>
  <si>
    <t>Top 5 receitas do mês (R$ e %)</t>
  </si>
  <si>
    <t>Top 5 despesas do mês (R$ e %)</t>
  </si>
  <si>
    <t>Inadimplência / atrasos (R$ e qtde)</t>
  </si>
  <si>
    <t>Compromissos do próximo mês (R$)</t>
  </si>
  <si>
    <t xml:space="preserve">Soma de NOVOS CADASTROS </t>
  </si>
  <si>
    <t>DP</t>
  </si>
  <si>
    <t>Folha de pagamento (%) x Receita</t>
  </si>
  <si>
    <t xml:space="preserve">Salario Funcionarios (OPER.) </t>
  </si>
  <si>
    <t xml:space="preserve">Salario Funcionarios (ADM) </t>
  </si>
  <si>
    <t xml:space="preserve">Horas Extras </t>
  </si>
  <si>
    <t>Férias</t>
  </si>
  <si>
    <t xml:space="preserve">Rescisão </t>
  </si>
  <si>
    <t>JOAO VITOR</t>
  </si>
  <si>
    <t>jan</t>
  </si>
  <si>
    <t>A REALIZAR</t>
  </si>
  <si>
    <t>DIRETORIA</t>
  </si>
  <si>
    <t>RAFAEL</t>
  </si>
  <si>
    <t>RODRIGO</t>
  </si>
  <si>
    <t>KARINY</t>
  </si>
  <si>
    <t>DIFERENÇA</t>
  </si>
  <si>
    <t>PERCT %</t>
  </si>
  <si>
    <t>MARÇO</t>
  </si>
  <si>
    <t>Soma de PREVISTO</t>
  </si>
  <si>
    <t>Soma de REALIZADO</t>
  </si>
  <si>
    <t xml:space="preserve">PREVISTO </t>
  </si>
  <si>
    <t>\</t>
  </si>
  <si>
    <t>MACHT COMERCIAL DE ALIMENTOS LTDA-E</t>
  </si>
  <si>
    <t>MEDICAMENTAL DISTRIBUIDORA LTDA-DEM</t>
  </si>
  <si>
    <t>BIO INSTINTO IND. E COM. DE COS. LT</t>
  </si>
  <si>
    <t>ESTOQUE MED A LOGISTICA CERTA COMER</t>
  </si>
  <si>
    <t>ELLO DISTRIBUICAO LTDA-DEMAIS</t>
  </si>
  <si>
    <t>PROFARMA DISTRIBUIDORA DE PRODUTOS</t>
  </si>
  <si>
    <t>CIAMED - DISTRIBUIDORA DE MEDICAMEN</t>
  </si>
  <si>
    <t>BRASTERAPICA PHARMACEUTICA LTDA.-DE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</si>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</sst>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mmmm\,\ yyyy;@"/>
    <numFmt numFmtId="166" formatCode="0.0%"/>
    <numFmt numFmtId="167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0" applyNumberFormat="1"/>
    <xf numFmtId="1" fontId="0" fillId="0" borderId="0" xfId="2" applyNumberFormat="1" applyFont="1"/>
    <xf numFmtId="10" fontId="0" fillId="0" borderId="0" xfId="3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3" applyFont="1"/>
    <xf numFmtId="0" fontId="0" fillId="0" borderId="0" xfId="0" pivotButton="1"/>
    <xf numFmtId="10" fontId="2" fillId="0" borderId="0" xfId="3" applyNumberFormat="1" applyFont="1"/>
    <xf numFmtId="10" fontId="0" fillId="0" borderId="0" xfId="3" applyNumberFormat="1" applyFont="1" applyAlignment="1"/>
    <xf numFmtId="0" fontId="0" fillId="0" borderId="2" xfId="0" applyBorder="1"/>
    <xf numFmtId="1" fontId="0" fillId="0" borderId="1" xfId="0" applyNumberForma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1" xfId="3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/>
    <xf numFmtId="0" fontId="2" fillId="0" borderId="1" xfId="0" applyFont="1" applyBorder="1"/>
    <xf numFmtId="0" fontId="2" fillId="0" borderId="11" xfId="0" applyFont="1" applyBorder="1"/>
    <xf numFmtId="0" fontId="0" fillId="0" borderId="1" xfId="0" applyBorder="1" applyAlignment="1">
      <alignment horizontal="left" indent="1"/>
    </xf>
    <xf numFmtId="0" fontId="0" fillId="0" borderId="12" xfId="0" applyBorder="1" applyAlignment="1">
      <alignment horizontal="left"/>
    </xf>
    <xf numFmtId="9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left"/>
    </xf>
    <xf numFmtId="9" fontId="0" fillId="0" borderId="15" xfId="0" applyNumberFormat="1" applyBorder="1" applyAlignment="1">
      <alignment horizontal="center"/>
    </xf>
    <xf numFmtId="1" fontId="0" fillId="0" borderId="16" xfId="3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0" xfId="0" applyBorder="1" applyAlignment="1">
      <alignment horizontal="left"/>
    </xf>
    <xf numFmtId="9" fontId="0" fillId="0" borderId="18" xfId="0" applyNumberForma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1" xfId="0" applyBorder="1"/>
    <xf numFmtId="10" fontId="0" fillId="0" borderId="11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10" fontId="0" fillId="0" borderId="22" xfId="3" applyNumberFormat="1" applyFont="1" applyBorder="1" applyAlignment="1">
      <alignment horizontal="center"/>
    </xf>
    <xf numFmtId="0" fontId="2" fillId="0" borderId="0" xfId="0" applyFont="1"/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0" fontId="2" fillId="0" borderId="11" xfId="3" applyNumberFormat="1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10" fontId="2" fillId="0" borderId="28" xfId="3" applyNumberFormat="1" applyFont="1" applyBorder="1" applyAlignment="1">
      <alignment horizontal="center"/>
    </xf>
    <xf numFmtId="0" fontId="2" fillId="0" borderId="29" xfId="0" applyFont="1" applyBorder="1"/>
    <xf numFmtId="0" fontId="2" fillId="0" borderId="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30" xfId="0" applyBorder="1"/>
    <xf numFmtId="0" fontId="2" fillId="2" borderId="1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left"/>
    </xf>
    <xf numFmtId="0" fontId="2" fillId="0" borderId="0" xfId="0" applyFont="1" applyAlignment="1">
      <alignment horizontal="right"/>
    </xf>
    <xf numFmtId="8" fontId="2" fillId="0" borderId="0" xfId="0" applyNumberFormat="1" applyFont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3" fillId="2" borderId="35" xfId="0" applyFont="1" applyFill="1" applyBorder="1"/>
    <xf numFmtId="0" fontId="2" fillId="0" borderId="36" xfId="0" applyFont="1" applyBorder="1" applyAlignment="1">
      <alignment horizontal="center"/>
    </xf>
    <xf numFmtId="9" fontId="2" fillId="2" borderId="37" xfId="0" applyNumberFormat="1" applyFont="1" applyFill="1" applyBorder="1" applyAlignment="1">
      <alignment horizontal="center"/>
    </xf>
    <xf numFmtId="10" fontId="2" fillId="2" borderId="37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vertical="center"/>
    </xf>
    <xf numFmtId="0" fontId="2" fillId="2" borderId="38" xfId="0" applyFont="1" applyFill="1" applyBorder="1" applyAlignment="1">
      <alignment horizontal="left"/>
    </xf>
    <xf numFmtId="0" fontId="3" fillId="2" borderId="37" xfId="0" applyFont="1" applyFill="1" applyBorder="1"/>
    <xf numFmtId="0" fontId="3" fillId="2" borderId="22" xfId="0" applyFont="1" applyFill="1" applyBorder="1"/>
    <xf numFmtId="10" fontId="2" fillId="2" borderId="39" xfId="0" applyNumberFormat="1" applyFont="1" applyFill="1" applyBorder="1" applyAlignment="1">
      <alignment vertical="center"/>
    </xf>
    <xf numFmtId="0" fontId="3" fillId="2" borderId="40" xfId="0" applyFont="1" applyFill="1" applyBorder="1"/>
    <xf numFmtId="0" fontId="3" fillId="2" borderId="41" xfId="0" applyFont="1" applyFill="1" applyBorder="1"/>
    <xf numFmtId="0" fontId="2" fillId="0" borderId="42" xfId="0" applyFont="1" applyBorder="1" applyAlignment="1">
      <alignment horizontal="center"/>
    </xf>
    <xf numFmtId="9" fontId="2" fillId="2" borderId="40" xfId="0" applyNumberFormat="1" applyFont="1" applyFill="1" applyBorder="1" applyAlignment="1">
      <alignment horizontal="center"/>
    </xf>
    <xf numFmtId="10" fontId="2" fillId="2" borderId="26" xfId="0" applyNumberFormat="1" applyFont="1" applyFill="1" applyBorder="1" applyAlignment="1">
      <alignment horizontal="center"/>
    </xf>
    <xf numFmtId="10" fontId="2" fillId="2" borderId="43" xfId="0" applyNumberFormat="1" applyFont="1" applyFill="1" applyBorder="1" applyAlignment="1">
      <alignment vertical="center"/>
    </xf>
    <xf numFmtId="0" fontId="2" fillId="3" borderId="38" xfId="0" applyFont="1" applyFill="1" applyBorder="1" applyAlignment="1">
      <alignment horizontal="left"/>
    </xf>
    <xf numFmtId="0" fontId="3" fillId="3" borderId="36" xfId="0" applyFont="1" applyFill="1" applyBorder="1"/>
    <xf numFmtId="0" fontId="3" fillId="3" borderId="35" xfId="0" applyFont="1" applyFill="1" applyBorder="1"/>
    <xf numFmtId="9" fontId="2" fillId="3" borderId="36" xfId="0" applyNumberFormat="1" applyFont="1" applyFill="1" applyBorder="1" applyAlignment="1">
      <alignment horizontal="center"/>
    </xf>
    <xf numFmtId="10" fontId="2" fillId="3" borderId="36" xfId="0" applyNumberFormat="1" applyFont="1" applyFill="1" applyBorder="1" applyAlignment="1">
      <alignment horizontal="center"/>
    </xf>
    <xf numFmtId="10" fontId="2" fillId="3" borderId="44" xfId="0" applyNumberFormat="1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vertical="center"/>
    </xf>
    <xf numFmtId="0" fontId="3" fillId="3" borderId="37" xfId="0" applyFont="1" applyFill="1" applyBorder="1"/>
    <xf numFmtId="0" fontId="3" fillId="3" borderId="22" xfId="0" applyFont="1" applyFill="1" applyBorder="1"/>
    <xf numFmtId="10" fontId="2" fillId="3" borderId="37" xfId="0" applyNumberFormat="1" applyFont="1" applyFill="1" applyBorder="1" applyAlignment="1">
      <alignment horizontal="center"/>
    </xf>
    <xf numFmtId="10" fontId="2" fillId="3" borderId="26" xfId="0" applyNumberFormat="1" applyFont="1" applyFill="1" applyBorder="1" applyAlignment="1">
      <alignment horizontal="center"/>
    </xf>
    <xf numFmtId="10" fontId="2" fillId="3" borderId="39" xfId="0" applyNumberFormat="1" applyFont="1" applyFill="1" applyBorder="1" applyAlignment="1">
      <alignment vertical="center"/>
    </xf>
    <xf numFmtId="0" fontId="3" fillId="3" borderId="40" xfId="0" applyFont="1" applyFill="1" applyBorder="1"/>
    <xf numFmtId="0" fontId="3" fillId="3" borderId="41" xfId="0" applyFont="1" applyFill="1" applyBorder="1"/>
    <xf numFmtId="9" fontId="2" fillId="3" borderId="40" xfId="0" applyNumberFormat="1" applyFont="1" applyFill="1" applyBorder="1" applyAlignment="1">
      <alignment horizontal="center"/>
    </xf>
    <xf numFmtId="166" fontId="2" fillId="3" borderId="40" xfId="0" applyNumberFormat="1" applyFont="1" applyFill="1" applyBorder="1" applyAlignment="1">
      <alignment horizontal="center"/>
    </xf>
    <xf numFmtId="10" fontId="2" fillId="3" borderId="43" xfId="0" applyNumberFormat="1" applyFont="1" applyFill="1" applyBorder="1" applyAlignment="1">
      <alignment vertical="center"/>
    </xf>
    <xf numFmtId="0" fontId="2" fillId="4" borderId="38" xfId="0" applyFont="1" applyFill="1" applyBorder="1" applyAlignment="1">
      <alignment horizontal="left"/>
    </xf>
    <xf numFmtId="0" fontId="3" fillId="4" borderId="36" xfId="0" applyFont="1" applyFill="1" applyBorder="1"/>
    <xf numFmtId="0" fontId="3" fillId="4" borderId="35" xfId="0" applyFont="1" applyFill="1" applyBorder="1"/>
    <xf numFmtId="9" fontId="2" fillId="4" borderId="36" xfId="0" applyNumberFormat="1" applyFont="1" applyFill="1" applyBorder="1" applyAlignment="1">
      <alignment horizontal="center"/>
    </xf>
    <xf numFmtId="10" fontId="2" fillId="4" borderId="36" xfId="0" applyNumberFormat="1" applyFont="1" applyFill="1" applyBorder="1" applyAlignment="1">
      <alignment horizontal="center"/>
    </xf>
    <xf numFmtId="10" fontId="2" fillId="4" borderId="26" xfId="0" applyNumberFormat="1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left"/>
    </xf>
    <xf numFmtId="0" fontId="3" fillId="4" borderId="37" xfId="0" applyFont="1" applyFill="1" applyBorder="1"/>
    <xf numFmtId="0" fontId="3" fillId="4" borderId="22" xfId="0" applyFont="1" applyFill="1" applyBorder="1"/>
    <xf numFmtId="10" fontId="2" fillId="4" borderId="37" xfId="0" applyNumberFormat="1" applyFont="1" applyFill="1" applyBorder="1" applyAlignment="1">
      <alignment horizontal="center"/>
    </xf>
    <xf numFmtId="10" fontId="2" fillId="4" borderId="39" xfId="0" applyNumberFormat="1" applyFont="1" applyFill="1" applyBorder="1" applyAlignment="1">
      <alignment vertical="center"/>
    </xf>
    <xf numFmtId="0" fontId="2" fillId="4" borderId="46" xfId="0" applyFont="1" applyFill="1" applyBorder="1" applyAlignment="1">
      <alignment horizontal="left"/>
    </xf>
    <xf numFmtId="0" fontId="3" fillId="4" borderId="40" xfId="0" applyFont="1" applyFill="1" applyBorder="1"/>
    <xf numFmtId="0" fontId="3" fillId="4" borderId="41" xfId="0" applyFont="1" applyFill="1" applyBorder="1"/>
    <xf numFmtId="9" fontId="2" fillId="4" borderId="40" xfId="0" applyNumberFormat="1" applyFont="1" applyFill="1" applyBorder="1" applyAlignment="1">
      <alignment horizontal="center"/>
    </xf>
    <xf numFmtId="10" fontId="2" fillId="4" borderId="43" xfId="0" applyNumberFormat="1" applyFont="1" applyFill="1" applyBorder="1" applyAlignment="1">
      <alignment vertical="center"/>
    </xf>
    <xf numFmtId="0" fontId="2" fillId="5" borderId="38" xfId="0" applyFont="1" applyFill="1" applyBorder="1" applyAlignment="1">
      <alignment horizontal="left"/>
    </xf>
    <xf numFmtId="0" fontId="3" fillId="5" borderId="36" xfId="0" applyFont="1" applyFill="1" applyBorder="1"/>
    <xf numFmtId="0" fontId="3" fillId="5" borderId="35" xfId="0" applyFont="1" applyFill="1" applyBorder="1"/>
    <xf numFmtId="0" fontId="2" fillId="5" borderId="36" xfId="0" applyFont="1" applyFill="1" applyBorder="1" applyAlignment="1">
      <alignment horizontal="center"/>
    </xf>
    <xf numFmtId="9" fontId="2" fillId="5" borderId="36" xfId="0" applyNumberFormat="1" applyFont="1" applyFill="1" applyBorder="1" applyAlignment="1">
      <alignment horizontal="center"/>
    </xf>
    <xf numFmtId="10" fontId="2" fillId="5" borderId="36" xfId="0" applyNumberFormat="1" applyFont="1" applyFill="1" applyBorder="1" applyAlignment="1">
      <alignment horizontal="center"/>
    </xf>
    <xf numFmtId="10" fontId="2" fillId="5" borderId="26" xfId="0" applyNumberFormat="1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vertical="center"/>
    </xf>
    <xf numFmtId="0" fontId="3" fillId="5" borderId="37" xfId="0" applyFont="1" applyFill="1" applyBorder="1"/>
    <xf numFmtId="0" fontId="3" fillId="5" borderId="22" xfId="0" applyFont="1" applyFill="1" applyBorder="1"/>
    <xf numFmtId="10" fontId="2" fillId="5" borderId="37" xfId="0" applyNumberFormat="1" applyFont="1" applyFill="1" applyBorder="1" applyAlignment="1">
      <alignment horizontal="center"/>
    </xf>
    <xf numFmtId="10" fontId="2" fillId="5" borderId="39" xfId="0" applyNumberFormat="1" applyFont="1" applyFill="1" applyBorder="1" applyAlignment="1">
      <alignment vertical="center"/>
    </xf>
    <xf numFmtId="0" fontId="2" fillId="5" borderId="47" xfId="0" applyFont="1" applyFill="1" applyBorder="1" applyAlignment="1">
      <alignment horizontal="left"/>
    </xf>
    <xf numFmtId="0" fontId="3" fillId="5" borderId="40" xfId="0" applyFont="1" applyFill="1" applyBorder="1"/>
    <xf numFmtId="0" fontId="3" fillId="5" borderId="41" xfId="0" applyFont="1" applyFill="1" applyBorder="1"/>
    <xf numFmtId="0" fontId="2" fillId="5" borderId="42" xfId="0" applyFont="1" applyFill="1" applyBorder="1" applyAlignment="1">
      <alignment horizontal="center"/>
    </xf>
    <xf numFmtId="9" fontId="2" fillId="5" borderId="40" xfId="0" applyNumberFormat="1" applyFont="1" applyFill="1" applyBorder="1" applyAlignment="1">
      <alignment horizontal="center"/>
    </xf>
    <xf numFmtId="10" fontId="2" fillId="5" borderId="43" xfId="0" applyNumberFormat="1" applyFont="1" applyFill="1" applyBorder="1" applyAlignment="1">
      <alignment vertical="center"/>
    </xf>
    <xf numFmtId="0" fontId="2" fillId="6" borderId="38" xfId="0" applyFont="1" applyFill="1" applyBorder="1" applyAlignment="1">
      <alignment horizontal="left"/>
    </xf>
    <xf numFmtId="0" fontId="3" fillId="6" borderId="36" xfId="0" applyFont="1" applyFill="1" applyBorder="1"/>
    <xf numFmtId="0" fontId="3" fillId="6" borderId="35" xfId="0" applyFont="1" applyFill="1" applyBorder="1"/>
    <xf numFmtId="9" fontId="2" fillId="6" borderId="36" xfId="0" applyNumberFormat="1" applyFont="1" applyFill="1" applyBorder="1" applyAlignment="1">
      <alignment horizontal="center"/>
    </xf>
    <xf numFmtId="10" fontId="2" fillId="6" borderId="36" xfId="0" applyNumberFormat="1" applyFont="1" applyFill="1" applyBorder="1" applyAlignment="1">
      <alignment horizontal="center"/>
    </xf>
    <xf numFmtId="10" fontId="2" fillId="6" borderId="26" xfId="0" applyNumberFormat="1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vertical="center"/>
    </xf>
    <xf numFmtId="0" fontId="3" fillId="6" borderId="37" xfId="0" applyFont="1" applyFill="1" applyBorder="1"/>
    <xf numFmtId="0" fontId="3" fillId="6" borderId="22" xfId="0" applyFont="1" applyFill="1" applyBorder="1"/>
    <xf numFmtId="10" fontId="2" fillId="6" borderId="37" xfId="0" applyNumberFormat="1" applyFont="1" applyFill="1" applyBorder="1" applyAlignment="1">
      <alignment horizontal="center"/>
    </xf>
    <xf numFmtId="10" fontId="2" fillId="6" borderId="39" xfId="0" applyNumberFormat="1" applyFont="1" applyFill="1" applyBorder="1" applyAlignment="1">
      <alignment vertical="center"/>
    </xf>
    <xf numFmtId="0" fontId="2" fillId="6" borderId="47" xfId="0" applyFont="1" applyFill="1" applyBorder="1" applyAlignment="1">
      <alignment horizontal="left"/>
    </xf>
    <xf numFmtId="0" fontId="3" fillId="6" borderId="40" xfId="0" applyFont="1" applyFill="1" applyBorder="1"/>
    <xf numFmtId="0" fontId="3" fillId="6" borderId="41" xfId="0" applyFont="1" applyFill="1" applyBorder="1"/>
    <xf numFmtId="9" fontId="2" fillId="6" borderId="40" xfId="0" applyNumberFormat="1" applyFont="1" applyFill="1" applyBorder="1" applyAlignment="1">
      <alignment horizontal="center"/>
    </xf>
    <xf numFmtId="10" fontId="2" fillId="6" borderId="43" xfId="0" applyNumberFormat="1" applyFont="1" applyFill="1" applyBorder="1" applyAlignment="1">
      <alignment vertical="center"/>
    </xf>
    <xf numFmtId="0" fontId="2" fillId="7" borderId="38" xfId="0" applyFont="1" applyFill="1" applyBorder="1" applyAlignment="1">
      <alignment horizontal="left"/>
    </xf>
    <xf numFmtId="0" fontId="3" fillId="7" borderId="36" xfId="0" applyFont="1" applyFill="1" applyBorder="1"/>
    <xf numFmtId="0" fontId="3" fillId="7" borderId="35" xfId="0" applyFont="1" applyFill="1" applyBorder="1"/>
    <xf numFmtId="9" fontId="2" fillId="7" borderId="36" xfId="0" applyNumberFormat="1" applyFont="1" applyFill="1" applyBorder="1" applyAlignment="1">
      <alignment horizontal="center"/>
    </xf>
    <xf numFmtId="10" fontId="2" fillId="7" borderId="36" xfId="0" applyNumberFormat="1" applyFont="1" applyFill="1" applyBorder="1" applyAlignment="1">
      <alignment horizontal="center"/>
    </xf>
    <xf numFmtId="10" fontId="2" fillId="7" borderId="26" xfId="0" applyNumberFormat="1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vertical="center"/>
    </xf>
    <xf numFmtId="0" fontId="3" fillId="7" borderId="37" xfId="0" applyFont="1" applyFill="1" applyBorder="1"/>
    <xf numFmtId="0" fontId="3" fillId="7" borderId="22" xfId="0" applyFont="1" applyFill="1" applyBorder="1"/>
    <xf numFmtId="10" fontId="2" fillId="7" borderId="37" xfId="0" applyNumberFormat="1" applyFont="1" applyFill="1" applyBorder="1" applyAlignment="1">
      <alignment horizontal="center"/>
    </xf>
    <xf numFmtId="10" fontId="2" fillId="7" borderId="39" xfId="0" applyNumberFormat="1" applyFont="1" applyFill="1" applyBorder="1" applyAlignment="1">
      <alignment vertical="center"/>
    </xf>
    <xf numFmtId="0" fontId="2" fillId="7" borderId="47" xfId="0" applyFont="1" applyFill="1" applyBorder="1" applyAlignment="1">
      <alignment horizontal="left"/>
    </xf>
    <xf numFmtId="0" fontId="3" fillId="7" borderId="40" xfId="0" applyFont="1" applyFill="1" applyBorder="1"/>
    <xf numFmtId="0" fontId="3" fillId="7" borderId="41" xfId="0" applyFont="1" applyFill="1" applyBorder="1"/>
    <xf numFmtId="9" fontId="2" fillId="7" borderId="40" xfId="0" applyNumberFormat="1" applyFont="1" applyFill="1" applyBorder="1" applyAlignment="1">
      <alignment horizontal="center"/>
    </xf>
    <xf numFmtId="10" fontId="2" fillId="7" borderId="43" xfId="0" applyNumberFormat="1" applyFont="1" applyFill="1" applyBorder="1" applyAlignment="1">
      <alignment vertical="center"/>
    </xf>
    <xf numFmtId="0" fontId="2" fillId="8" borderId="38" xfId="0" applyFont="1" applyFill="1" applyBorder="1" applyAlignment="1">
      <alignment horizontal="left"/>
    </xf>
    <xf numFmtId="0" fontId="3" fillId="8" borderId="36" xfId="0" applyFont="1" applyFill="1" applyBorder="1"/>
    <xf numFmtId="0" fontId="3" fillId="8" borderId="35" xfId="0" applyFont="1" applyFill="1" applyBorder="1"/>
    <xf numFmtId="9" fontId="2" fillId="8" borderId="36" xfId="0" applyNumberFormat="1" applyFont="1" applyFill="1" applyBorder="1" applyAlignment="1">
      <alignment horizontal="center"/>
    </xf>
    <xf numFmtId="10" fontId="2" fillId="8" borderId="36" xfId="0" applyNumberFormat="1" applyFont="1" applyFill="1" applyBorder="1" applyAlignment="1">
      <alignment horizontal="center"/>
    </xf>
    <xf numFmtId="10" fontId="2" fillId="8" borderId="26" xfId="0" applyNumberFormat="1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vertical="center"/>
    </xf>
    <xf numFmtId="0" fontId="3" fillId="8" borderId="37" xfId="0" applyFont="1" applyFill="1" applyBorder="1"/>
    <xf numFmtId="0" fontId="3" fillId="8" borderId="22" xfId="0" applyFont="1" applyFill="1" applyBorder="1"/>
    <xf numFmtId="10" fontId="2" fillId="8" borderId="37" xfId="0" applyNumberFormat="1" applyFont="1" applyFill="1" applyBorder="1" applyAlignment="1">
      <alignment horizontal="center"/>
    </xf>
    <xf numFmtId="10" fontId="2" fillId="8" borderId="39" xfId="0" applyNumberFormat="1" applyFont="1" applyFill="1" applyBorder="1" applyAlignment="1">
      <alignment vertical="center"/>
    </xf>
    <xf numFmtId="0" fontId="2" fillId="8" borderId="47" xfId="0" applyFont="1" applyFill="1" applyBorder="1" applyAlignment="1">
      <alignment horizontal="left"/>
    </xf>
    <xf numFmtId="0" fontId="3" fillId="8" borderId="40" xfId="0" applyFont="1" applyFill="1" applyBorder="1"/>
    <xf numFmtId="0" fontId="3" fillId="8" borderId="41" xfId="0" applyFont="1" applyFill="1" applyBorder="1"/>
    <xf numFmtId="9" fontId="2" fillId="8" borderId="40" xfId="0" applyNumberFormat="1" applyFont="1" applyFill="1" applyBorder="1" applyAlignment="1">
      <alignment horizontal="center"/>
    </xf>
    <xf numFmtId="10" fontId="2" fillId="8" borderId="40" xfId="0" applyNumberFormat="1" applyFont="1" applyFill="1" applyBorder="1" applyAlignment="1">
      <alignment horizontal="center"/>
    </xf>
    <xf numFmtId="10" fontId="2" fillId="8" borderId="43" xfId="0" applyNumberFormat="1" applyFont="1" applyFill="1" applyBorder="1" applyAlignment="1">
      <alignment vertical="center"/>
    </xf>
    <xf numFmtId="0" fontId="2" fillId="9" borderId="38" xfId="0" applyFont="1" applyFill="1" applyBorder="1" applyAlignment="1">
      <alignment horizontal="left"/>
    </xf>
    <xf numFmtId="0" fontId="3" fillId="9" borderId="36" xfId="0" applyFont="1" applyFill="1" applyBorder="1"/>
    <xf numFmtId="0" fontId="3" fillId="9" borderId="35" xfId="0" applyFont="1" applyFill="1" applyBorder="1"/>
    <xf numFmtId="9" fontId="2" fillId="9" borderId="36" xfId="0" applyNumberFormat="1" applyFont="1" applyFill="1" applyBorder="1" applyAlignment="1">
      <alignment horizontal="center"/>
    </xf>
    <xf numFmtId="10" fontId="2" fillId="9" borderId="36" xfId="0" applyNumberFormat="1" applyFont="1" applyFill="1" applyBorder="1" applyAlignment="1">
      <alignment horizontal="center"/>
    </xf>
    <xf numFmtId="10" fontId="2" fillId="9" borderId="26" xfId="0" applyNumberFormat="1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vertical="center"/>
    </xf>
    <xf numFmtId="0" fontId="3" fillId="9" borderId="37" xfId="0" applyFont="1" applyFill="1" applyBorder="1"/>
    <xf numFmtId="0" fontId="3" fillId="9" borderId="22" xfId="0" applyFont="1" applyFill="1" applyBorder="1"/>
    <xf numFmtId="10" fontId="2" fillId="9" borderId="37" xfId="0" applyNumberFormat="1" applyFont="1" applyFill="1" applyBorder="1" applyAlignment="1">
      <alignment horizontal="center"/>
    </xf>
    <xf numFmtId="10" fontId="2" fillId="9" borderId="39" xfId="0" applyNumberFormat="1" applyFont="1" applyFill="1" applyBorder="1" applyAlignment="1">
      <alignment vertical="center"/>
    </xf>
    <xf numFmtId="0" fontId="2" fillId="9" borderId="47" xfId="0" applyFont="1" applyFill="1" applyBorder="1" applyAlignment="1">
      <alignment horizontal="left"/>
    </xf>
    <xf numFmtId="0" fontId="3" fillId="9" borderId="40" xfId="0" applyFont="1" applyFill="1" applyBorder="1"/>
    <xf numFmtId="0" fontId="3" fillId="9" borderId="41" xfId="0" applyFont="1" applyFill="1" applyBorder="1"/>
    <xf numFmtId="9" fontId="2" fillId="9" borderId="40" xfId="0" applyNumberFormat="1" applyFont="1" applyFill="1" applyBorder="1" applyAlignment="1">
      <alignment horizontal="center"/>
    </xf>
    <xf numFmtId="10" fontId="2" fillId="9" borderId="40" xfId="0" applyNumberFormat="1" applyFont="1" applyFill="1" applyBorder="1" applyAlignment="1">
      <alignment horizontal="center"/>
    </xf>
    <xf numFmtId="10" fontId="2" fillId="9" borderId="43" xfId="0" applyNumberFormat="1" applyFont="1" applyFill="1" applyBorder="1" applyAlignment="1">
      <alignment vertical="center"/>
    </xf>
    <xf numFmtId="0" fontId="2" fillId="10" borderId="38" xfId="0" applyFont="1" applyFill="1" applyBorder="1" applyAlignment="1">
      <alignment horizontal="left"/>
    </xf>
    <xf numFmtId="0" fontId="3" fillId="10" borderId="36" xfId="0" applyFont="1" applyFill="1" applyBorder="1"/>
    <xf numFmtId="0" fontId="3" fillId="10" borderId="35" xfId="0" applyFont="1" applyFill="1" applyBorder="1"/>
    <xf numFmtId="9" fontId="2" fillId="10" borderId="36" xfId="0" applyNumberFormat="1" applyFont="1" applyFill="1" applyBorder="1" applyAlignment="1">
      <alignment horizontal="center"/>
    </xf>
    <xf numFmtId="10" fontId="2" fillId="10" borderId="36" xfId="0" applyNumberFormat="1" applyFont="1" applyFill="1" applyBorder="1" applyAlignment="1">
      <alignment horizontal="center"/>
    </xf>
    <xf numFmtId="10" fontId="2" fillId="10" borderId="26" xfId="0" applyNumberFormat="1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vertical="center"/>
    </xf>
    <xf numFmtId="0" fontId="3" fillId="10" borderId="37" xfId="0" applyFont="1" applyFill="1" applyBorder="1"/>
    <xf numFmtId="0" fontId="3" fillId="10" borderId="22" xfId="0" applyFont="1" applyFill="1" applyBorder="1"/>
    <xf numFmtId="10" fontId="2" fillId="10" borderId="37" xfId="0" applyNumberFormat="1" applyFont="1" applyFill="1" applyBorder="1" applyAlignment="1">
      <alignment horizontal="center"/>
    </xf>
    <xf numFmtId="10" fontId="2" fillId="10" borderId="39" xfId="0" applyNumberFormat="1" applyFont="1" applyFill="1" applyBorder="1" applyAlignment="1">
      <alignment vertical="center"/>
    </xf>
    <xf numFmtId="0" fontId="2" fillId="10" borderId="47" xfId="0" applyFont="1" applyFill="1" applyBorder="1" applyAlignment="1">
      <alignment horizontal="left"/>
    </xf>
    <xf numFmtId="0" fontId="3" fillId="10" borderId="40" xfId="0" applyFont="1" applyFill="1" applyBorder="1"/>
    <xf numFmtId="0" fontId="3" fillId="10" borderId="41" xfId="0" applyFont="1" applyFill="1" applyBorder="1"/>
    <xf numFmtId="9" fontId="2" fillId="10" borderId="40" xfId="0" applyNumberFormat="1" applyFont="1" applyFill="1" applyBorder="1" applyAlignment="1">
      <alignment horizontal="center"/>
    </xf>
    <xf numFmtId="10" fontId="2" fillId="10" borderId="43" xfId="0" applyNumberFormat="1" applyFont="1" applyFill="1" applyBorder="1" applyAlignment="1">
      <alignment vertical="center"/>
    </xf>
    <xf numFmtId="0" fontId="0" fillId="0" borderId="10" xfId="0" pivotButton="1" applyBorder="1"/>
    <xf numFmtId="0" fontId="0" fillId="0" borderId="1" xfId="0" pivotButton="1" applyBorder="1"/>
    <xf numFmtId="0" fontId="0" fillId="0" borderId="30" xfId="0" pivotButton="1" applyBorder="1"/>
    <xf numFmtId="0" fontId="2" fillId="0" borderId="10" xfId="0" pivotButton="1" applyFont="1" applyBorder="1"/>
    <xf numFmtId="0" fontId="0" fillId="0" borderId="10" xfId="0" pivotButton="1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15" xfId="0" applyBorder="1" applyAlignment="1">
      <alignment horizontal="right"/>
    </xf>
    <xf numFmtId="10" fontId="0" fillId="0" borderId="0" xfId="3" applyNumberFormat="1" applyFont="1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left"/>
    </xf>
    <xf numFmtId="9" fontId="0" fillId="0" borderId="11" xfId="3" applyFont="1" applyBorder="1" applyAlignment="1">
      <alignment horizontal="center"/>
    </xf>
    <xf numFmtId="0" fontId="0" fillId="0" borderId="0" xfId="0" quotePrefix="1"/>
    <xf numFmtId="10" fontId="2" fillId="0" borderId="1" xfId="0" applyNumberFormat="1" applyFont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" fillId="0" borderId="48" xfId="0" applyFont="1" applyBorder="1" applyAlignment="1">
      <alignment horizontal="left"/>
    </xf>
    <xf numFmtId="0" fontId="0" fillId="0" borderId="15" xfId="0" pivotButton="1" applyBorder="1"/>
    <xf numFmtId="1" fontId="0" fillId="0" borderId="0" xfId="0" applyNumberFormat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49" fontId="4" fillId="11" borderId="1" xfId="0" applyNumberFormat="1" applyFont="1" applyFill="1" applyBorder="1"/>
    <xf numFmtId="0" fontId="6" fillId="0" borderId="22" xfId="0" applyFont="1" applyBorder="1"/>
    <xf numFmtId="0" fontId="6" fillId="2" borderId="32" xfId="0" applyFont="1" applyFill="1" applyBorder="1"/>
    <xf numFmtId="0" fontId="6" fillId="0" borderId="49" xfId="0" applyFont="1" applyBorder="1"/>
    <xf numFmtId="49" fontId="4" fillId="11" borderId="28" xfId="0" applyNumberFormat="1" applyFont="1" applyFill="1" applyBorder="1"/>
    <xf numFmtId="0" fontId="7" fillId="2" borderId="50" xfId="0" applyFont="1" applyFill="1" applyBorder="1"/>
    <xf numFmtId="0" fontId="7" fillId="2" borderId="31" xfId="0" applyFont="1" applyFill="1" applyBorder="1"/>
    <xf numFmtId="0" fontId="7" fillId="2" borderId="1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" fontId="5" fillId="0" borderId="32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" fontId="5" fillId="0" borderId="51" xfId="0" applyNumberFormat="1" applyFont="1" applyBorder="1" applyAlignment="1">
      <alignment horizontal="center" vertical="center"/>
    </xf>
    <xf numFmtId="9" fontId="5" fillId="0" borderId="1" xfId="3" applyFont="1" applyFill="1" applyBorder="1" applyAlignment="1">
      <alignment horizontal="center" vertical="center"/>
    </xf>
    <xf numFmtId="167" fontId="0" fillId="0" borderId="0" xfId="0" applyNumberFormat="1"/>
    <xf numFmtId="0" fontId="2" fillId="0" borderId="22" xfId="0" applyFont="1" applyBorder="1"/>
    <xf numFmtId="0" fontId="4" fillId="2" borderId="50" xfId="0" applyFont="1" applyFill="1" applyBorder="1"/>
    <xf numFmtId="0" fontId="2" fillId="0" borderId="52" xfId="0" applyFont="1" applyBorder="1"/>
    <xf numFmtId="0" fontId="2" fillId="0" borderId="49" xfId="0" applyFont="1" applyBorder="1"/>
    <xf numFmtId="167" fontId="0" fillId="0" borderId="1" xfId="0" applyNumberFormat="1" applyBorder="1"/>
    <xf numFmtId="0" fontId="0" fillId="0" borderId="22" xfId="0" applyBorder="1" applyAlignment="1">
      <alignment horizontal="left"/>
    </xf>
    <xf numFmtId="10" fontId="0" fillId="0" borderId="37" xfId="3" applyNumberFormat="1" applyFont="1" applyBorder="1"/>
    <xf numFmtId="0" fontId="6" fillId="2" borderId="52" xfId="0" applyFont="1" applyFill="1" applyBorder="1"/>
    <xf numFmtId="0" fontId="6" fillId="2" borderId="33" xfId="0" applyFont="1" applyFill="1" applyBorder="1"/>
    <xf numFmtId="0" fontId="0" fillId="0" borderId="49" xfId="0" applyBorder="1" applyAlignment="1">
      <alignment horizontal="left"/>
    </xf>
    <xf numFmtId="167" fontId="0" fillId="0" borderId="28" xfId="0" applyNumberFormat="1" applyBorder="1"/>
    <xf numFmtId="10" fontId="0" fillId="0" borderId="51" xfId="3" applyNumberFormat="1" applyFont="1" applyBorder="1"/>
    <xf numFmtId="9" fontId="0" fillId="0" borderId="0" xfId="3" applyFont="1" applyAlignment="1">
      <alignment horizontal="center"/>
    </xf>
    <xf numFmtId="0" fontId="10" fillId="12" borderId="1" xfId="0" applyFont="1" applyFill="1" applyBorder="1" applyAlignment="1">
      <alignment horizontal="center" vertical="top" wrapText="1"/>
    </xf>
    <xf numFmtId="44" fontId="0" fillId="0" borderId="1" xfId="0" applyNumberFormat="1" applyBorder="1"/>
    <xf numFmtId="44" fontId="2" fillId="0" borderId="0" xfId="0" applyNumberFormat="1" applyFont="1"/>
    <xf numFmtId="167" fontId="9" fillId="0" borderId="1" xfId="0" applyNumberFormat="1" applyFont="1" applyBorder="1" applyAlignment="1">
      <alignment vertical="top" wrapText="1"/>
    </xf>
    <xf numFmtId="44" fontId="9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6" fillId="10" borderId="1" xfId="0" applyFont="1" applyFill="1" applyBorder="1"/>
    <xf numFmtId="0" fontId="0" fillId="11" borderId="0" xfId="0" applyFill="1"/>
    <xf numFmtId="0" fontId="10" fillId="11" borderId="0" xfId="0" applyFont="1" applyFill="1" applyAlignment="1">
      <alignment horizontal="center" vertical="top" wrapText="1"/>
    </xf>
    <xf numFmtId="44" fontId="0" fillId="11" borderId="0" xfId="0" applyNumberFormat="1" applyFill="1"/>
    <xf numFmtId="44" fontId="2" fillId="11" borderId="0" xfId="0" applyNumberFormat="1" applyFont="1" applyFill="1"/>
    <xf numFmtId="10" fontId="0" fillId="0" borderId="1" xfId="3" applyNumberFormat="1" applyFont="1" applyBorder="1"/>
    <xf numFmtId="1" fontId="5" fillId="0" borderId="1" xfId="3" applyNumberFormat="1" applyFont="1" applyFill="1" applyBorder="1" applyAlignment="1">
      <alignment horizontal="center" vertical="center"/>
    </xf>
    <xf numFmtId="0" fontId="12" fillId="0" borderId="49" xfId="0" applyFont="1" applyBorder="1"/>
    <xf numFmtId="167" fontId="5" fillId="0" borderId="28" xfId="0" applyNumberFormat="1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167" fontId="0" fillId="0" borderId="0" xfId="3" applyNumberFormat="1" applyFont="1"/>
    <xf numFmtId="0" fontId="0" fillId="0" borderId="0" xfId="0" applyAlignment="1">
      <alignment horizontal="right"/>
    </xf>
    <xf numFmtId="14" fontId="0" fillId="0" borderId="53" xfId="0" applyNumberFormat="1" applyBorder="1"/>
    <xf numFmtId="0" fontId="0" fillId="0" borderId="53" xfId="0" applyBorder="1"/>
    <xf numFmtId="44" fontId="0" fillId="0" borderId="53" xfId="1" applyFont="1" applyBorder="1"/>
    <xf numFmtId="0" fontId="0" fillId="0" borderId="54" xfId="0" applyBorder="1"/>
    <xf numFmtId="14" fontId="0" fillId="0" borderId="1" xfId="0" applyNumberFormat="1" applyBorder="1"/>
    <xf numFmtId="0" fontId="13" fillId="13" borderId="55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44" fontId="13" fillId="13" borderId="0" xfId="1" applyFont="1" applyFill="1" applyBorder="1" applyAlignment="1">
      <alignment horizontal="center"/>
    </xf>
    <xf numFmtId="10" fontId="0" fillId="0" borderId="53" xfId="3" applyNumberFormat="1" applyFont="1" applyBorder="1" applyAlignment="1">
      <alignment horizontal="center"/>
    </xf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0" fontId="2" fillId="0" borderId="27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4" fontId="14" fillId="0" borderId="0" xfId="0" applyNumberFormat="1" applyFont="1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horizontal="center" vertical="center"/>
    </xf>
    <xf numFmtId="10" fontId="2" fillId="2" borderId="39" xfId="0" applyNumberFormat="1" applyFont="1" applyFill="1" applyBorder="1" applyAlignment="1">
      <alignment horizontal="center" vertical="center"/>
    </xf>
    <xf numFmtId="10" fontId="2" fillId="2" borderId="43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horizontal="center" vertical="center"/>
    </xf>
    <xf numFmtId="10" fontId="2" fillId="4" borderId="39" xfId="0" applyNumberFormat="1" applyFont="1" applyFill="1" applyBorder="1" applyAlignment="1">
      <alignment horizontal="center" vertical="center"/>
    </xf>
    <xf numFmtId="10" fontId="2" fillId="4" borderId="43" xfId="0" applyNumberFormat="1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horizontal="center" vertical="center"/>
    </xf>
    <xf numFmtId="10" fontId="2" fillId="3" borderId="39" xfId="0" applyNumberFormat="1" applyFont="1" applyFill="1" applyBorder="1" applyAlignment="1">
      <alignment horizontal="center" vertical="center"/>
    </xf>
    <xf numFmtId="10" fontId="2" fillId="3" borderId="43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horizontal="center" vertical="center"/>
    </xf>
    <xf numFmtId="10" fontId="2" fillId="6" borderId="39" xfId="0" applyNumberFormat="1" applyFont="1" applyFill="1" applyBorder="1" applyAlignment="1">
      <alignment horizontal="center" vertical="center"/>
    </xf>
    <xf numFmtId="10" fontId="2" fillId="6" borderId="43" xfId="0" applyNumberFormat="1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horizontal="center" vertical="center"/>
    </xf>
    <xf numFmtId="10" fontId="2" fillId="5" borderId="39" xfId="0" applyNumberFormat="1" applyFont="1" applyFill="1" applyBorder="1" applyAlignment="1">
      <alignment horizontal="center" vertical="center"/>
    </xf>
    <xf numFmtId="10" fontId="2" fillId="5" borderId="43" xfId="0" applyNumberFormat="1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40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3" fillId="8" borderId="35" xfId="0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horizontal="center" vertical="center"/>
    </xf>
    <xf numFmtId="10" fontId="2" fillId="8" borderId="39" xfId="0" applyNumberFormat="1" applyFont="1" applyFill="1" applyBorder="1" applyAlignment="1">
      <alignment horizontal="center" vertical="center"/>
    </xf>
    <xf numFmtId="10" fontId="2" fillId="8" borderId="43" xfId="0" applyNumberFormat="1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8" borderId="41" xfId="0" applyFont="1" applyFill="1" applyBorder="1" applyAlignment="1">
      <alignment horizontal="center"/>
    </xf>
    <xf numFmtId="0" fontId="3" fillId="7" borderId="36" xfId="0" applyFont="1" applyFill="1" applyBorder="1" applyAlignment="1">
      <alignment horizontal="center"/>
    </xf>
    <xf numFmtId="0" fontId="3" fillId="7" borderId="35" xfId="0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horizontal="center" vertical="center"/>
    </xf>
    <xf numFmtId="10" fontId="2" fillId="7" borderId="39" xfId="0" applyNumberFormat="1" applyFont="1" applyFill="1" applyBorder="1" applyAlignment="1">
      <alignment horizontal="center" vertical="center"/>
    </xf>
    <xf numFmtId="10" fontId="2" fillId="7" borderId="43" xfId="0" applyNumberFormat="1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40" xfId="0" applyFont="1" applyFill="1" applyBorder="1" applyAlignment="1">
      <alignment horizontal="center"/>
    </xf>
    <xf numFmtId="0" fontId="3" fillId="7" borderId="41" xfId="0" applyFont="1" applyFill="1" applyBorder="1" applyAlignment="1">
      <alignment horizontal="center"/>
    </xf>
    <xf numFmtId="0" fontId="3" fillId="10" borderId="36" xfId="0" applyFont="1" applyFill="1" applyBorder="1" applyAlignment="1">
      <alignment horizontal="center"/>
    </xf>
    <xf numFmtId="0" fontId="3" fillId="10" borderId="35" xfId="0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horizontal="center" vertical="center"/>
    </xf>
    <xf numFmtId="10" fontId="2" fillId="10" borderId="39" xfId="0" applyNumberFormat="1" applyFont="1" applyFill="1" applyBorder="1" applyAlignment="1">
      <alignment horizontal="center" vertical="center"/>
    </xf>
    <xf numFmtId="10" fontId="2" fillId="10" borderId="43" xfId="0" applyNumberFormat="1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0" fontId="3" fillId="10" borderId="40" xfId="0" applyFont="1" applyFill="1" applyBorder="1" applyAlignment="1">
      <alignment horizontal="center"/>
    </xf>
    <xf numFmtId="0" fontId="3" fillId="10" borderId="41" xfId="0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/>
    </xf>
    <xf numFmtId="0" fontId="3" fillId="9" borderId="35" xfId="0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horizontal="center" vertical="center"/>
    </xf>
    <xf numFmtId="10" fontId="2" fillId="9" borderId="39" xfId="0" applyNumberFormat="1" applyFont="1" applyFill="1" applyBorder="1" applyAlignment="1">
      <alignment horizontal="center" vertical="center"/>
    </xf>
    <xf numFmtId="10" fontId="2" fillId="9" borderId="43" xfId="0" applyNumberFormat="1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3" fillId="9" borderId="40" xfId="0" applyFont="1" applyFill="1" applyBorder="1" applyAlignment="1">
      <alignment horizontal="center"/>
    </xf>
    <xf numFmtId="0" fontId="3" fillId="9" borderId="41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290"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numFmt numFmtId="164" formatCode="0.000"/>
    </dxf>
    <dxf>
      <numFmt numFmtId="1" formatCode="0"/>
    </dxf>
    <dxf>
      <numFmt numFmtId="1" formatCode="0"/>
    </dxf>
    <dxf>
      <numFmt numFmtId="14" formatCode="0.00%"/>
    </dxf>
    <dxf>
      <numFmt numFmtId="13" formatCode="0%"/>
    </dxf>
    <dxf>
      <alignment horizontal="general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right"/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numFmt numFmtId="1" formatCode="0"/>
    </dxf>
    <dxf>
      <alignment horizontal="center"/>
    </dxf>
    <dxf>
      <alignment horizontal="center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general"/>
    </dxf>
    <dxf>
      <numFmt numFmtId="1" formatCode="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&quot;R$&quot;\ #,##0.00"/>
    </dxf>
    <dxf>
      <numFmt numFmtId="1" formatCode="0"/>
    </dxf>
    <dxf>
      <numFmt numFmtId="14" formatCode="0.00%"/>
    </dxf>
    <dxf>
      <numFmt numFmtId="13" formatCode="0%"/>
    </dxf>
    <dxf>
      <numFmt numFmtId="1" formatCode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microsoft.com/office/2007/relationships/slicerCache" Target="slicerCaches/slicerCache4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microsoft.com/office/2007/relationships/slicerCache" Target="slicerCaches/slicerCache6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SEPARACAO!Tabela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5798512"/>
        <c:axId val="2045787632"/>
      </c:lineChart>
      <c:catAx>
        <c:axId val="204579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87632"/>
        <c:crosses val="autoZero"/>
        <c:auto val="1"/>
        <c:lblAlgn val="ctr"/>
        <c:lblOffset val="100"/>
        <c:noMultiLvlLbl val="0"/>
      </c:catAx>
      <c:valAx>
        <c:axId val="2045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SEPARACAO!Tabela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1435951122753E-2"/>
          <c:y val="0.14135643044619423"/>
          <c:w val="0.93905434364324969"/>
          <c:h val="0.7205434502505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'ANALISES SEPARACAO'!$C$47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SEPARACAO'!$B$48:$B$59</c:f>
              <c:strCache>
                <c:ptCount val="11"/>
                <c:pt idx="0">
                  <c:v>JOAO VITOR</c:v>
                </c:pt>
                <c:pt idx="1">
                  <c:v>PABLYNE SANTANA</c:v>
                </c:pt>
                <c:pt idx="2">
                  <c:v>RONALDO JOSE</c:v>
                </c:pt>
                <c:pt idx="3">
                  <c:v>GUILHERME HENRIQUE</c:v>
                </c:pt>
                <c:pt idx="4">
                  <c:v>MARILEUZA</c:v>
                </c:pt>
                <c:pt idx="5">
                  <c:v>JAILSON</c:v>
                </c:pt>
                <c:pt idx="6">
                  <c:v>FERNANDO BORGES</c:v>
                </c:pt>
                <c:pt idx="7">
                  <c:v>WARLEY GABRIEL</c:v>
                </c:pt>
                <c:pt idx="8">
                  <c:v>IGOR</c:v>
                </c:pt>
                <c:pt idx="9">
                  <c:v>WILSON JUNIOR</c:v>
                </c:pt>
                <c:pt idx="10">
                  <c:v>ARMANDO SANTOS</c:v>
                </c:pt>
              </c:strCache>
            </c:strRef>
          </c:cat>
          <c:val>
            <c:numRef>
              <c:f>'ANALISES SEPARACAO'!$C$48:$C$59</c:f>
              <c:numCache>
                <c:formatCode>0</c:formatCode>
                <c:ptCount val="11"/>
                <c:pt idx="0">
                  <c:v>6.8042291770160617</c:v>
                </c:pt>
                <c:pt idx="1">
                  <c:v>6.7789225589225595</c:v>
                </c:pt>
                <c:pt idx="2">
                  <c:v>6.2642847108211308</c:v>
                </c:pt>
                <c:pt idx="3">
                  <c:v>5.9220389805097451</c:v>
                </c:pt>
                <c:pt idx="4">
                  <c:v>5.8280556921204587</c:v>
                </c:pt>
                <c:pt idx="5">
                  <c:v>5.8012034497847322</c:v>
                </c:pt>
                <c:pt idx="6">
                  <c:v>5.6000514982969669</c:v>
                </c:pt>
                <c:pt idx="7">
                  <c:v>5.1560504446533866</c:v>
                </c:pt>
                <c:pt idx="8">
                  <c:v>4.9767605873359795</c:v>
                </c:pt>
                <c:pt idx="9">
                  <c:v>4.1380162466369352</c:v>
                </c:pt>
                <c:pt idx="10">
                  <c:v>3.8488635783720921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CEE-8EB8-5DCAB356B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45797424"/>
        <c:axId val="2045794160"/>
      </c:barChart>
      <c:catAx>
        <c:axId val="20457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4160"/>
        <c:crosses val="autoZero"/>
        <c:auto val="1"/>
        <c:lblAlgn val="ctr"/>
        <c:lblOffset val="100"/>
        <c:noMultiLvlLbl val="0"/>
      </c:catAx>
      <c:valAx>
        <c:axId val="20457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SEPARACAO!Tabela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SEPARACAO'!$B$90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SEPARACAO'!$A$91:$A$102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ARMANDO SANTOS</c:v>
                </c:pt>
                <c:pt idx="5">
                  <c:v>WARLEY GABRIEL</c:v>
                </c:pt>
                <c:pt idx="6">
                  <c:v>MARILEUZA</c:v>
                </c:pt>
                <c:pt idx="7">
                  <c:v>IGOR</c:v>
                </c:pt>
                <c:pt idx="8">
                  <c:v>JAILSON</c:v>
                </c:pt>
                <c:pt idx="9">
                  <c:v>FERNANDO BORGES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SEPARACAO'!$B$91:$B$102</c:f>
              <c:numCache>
                <c:formatCode>General</c:formatCode>
                <c:ptCount val="11"/>
                <c:pt idx="0">
                  <c:v>1302</c:v>
                </c:pt>
                <c:pt idx="1">
                  <c:v>5304</c:v>
                </c:pt>
                <c:pt idx="2">
                  <c:v>5318</c:v>
                </c:pt>
                <c:pt idx="3">
                  <c:v>5655</c:v>
                </c:pt>
                <c:pt idx="4">
                  <c:v>8408</c:v>
                </c:pt>
                <c:pt idx="5">
                  <c:v>10417</c:v>
                </c:pt>
                <c:pt idx="6">
                  <c:v>19717</c:v>
                </c:pt>
                <c:pt idx="7">
                  <c:v>26267</c:v>
                </c:pt>
                <c:pt idx="8">
                  <c:v>27768</c:v>
                </c:pt>
                <c:pt idx="9">
                  <c:v>29463</c:v>
                </c:pt>
                <c:pt idx="10">
                  <c:v>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008-96E0-5AEF077C7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5792528"/>
        <c:axId val="2045793072"/>
        <c:axId val="0"/>
      </c:bar3DChart>
      <c:catAx>
        <c:axId val="20457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3072"/>
        <c:crosses val="autoZero"/>
        <c:auto val="1"/>
        <c:lblAlgn val="ctr"/>
        <c:lblOffset val="100"/>
        <c:noMultiLvlLbl val="0"/>
      </c:catAx>
      <c:valAx>
        <c:axId val="20457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SEPARACAO!Tabela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SEPARACAO'!$B$129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04-48E4-B28F-872BE2C509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04-48E4-B28F-872BE2C509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04-48E4-B28F-872BE2C509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04-48E4-B28F-872BE2C509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04-48E4-B28F-872BE2C509F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04-48E4-B28F-872BE2C509F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04-48E4-B28F-872BE2C509F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04-48E4-B28F-872BE2C509F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A04-48E4-B28F-872BE2C509F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A04-48E4-B28F-872BE2C509F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A04-48E4-B28F-872BE2C509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SEPARACAO'!$A$130:$A$141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WARLEY GABRIEL</c:v>
                </c:pt>
                <c:pt idx="5">
                  <c:v>ARMANDO SANTOS</c:v>
                </c:pt>
                <c:pt idx="6">
                  <c:v>MARILEUZA</c:v>
                </c:pt>
                <c:pt idx="7">
                  <c:v>JAILSON</c:v>
                </c:pt>
                <c:pt idx="8">
                  <c:v>FERNANDO BORGES</c:v>
                </c:pt>
                <c:pt idx="9">
                  <c:v>IGOR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SEPARACAO'!$B$130:$B$141</c:f>
              <c:numCache>
                <c:formatCode>General</c:formatCode>
                <c:ptCount val="11"/>
                <c:pt idx="0">
                  <c:v>52</c:v>
                </c:pt>
                <c:pt idx="1">
                  <c:v>114</c:v>
                </c:pt>
                <c:pt idx="2">
                  <c:v>133</c:v>
                </c:pt>
                <c:pt idx="3">
                  <c:v>230</c:v>
                </c:pt>
                <c:pt idx="4">
                  <c:v>272</c:v>
                </c:pt>
                <c:pt idx="5">
                  <c:v>329</c:v>
                </c:pt>
                <c:pt idx="6">
                  <c:v>518</c:v>
                </c:pt>
                <c:pt idx="7">
                  <c:v>707</c:v>
                </c:pt>
                <c:pt idx="8">
                  <c:v>831</c:v>
                </c:pt>
                <c:pt idx="9">
                  <c:v>914</c:v>
                </c:pt>
                <c:pt idx="1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04-48E4-B28F-872BE2C509F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CONF!Tabela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CONF'!$B$29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1E3-4647-B9A3-D81D0684D0A5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1E3-4647-B9A3-D81D0684D0A5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1E3-4647-B9A3-D81D0684D0A5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1E3-4647-B9A3-D81D0684D0A5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1E3-4647-B9A3-D81D0684D0A5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1E3-4647-B9A3-D81D0684D0A5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1E3-4647-B9A3-D81D0684D0A5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1E3-4647-B9A3-D81D0684D0A5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1E3-4647-B9A3-D81D0684D0A5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1E3-4647-B9A3-D81D0684D0A5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61E3-4647-B9A3-D81D0684D0A5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61E3-4647-B9A3-D81D0684D0A5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61E3-4647-B9A3-D81D0684D0A5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61E3-4647-B9A3-D81D0684D0A5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61E3-4647-B9A3-D81D0684D0A5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61E3-4647-B9A3-D81D0684D0A5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61E3-4647-B9A3-D81D0684D0A5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61E3-4647-B9A3-D81D0684D0A5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1E3-4647-B9A3-D81D0684D0A5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61E3-4647-B9A3-D81D0684D0A5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1E3-4647-B9A3-D81D0684D0A5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61E3-4647-B9A3-D81D0684D0A5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61E3-4647-B9A3-D81D0684D0A5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61E3-4647-B9A3-D81D0684D0A5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61E3-4647-B9A3-D81D0684D0A5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1E3-4647-B9A3-D81D0684D0A5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1E3-4647-B9A3-D81D0684D0A5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1E3-4647-B9A3-D81D0684D0A5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1E3-4647-B9A3-D81D0684D0A5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1E3-4647-B9A3-D81D0684D0A5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1E3-4647-B9A3-D81D0684D0A5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1E3-4647-B9A3-D81D0684D0A5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1E3-4647-B9A3-D81D0684D0A5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1E3-4647-B9A3-D81D0684D0A5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1E3-4647-B9A3-D81D0684D0A5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1E3-4647-B9A3-D81D0684D0A5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1E3-4647-B9A3-D81D0684D0A5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D849-466D-A94B-9090BF5FF94B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849-466D-A94B-9090BF5FF94B}"/>
              </c:ext>
            </c:extLst>
          </c:dPt>
          <c:dPt>
            <c:idx val="3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D849-466D-A94B-9090BF5FF94B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849-466D-A94B-9090BF5FF94B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849-466D-A94B-9090BF5FF94B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849-466D-A94B-9090BF5FF94B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D849-466D-A94B-9090BF5FF94B}"/>
              </c:ext>
            </c:extLst>
          </c:dPt>
          <c:dPt>
            <c:idx val="4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D849-466D-A94B-9090BF5FF94B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D849-466D-A94B-9090BF5FF94B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D849-466D-A94B-9090BF5FF94B}"/>
              </c:ext>
            </c:extLst>
          </c:dPt>
          <c:dPt>
            <c:idx val="4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D849-466D-A94B-9090BF5FF94B}"/>
              </c:ext>
            </c:extLst>
          </c:dPt>
          <c:dPt>
            <c:idx val="4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D849-466D-A94B-9090BF5FF9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CONF'!$A$30:$A$79</c:f>
              <c:strCache>
                <c:ptCount val="49"/>
                <c:pt idx="0">
                  <c:v>02/01/2026</c:v>
                </c:pt>
                <c:pt idx="1">
                  <c:v>05/01/2026</c:v>
                </c:pt>
                <c:pt idx="2">
                  <c:v>06/01/2026</c:v>
                </c:pt>
                <c:pt idx="3">
                  <c:v>07/01/2026</c:v>
                </c:pt>
                <c:pt idx="4">
                  <c:v>08/01/2026</c:v>
                </c:pt>
                <c:pt idx="5">
                  <c:v>09/01/2026</c:v>
                </c:pt>
                <c:pt idx="6">
                  <c:v>10/01/2026</c:v>
                </c:pt>
                <c:pt idx="7">
                  <c:v>12/01/2026</c:v>
                </c:pt>
                <c:pt idx="8">
                  <c:v>13/01/2026</c:v>
                </c:pt>
                <c:pt idx="9">
                  <c:v>14/01/2026</c:v>
                </c:pt>
                <c:pt idx="10">
                  <c:v>15/01/2026</c:v>
                </c:pt>
                <c:pt idx="11">
                  <c:v>16/01/2026</c:v>
                </c:pt>
                <c:pt idx="12">
                  <c:v>17/01/2026</c:v>
                </c:pt>
                <c:pt idx="13">
                  <c:v>19/01/2026</c:v>
                </c:pt>
                <c:pt idx="14">
                  <c:v>20/01/2026</c:v>
                </c:pt>
                <c:pt idx="15">
                  <c:v>21/01/2026</c:v>
                </c:pt>
                <c:pt idx="16">
                  <c:v>22/01/2026</c:v>
                </c:pt>
                <c:pt idx="17">
                  <c:v>23/01/2026</c:v>
                </c:pt>
                <c:pt idx="18">
                  <c:v>24/01/2026</c:v>
                </c:pt>
                <c:pt idx="19">
                  <c:v>26/01/2026</c:v>
                </c:pt>
                <c:pt idx="20">
                  <c:v>27/01/2026</c:v>
                </c:pt>
                <c:pt idx="21">
                  <c:v>28/01/2026</c:v>
                </c:pt>
                <c:pt idx="22">
                  <c:v>29/01/2026</c:v>
                </c:pt>
                <c:pt idx="23">
                  <c:v>30/01/2026</c:v>
                </c:pt>
                <c:pt idx="24">
                  <c:v>31/01/2026</c:v>
                </c:pt>
                <c:pt idx="25">
                  <c:v>02/02/2026</c:v>
                </c:pt>
                <c:pt idx="26">
                  <c:v>03/02/2026</c:v>
                </c:pt>
                <c:pt idx="27">
                  <c:v>04/02/2026</c:v>
                </c:pt>
                <c:pt idx="28">
                  <c:v>05/02/2026</c:v>
                </c:pt>
                <c:pt idx="29">
                  <c:v>06/02/2026</c:v>
                </c:pt>
                <c:pt idx="30">
                  <c:v>07/02/2026</c:v>
                </c:pt>
                <c:pt idx="31">
                  <c:v>09/02/2026</c:v>
                </c:pt>
                <c:pt idx="32">
                  <c:v>10/02/2026</c:v>
                </c:pt>
                <c:pt idx="33">
                  <c:v>11/02/2026</c:v>
                </c:pt>
                <c:pt idx="34">
                  <c:v>12/02/2026</c:v>
                </c:pt>
                <c:pt idx="35">
                  <c:v>13/02/2026</c:v>
                </c:pt>
                <c:pt idx="36">
                  <c:v>14/02/2026</c:v>
                </c:pt>
                <c:pt idx="37">
                  <c:v>16/02/2026</c:v>
                </c:pt>
                <c:pt idx="38">
                  <c:v>17/02/2026</c:v>
                </c:pt>
                <c:pt idx="39">
                  <c:v>18/02/2026</c:v>
                </c:pt>
                <c:pt idx="40">
                  <c:v>19/02/2026</c:v>
                </c:pt>
                <c:pt idx="41">
                  <c:v>20/02/2026</c:v>
                </c:pt>
                <c:pt idx="42">
                  <c:v>21/02/2026</c:v>
                </c:pt>
                <c:pt idx="43">
                  <c:v>22/02/2026</c:v>
                </c:pt>
                <c:pt idx="44">
                  <c:v>24/02/2026</c:v>
                </c:pt>
                <c:pt idx="45">
                  <c:v>25/02/2026</c:v>
                </c:pt>
                <c:pt idx="46">
                  <c:v>26/02/2026</c:v>
                </c:pt>
                <c:pt idx="47">
                  <c:v>27/02/2026</c:v>
                </c:pt>
                <c:pt idx="48">
                  <c:v>28/02/2026</c:v>
                </c:pt>
              </c:strCache>
            </c:strRef>
          </c:cat>
          <c:val>
            <c:numRef>
              <c:f>'ANALISES CONF'!$B$30:$B$79</c:f>
              <c:numCache>
                <c:formatCode>0.00%</c:formatCode>
                <c:ptCount val="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0.99655172413793092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0.995</c:v>
                </c:pt>
                <c:pt idx="23">
                  <c:v>0.99444444444444446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1E3-4647-B9A3-D81D0684D0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526672"/>
        <c:axId val="401531024"/>
      </c:lineChart>
      <c:catAx>
        <c:axId val="40152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1024"/>
        <c:crosses val="autoZero"/>
        <c:auto val="1"/>
        <c:lblAlgn val="ctr"/>
        <c:lblOffset val="100"/>
        <c:noMultiLvlLbl val="0"/>
      </c:catAx>
      <c:valAx>
        <c:axId val="4015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CONF!Tabela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CONF'!$H$92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CONF'!$G$93:$G$104</c:f>
              <c:strCache>
                <c:ptCount val="11"/>
                <c:pt idx="0">
                  <c:v>GUIILHERME HENRIQUE</c:v>
                </c:pt>
                <c:pt idx="1">
                  <c:v>Marileuza</c:v>
                </c:pt>
                <c:pt idx="2">
                  <c:v>Ronaldo </c:v>
                </c:pt>
                <c:pt idx="3">
                  <c:v>Igor</c:v>
                </c:pt>
                <c:pt idx="4">
                  <c:v>Pablyne</c:v>
                </c:pt>
                <c:pt idx="5">
                  <c:v>Fernando</c:v>
                </c:pt>
                <c:pt idx="6">
                  <c:v>Joao Vitor</c:v>
                </c:pt>
                <c:pt idx="7">
                  <c:v>WARLEY GABRIEL</c:v>
                </c:pt>
                <c:pt idx="8">
                  <c:v>JAILSON </c:v>
                </c:pt>
                <c:pt idx="9">
                  <c:v>Armando</c:v>
                </c:pt>
                <c:pt idx="10">
                  <c:v>Wilson</c:v>
                </c:pt>
              </c:strCache>
            </c:strRef>
          </c:cat>
          <c:val>
            <c:numRef>
              <c:f>'ANALISES CONF'!$H$93:$H$104</c:f>
              <c:numCache>
                <c:formatCode>0</c:formatCode>
                <c:ptCount val="11"/>
                <c:pt idx="0">
                  <c:v>6.5</c:v>
                </c:pt>
                <c:pt idx="1">
                  <c:v>6.4987249386150134</c:v>
                </c:pt>
                <c:pt idx="2">
                  <c:v>6.0018004057016716</c:v>
                </c:pt>
                <c:pt idx="3">
                  <c:v>5.7190103371127403</c:v>
                </c:pt>
                <c:pt idx="4">
                  <c:v>5.6749999999999998</c:v>
                </c:pt>
                <c:pt idx="5">
                  <c:v>5.5420207703897644</c:v>
                </c:pt>
                <c:pt idx="6">
                  <c:v>5.4898809523809522</c:v>
                </c:pt>
                <c:pt idx="7">
                  <c:v>4.8</c:v>
                </c:pt>
                <c:pt idx="8">
                  <c:v>4.5130952380952376</c:v>
                </c:pt>
                <c:pt idx="9">
                  <c:v>4.3763878691455629</c:v>
                </c:pt>
                <c:pt idx="10">
                  <c:v>3.7443721719457019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6-4BC8-B20D-1C67CEE0B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521232"/>
        <c:axId val="401519056"/>
      </c:barChart>
      <c:catAx>
        <c:axId val="4015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19056"/>
        <c:crosses val="autoZero"/>
        <c:auto val="1"/>
        <c:lblAlgn val="ctr"/>
        <c:lblOffset val="100"/>
        <c:noMultiLvlLbl val="0"/>
      </c:catAx>
      <c:valAx>
        <c:axId val="4015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CONF!Tabela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CONF'!$B$110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CONF'!$A$111:$A$122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Pablyne</c:v>
                </c:pt>
                <c:pt idx="8">
                  <c:v>JAILSON 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CONF'!$B$111:$B$122</c:f>
              <c:numCache>
                <c:formatCode>General</c:formatCode>
                <c:ptCount val="11"/>
                <c:pt idx="0">
                  <c:v>59607</c:v>
                </c:pt>
                <c:pt idx="1">
                  <c:v>47208</c:v>
                </c:pt>
                <c:pt idx="2">
                  <c:v>30829</c:v>
                </c:pt>
                <c:pt idx="3">
                  <c:v>27245</c:v>
                </c:pt>
                <c:pt idx="4">
                  <c:v>20115</c:v>
                </c:pt>
                <c:pt idx="5">
                  <c:v>8912</c:v>
                </c:pt>
                <c:pt idx="6">
                  <c:v>2301</c:v>
                </c:pt>
                <c:pt idx="7">
                  <c:v>1615</c:v>
                </c:pt>
                <c:pt idx="8">
                  <c:v>688</c:v>
                </c:pt>
                <c:pt idx="9">
                  <c:v>283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7-43B2-B596-53EA9D4F7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1522864"/>
        <c:axId val="401532112"/>
        <c:axId val="0"/>
      </c:bar3DChart>
      <c:catAx>
        <c:axId val="4015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2112"/>
        <c:crosses val="autoZero"/>
        <c:auto val="1"/>
        <c:lblAlgn val="ctr"/>
        <c:lblOffset val="100"/>
        <c:noMultiLvlLbl val="0"/>
      </c:catAx>
      <c:valAx>
        <c:axId val="4015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.xlsx]ANALISES CONF!Tabela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786372007366477"/>
              <c:y val="-3.87661879946445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206261510128914E-2"/>
              <c:y val="-6.85863326059096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3664825046040563E-2"/>
              <c:y val="-5.0694245839150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CONF'!$B$149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3E-4AE5-853C-29095C7268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3E-4AE5-853C-29095C7268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3E-4AE5-853C-29095C7268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3E-4AE5-853C-29095C7268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3E-4AE5-853C-29095C7268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A3E-4AE5-853C-29095C7268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A3E-4AE5-853C-29095C7268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A3E-4AE5-853C-29095C72689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A3E-4AE5-853C-29095C72689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A3E-4AE5-853C-29095C72689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A3E-4AE5-853C-29095C7268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CONF'!$A$150:$A$161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JAILSON </c:v>
                </c:pt>
                <c:pt idx="8">
                  <c:v>Pablyne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CONF'!$B$150:$B$161</c:f>
              <c:numCache>
                <c:formatCode>General</c:formatCode>
                <c:ptCount val="11"/>
                <c:pt idx="0">
                  <c:v>1747</c:v>
                </c:pt>
                <c:pt idx="1">
                  <c:v>1385</c:v>
                </c:pt>
                <c:pt idx="2">
                  <c:v>890</c:v>
                </c:pt>
                <c:pt idx="3">
                  <c:v>647</c:v>
                </c:pt>
                <c:pt idx="4">
                  <c:v>474</c:v>
                </c:pt>
                <c:pt idx="5">
                  <c:v>186</c:v>
                </c:pt>
                <c:pt idx="6">
                  <c:v>70</c:v>
                </c:pt>
                <c:pt idx="7">
                  <c:v>32</c:v>
                </c:pt>
                <c:pt idx="8">
                  <c:v>29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3E-4AE5-853C-29095C72689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85725</xdr:colOff>
      <xdr:row>0</xdr:row>
      <xdr:rowOff>1</xdr:rowOff>
    </xdr:from>
    <xdr:to>
      <xdr:col>8</xdr:col>
      <xdr:colOff>542925</xdr:colOff>
      <xdr:row>11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T 1">
              <a:extLst>
                <a:ext uri="{FF2B5EF4-FFF2-40B4-BE49-F238E27FC236}">
                  <a16:creationId xmlns:a16="http://schemas.microsoft.com/office/drawing/2014/main" id="{BB8C9564-684D-4ADC-8BAA-20A05EBF8E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0675" y="1"/>
              <a:ext cx="16764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155277</xdr:colOff>
      <xdr:row>24</xdr:row>
      <xdr:rowOff>132452</xdr:rowOff>
    </xdr:from>
    <xdr:to>
      <xdr:col>11</xdr:col>
      <xdr:colOff>583901</xdr:colOff>
      <xdr:row>48</xdr:row>
      <xdr:rowOff>18152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627931A4-940D-4E91-92EA-F366C8B546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07639" y="1943999"/>
              <a:ext cx="1670828" cy="24218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452436</xdr:colOff>
      <xdr:row>1</xdr:row>
      <xdr:rowOff>170257</xdr:rowOff>
    </xdr:from>
    <xdr:to>
      <xdr:col>17</xdr:col>
      <xdr:colOff>226217</xdr:colOff>
      <xdr:row>38</xdr:row>
      <xdr:rowOff>21167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7B7959-3832-45FC-A687-136F8083C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40</xdr:row>
      <xdr:rowOff>137584</xdr:rowOff>
    </xdr:from>
    <xdr:to>
      <xdr:col>18</xdr:col>
      <xdr:colOff>329405</xdr:colOff>
      <xdr:row>68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579BD0-B7E3-4862-B8F3-6718F36EE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88</xdr:row>
      <xdr:rowOff>78316</xdr:rowOff>
    </xdr:from>
    <xdr:to>
      <xdr:col>9</xdr:col>
      <xdr:colOff>190503</xdr:colOff>
      <xdr:row>113</xdr:row>
      <xdr:rowOff>179917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745BB2-250D-4A94-B438-256CDA3F1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490538</xdr:colOff>
      <xdr:row>44</xdr:row>
      <xdr:rowOff>78581</xdr:rowOff>
    </xdr:from>
    <xdr:to>
      <xdr:col>4</xdr:col>
      <xdr:colOff>1344352</xdr:colOff>
      <xdr:row>58</xdr:row>
      <xdr:rowOff>126206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ATA">
              <a:extLst>
                <a:ext uri="{FF2B5EF4-FFF2-40B4-BE49-F238E27FC236}">
                  <a16:creationId xmlns:a16="http://schemas.microsoft.com/office/drawing/2014/main" id="{70FE85D8-2A46-4082-8CD3-37C091432F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3431" y="7902688"/>
              <a:ext cx="183352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89</xdr:row>
      <xdr:rowOff>7144</xdr:rowOff>
    </xdr:from>
    <xdr:to>
      <xdr:col>2</xdr:col>
      <xdr:colOff>2050257</xdr:colOff>
      <xdr:row>103</xdr:row>
      <xdr:rowOff>54769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1">
              <a:extLst>
                <a:ext uri="{FF2B5EF4-FFF2-40B4-BE49-F238E27FC236}">
                  <a16:creationId xmlns:a16="http://schemas.microsoft.com/office/drawing/2014/main" id="{3E0EBD5C-8B24-44F3-A4A7-97A2AC9DB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5707" y="1579143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115</xdr:row>
      <xdr:rowOff>146447</xdr:rowOff>
    </xdr:from>
    <xdr:to>
      <xdr:col>9</xdr:col>
      <xdr:colOff>285750</xdr:colOff>
      <xdr:row>145</xdr:row>
      <xdr:rowOff>130969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86D1CF-BDF7-449E-BD34-BB65D9E81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121</xdr:row>
      <xdr:rowOff>173831</xdr:rowOff>
    </xdr:from>
    <xdr:to>
      <xdr:col>2</xdr:col>
      <xdr:colOff>1919287</xdr:colOff>
      <xdr:row>136</xdr:row>
      <xdr:rowOff>44563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 2">
              <a:extLst>
                <a:ext uri="{FF2B5EF4-FFF2-40B4-BE49-F238E27FC236}">
                  <a16:creationId xmlns:a16="http://schemas.microsoft.com/office/drawing/2014/main" id="{68AD3A9C-14C7-45A2-8185-46F872900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4737" y="2161868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226218</xdr:colOff>
      <xdr:row>38</xdr:row>
      <xdr:rowOff>23813</xdr:rowOff>
    </xdr:from>
    <xdr:to>
      <xdr:col>4</xdr:col>
      <xdr:colOff>416717</xdr:colOff>
      <xdr:row>43</xdr:row>
      <xdr:rowOff>130969</xdr:rowOff>
    </xdr:to>
    <xdr:sp macro="[0]!EstaPastaDeTrabalho.Atualizar_Todas_Tabelas_Dinamicas" textlink="">
      <xdr:nvSpPr>
        <xdr:cNvPr id="9" name="Retângulo 8">
          <a:extLst>
            <a:ext uri="{FF2B5EF4-FFF2-40B4-BE49-F238E27FC236}">
              <a16:creationId xmlns:a16="http://schemas.microsoft.com/office/drawing/2014/main" id="{4907002B-0D53-4728-B316-D07BD4B03AC5}"/>
            </a:ext>
          </a:extLst>
        </xdr:cNvPr>
        <xdr:cNvSpPr/>
      </xdr:nvSpPr>
      <xdr:spPr>
        <a:xfrm>
          <a:off x="4160043" y="7272338"/>
          <a:ext cx="3914774" cy="10596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/>
            <a:t>ATUALIZAR </a:t>
          </a:r>
          <a:endParaRPr lang="pt-BR" sz="2000" b="1"/>
        </a:p>
      </xdr:txBody>
    </xdr:sp>
    <xdr:clientData/>
  </xdr:twoCellAnchor>
  <xdr:twoCellAnchor editAs="oneCell">
    <xdr:from>
      <xdr:col>2</xdr:col>
      <xdr:colOff>1007269</xdr:colOff>
      <xdr:row>156</xdr:row>
      <xdr:rowOff>0</xdr:rowOff>
    </xdr:from>
    <xdr:to>
      <xdr:col>2</xdr:col>
      <xdr:colOff>2461680</xdr:colOff>
      <xdr:row>170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ATA 4">
              <a:extLst>
                <a:ext uri="{FF2B5EF4-FFF2-40B4-BE49-F238E27FC236}">
                  <a16:creationId xmlns:a16="http://schemas.microsoft.com/office/drawing/2014/main" id="{8DC265D8-65C8-4205-8A96-CD46E56A8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1519" y="27676929"/>
              <a:ext cx="1808197" cy="2530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625929</xdr:colOff>
      <xdr:row>141</xdr:row>
      <xdr:rowOff>118384</xdr:rowOff>
    </xdr:from>
    <xdr:to>
      <xdr:col>2</xdr:col>
      <xdr:colOff>2397579</xdr:colOff>
      <xdr:row>147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ÊS 2">
              <a:extLst>
                <a:ext uri="{FF2B5EF4-FFF2-40B4-BE49-F238E27FC236}">
                  <a16:creationId xmlns:a16="http://schemas.microsoft.com/office/drawing/2014/main" id="{64B1F5C3-5985-4FCE-9D20-0E0450DCF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0179" y="25101098"/>
              <a:ext cx="1828800" cy="1011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685799</xdr:colOff>
      <xdr:row>27</xdr:row>
      <xdr:rowOff>119063</xdr:rowOff>
    </xdr:from>
    <xdr:to>
      <xdr:col>3</xdr:col>
      <xdr:colOff>1272682</xdr:colOff>
      <xdr:row>41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LABORADOR">
              <a:extLst>
                <a:ext uri="{FF2B5EF4-FFF2-40B4-BE49-F238E27FC236}">
                  <a16:creationId xmlns:a16="http://schemas.microsoft.com/office/drawing/2014/main" id="{A311893B-306D-4E1F-BDC3-FD376D14F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1987" y="4941094"/>
              <a:ext cx="2789539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452436</xdr:colOff>
      <xdr:row>27</xdr:row>
      <xdr:rowOff>170257</xdr:rowOff>
    </xdr:from>
    <xdr:to>
      <xdr:col>20</xdr:col>
      <xdr:colOff>226217</xdr:colOff>
      <xdr:row>58</xdr:row>
      <xdr:rowOff>21167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246ADC-0C5F-44CF-B3E7-AC062154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60</xdr:row>
      <xdr:rowOff>137584</xdr:rowOff>
    </xdr:from>
    <xdr:to>
      <xdr:col>21</xdr:col>
      <xdr:colOff>329405</xdr:colOff>
      <xdr:row>88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741AEA-DA22-4D74-9E46-3AC6CFFF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108</xdr:row>
      <xdr:rowOff>78316</xdr:rowOff>
    </xdr:from>
    <xdr:to>
      <xdr:col>12</xdr:col>
      <xdr:colOff>190503</xdr:colOff>
      <xdr:row>133</xdr:row>
      <xdr:rowOff>179917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ADA748-9F24-42F0-A57D-618D56F47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812006</xdr:colOff>
      <xdr:row>64</xdr:row>
      <xdr:rowOff>150019</xdr:rowOff>
    </xdr:from>
    <xdr:to>
      <xdr:col>4</xdr:col>
      <xdr:colOff>1026272</xdr:colOff>
      <xdr:row>78</xdr:row>
      <xdr:rowOff>173832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3">
              <a:extLst>
                <a:ext uri="{FF2B5EF4-FFF2-40B4-BE49-F238E27FC236}">
                  <a16:creationId xmlns:a16="http://schemas.microsoft.com/office/drawing/2014/main" id="{E7E75496-9761-45DE-A49B-8FE324DFD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0" y="1160383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109</xdr:row>
      <xdr:rowOff>7144</xdr:rowOff>
    </xdr:from>
    <xdr:to>
      <xdr:col>2</xdr:col>
      <xdr:colOff>1989872</xdr:colOff>
      <xdr:row>123</xdr:row>
      <xdr:rowOff>30956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 5">
              <a:extLst>
                <a:ext uri="{FF2B5EF4-FFF2-40B4-BE49-F238E27FC236}">
                  <a16:creationId xmlns:a16="http://schemas.microsoft.com/office/drawing/2014/main" id="{B3E73C9B-1865-4DD2-8E50-B8AD16D99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7645" y="1949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135</xdr:row>
      <xdr:rowOff>146447</xdr:rowOff>
    </xdr:from>
    <xdr:to>
      <xdr:col>12</xdr:col>
      <xdr:colOff>285750</xdr:colOff>
      <xdr:row>165</xdr:row>
      <xdr:rowOff>130969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A7E7A9-369F-46F8-AEAB-746E65C5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141</xdr:row>
      <xdr:rowOff>173831</xdr:rowOff>
    </xdr:from>
    <xdr:to>
      <xdr:col>2</xdr:col>
      <xdr:colOff>1919287</xdr:colOff>
      <xdr:row>156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ATA 6">
              <a:extLst>
                <a:ext uri="{FF2B5EF4-FFF2-40B4-BE49-F238E27FC236}">
                  <a16:creationId xmlns:a16="http://schemas.microsoft.com/office/drawing/2014/main" id="{DFEEA60F-7699-4D80-A3E5-BA4E08554F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2537936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RECEBIMENT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SEPARACAO%20(2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CONFERENCIA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098163773146" createdVersion="7" refreshedVersion="7" minRefreshableVersion="3" recordCount="306" xr:uid="{0F7E4C67-1F41-4A5A-8BE1-920933C946C4}">
  <cacheSource type="worksheet">
    <worksheetSource name="Tabela1" r:id="rId2"/>
  </cacheSource>
  <cacheFields count="23">
    <cacheField name="MÊS" numFmtId="165">
      <sharedItems count="6">
        <s v="JANEIRO"/>
        <s v="FEVEREIRO"/>
        <s v="AGOSTO" u="1"/>
        <s v="OUTUBRO" u="1"/>
        <s v="SETEMBRO" u="1"/>
        <s v="DEZEMBRO" u="1"/>
      </sharedItems>
    </cacheField>
    <cacheField name="SEMANA" numFmtId="165">
      <sharedItems containsBlank="1" count="5">
        <s v="1 SEMANA"/>
        <s v="2 SEMANA"/>
        <s v="3 SEMANA"/>
        <s v="4 SEMANA"/>
        <m u="1"/>
      </sharedItems>
    </cacheField>
    <cacheField name="DATA PEDIDO" numFmtId="14">
      <sharedItems containsSemiMixedTypes="0" containsNonDate="0" containsDate="1" containsString="0" minDate="2025-01-13T00:00:00" maxDate="2026-03-01T00:00:00" count="122">
        <d v="2025-12-31T00:00:00"/>
        <d v="2025-12-29T00:00:00"/>
        <d v="2025-12-22T00:00:00"/>
        <d v="2025-12-30T00:00:00"/>
        <d v="2025-12-26T00:00:00"/>
        <d v="2025-12-27T00:00:00"/>
        <d v="2026-01-03T00:00:00"/>
        <d v="2026-01-02T00:00:00"/>
        <d v="2026-01-05T00:00:00"/>
        <d v="2026-01-07T00:00:00"/>
        <d v="2026-01-08T00:00:00"/>
        <d v="2025-12-09T00:00:00"/>
        <d v="2026-01-14T00:00:00"/>
        <d v="2026-01-12T00:00:00"/>
        <d v="2026-01-15T00:00:00"/>
        <d v="2026-01-16T00:00:00"/>
        <d v="2026-01-17T00:00:00"/>
        <d v="2026-01-13T00:00:00"/>
        <d v="2025-12-24T00:00:00"/>
        <d v="2025-01-13T00:00:00"/>
        <d v="2026-01-28T00:00:00"/>
        <d v="2026-01-30T00:00:00"/>
        <d v="2026-01-29T00:00:00"/>
        <d v="2026-01-31T00:00:00"/>
        <d v="2026-02-03T00:00:00"/>
        <d v="2026-02-07T00:00:00"/>
        <d v="2026-02-05T00:00:00"/>
        <d v="2026-02-06T00:00:00"/>
        <d v="2026-02-04T00:00:00"/>
        <d v="2026-01-26T00:00:00"/>
        <d v="2026-01-22T00:00:00"/>
        <d v="2026-02-02T00:00:00"/>
        <d v="2026-02-09T00:00:00"/>
        <d v="2026-02-10T00:00:00"/>
        <d v="2026-02-11T00:00:00"/>
        <d v="2026-02-12T00:00:00"/>
        <d v="2026-02-13T00:00:00"/>
        <d v="2026-02-14T00:00:00"/>
        <d v="2026-02-18T00:00:00"/>
        <d v="2026-02-16T00:00:00"/>
        <d v="2026-02-20T00:00:00"/>
        <d v="2026-02-19T00:00:00"/>
        <d v="2026-02-21T00:00:00"/>
        <d v="2026-02-23T00:00:00"/>
        <d v="2026-02-24T00:00:00"/>
        <d v="2026-02-22T00:00:00"/>
        <d v="2026-02-25T00:00:00"/>
        <d v="2026-02-26T00:00:00"/>
        <d v="2026-02-27T00:00:00"/>
        <d v="2026-02-28T00:00:00"/>
        <d v="2025-10-28T00:00:00" u="1"/>
        <d v="2025-10-24T00:00:00" u="1"/>
        <d v="2025-10-20T00:00:00" u="1"/>
        <d v="2025-10-16T00:00:00" u="1"/>
        <d v="2025-10-12T00:00:00" u="1"/>
        <d v="2025-09-27T00:00:00" u="1"/>
        <d v="2025-10-08T00:00:00" u="1"/>
        <d v="2025-09-23T00:00:00" u="1"/>
        <d v="2025-09-19T00:00:00" u="1"/>
        <d v="2025-12-21T00:00:00" u="1"/>
        <d v="2025-09-15T00:00:00" u="1"/>
        <d v="2025-12-17T00:00:00" u="1"/>
        <d v="2025-08-30T00:00:00" u="1"/>
        <d v="2025-09-11T00:00:00" u="1"/>
        <d v="2025-08-26T00:00:00" u="1"/>
        <d v="2025-11-28T00:00:00" u="1"/>
        <d v="2025-11-24T00:00:00" u="1"/>
        <d v="2025-12-05T00:00:00" u="1"/>
        <d v="2025-12-01T00:00:00" u="1"/>
        <d v="2025-10-19T00:00:00" u="1"/>
        <d v="2025-10-15T00:00:00" u="1"/>
        <d v="2025-09-30T00:00:00" u="1"/>
        <d v="2025-09-26T00:00:00" u="1"/>
        <d v="2025-10-07T00:00:00" u="1"/>
        <d v="2025-09-22T00:00:00" u="1"/>
        <d v="2025-10-03T00:00:00" u="1"/>
        <d v="2025-09-18T00:00:00" u="1"/>
        <d v="2025-12-20T00:00:00" u="1"/>
        <d v="2025-12-16T00:00:00" u="1"/>
        <d v="2025-08-29T00:00:00" u="1"/>
        <d v="2025-09-10T00:00:00" u="1"/>
        <d v="2025-12-12T00:00:00" u="1"/>
        <d v="2025-11-27T00:00:00" u="1"/>
        <d v="2025-12-08T00:00:00" u="1"/>
        <d v="2025-12-04T00:00:00" u="1"/>
        <d v="2025-10-22T00:00:00" u="1"/>
        <d v="2025-10-18T00:00:00" u="1"/>
        <d v="2025-10-14T00:00:00" u="1"/>
        <d v="2025-09-29T00:00:00" u="1"/>
        <d v="2025-10-10T00:00:00" u="1"/>
        <d v="2025-09-25T00:00:00" u="1"/>
        <d v="2025-10-06T00:00:00" u="1"/>
        <d v="2025-09-21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8-28T00:00:00" u="1"/>
        <d v="2025-09-09T00:00:00" u="1"/>
        <d v="2025-12-11T00:00:00" u="1"/>
        <d v="2025-09-05T00:00:00" u="1"/>
        <d v="2025-12-03T00:00:00" u="1"/>
        <d v="2025-08-12T00:00:00" u="1"/>
        <d v="2025-10-21T00:00:00" u="1"/>
        <d v="2025-10-17T00:00:00" u="1"/>
        <d v="2025-10-13T00:00:00" u="1"/>
        <d v="2025-09-28T00:00:00" u="1"/>
        <d v="2025-10-09T00:00:00" u="1"/>
        <d v="2025-09-24T00:00:00" u="1"/>
        <d v="2025-09-20T00:00:00" u="1"/>
        <d v="2025-10-01T00:00:00" u="1"/>
        <d v="2025-09-16T00:00:00" u="1"/>
        <d v="2025-12-18T00:00:00" u="1"/>
        <d v="2025-09-12T00:00:00" u="1"/>
        <d v="2025-11-29T00:00:00" u="1"/>
        <d v="2025-12-10T00:00:00" u="1"/>
        <d v="2025-09-04T00:00:00" u="1"/>
        <d v="2025-12-06T00:00:00" u="1"/>
        <d v="2025-11-21T00:00:00" u="1"/>
        <d v="2025-12-02T00:00:00" u="1"/>
      </sharedItems>
    </cacheField>
    <cacheField name="N° PEDIDO COMPRA" numFmtId="0">
      <sharedItems containsMixedTypes="1" containsNumber="1" containsInteger="1" minValue="7780" maxValue="8342" count="302">
        <n v="7857"/>
        <n v="7837"/>
        <n v="7862"/>
        <n v="7782"/>
        <n v="7780"/>
        <n v="7850"/>
        <n v="7847"/>
        <n v="7824"/>
        <n v="7835"/>
        <n v="7861"/>
        <n v="7860"/>
        <n v="7841"/>
        <n v="7826"/>
        <n v="7840"/>
        <n v="7851"/>
        <n v="7838"/>
        <n v="7859"/>
        <n v="7870"/>
        <n v="7819"/>
        <n v="7868"/>
        <n v="7876"/>
        <n v="7872"/>
        <n v="7871"/>
        <n v="7849"/>
        <n v="7853"/>
        <n v="7866"/>
        <n v="7863"/>
        <n v="7865"/>
        <n v="7880"/>
        <n v="7877"/>
        <n v="7884"/>
        <n v="7882"/>
        <n v="7890"/>
        <n v="7856"/>
        <n v="7888"/>
        <n v="7889"/>
        <n v="7869"/>
        <n v="7878"/>
        <n v="7874"/>
        <n v="7881"/>
        <n v="7893"/>
        <n v="7855"/>
        <n v="7897"/>
        <n v="7895"/>
        <n v="7820"/>
        <n v="7867"/>
        <n v="7892"/>
        <n v="7858"/>
        <n v="7873"/>
        <n v="7891"/>
        <n v="7879"/>
        <n v="7885"/>
        <n v="7898"/>
        <n v="7901"/>
        <n v="7896"/>
        <n v="7935"/>
        <n v="7904"/>
        <n v="7907"/>
        <n v="7902"/>
        <n v="7906"/>
        <n v="7911"/>
        <n v="7924"/>
        <n v="7951"/>
        <n v="7944"/>
        <n v="7948"/>
        <n v="7929"/>
        <n v="7946"/>
        <n v="7949"/>
        <n v="7947"/>
        <n v="7931"/>
        <n v="7960"/>
        <n v="7958"/>
        <n v="7973"/>
        <n v="7937"/>
        <n v="7938"/>
        <n v="7926"/>
        <n v="7917"/>
        <n v="7918"/>
        <n v="7919"/>
        <n v="7956"/>
        <n v="7932"/>
        <n v="7920"/>
        <n v="7887"/>
        <n v="7943"/>
        <n v="7912"/>
        <n v="7905"/>
        <n v="7921"/>
        <n v="7913"/>
        <n v="7914"/>
        <n v="7909"/>
        <n v="7808"/>
        <n v="7916"/>
        <n v="7908"/>
        <n v="7910"/>
        <n v="7923"/>
        <n v="7922"/>
        <n v="8063"/>
        <n v="8087"/>
        <n v="8094"/>
        <n v="8085"/>
        <n v="8089"/>
        <n v="8099"/>
        <n v="8072"/>
        <n v="8078"/>
        <n v="8088"/>
        <n v="8077"/>
        <n v="8097"/>
        <n v="8084"/>
        <n v="8115"/>
        <n v="8175"/>
        <n v="8156"/>
        <n v="8174"/>
        <n v="8143"/>
        <n v="8160"/>
        <n v="8162"/>
        <n v="8149"/>
        <n v="8145"/>
        <n v="8131"/>
        <n v="8142"/>
        <n v="8134"/>
        <n v="8146"/>
        <n v="8155"/>
        <n v="8152"/>
        <n v="8154"/>
        <n v="8144"/>
        <n v="8158"/>
        <n v="8141"/>
        <n v="8150"/>
        <n v="8136"/>
        <n v="8125"/>
        <n v="8118"/>
        <n v="8123"/>
        <n v="8128"/>
        <n v="8126"/>
        <n v="8106"/>
        <n v="8119"/>
        <n v="8129"/>
        <n v="8140"/>
        <n v="8132"/>
        <n v="8130"/>
        <n v="8096"/>
        <n v="8107"/>
        <n v="8111"/>
        <n v="8122"/>
        <n v="8137"/>
        <n v="8112"/>
        <n v="8056"/>
        <n v="8110"/>
        <n v="8113"/>
        <n v="8120"/>
        <n v="8104"/>
        <n v="8105"/>
        <n v="8076"/>
        <n v="8121"/>
        <n v="8102"/>
        <n v="8030"/>
        <n v="8074"/>
        <n v="8103"/>
        <n v="8073"/>
        <n v="8108"/>
        <n v="8090"/>
        <n v="8093"/>
        <n v="8092"/>
        <n v="8117"/>
        <n v="8171"/>
        <n v="8173"/>
        <n v="8157"/>
        <n v="8153"/>
        <n v="8163"/>
        <n v="8164"/>
        <n v="8176"/>
        <n v="8161"/>
        <n v="8177"/>
        <n v="8168"/>
        <n v="8169"/>
        <n v="8187"/>
        <n v="8186"/>
        <n v="8167"/>
        <n v="8151"/>
        <n v="8198"/>
        <n v="8182"/>
        <n v="8195"/>
        <n v="8185"/>
        <n v="8189"/>
        <n v="8180"/>
        <n v="8184"/>
        <n v="8183"/>
        <n v="8204"/>
        <n v="8181"/>
        <n v="8191"/>
        <n v="8205"/>
        <n v="8208"/>
        <n v="8200"/>
        <n v="8209"/>
        <n v="8199"/>
        <n v="8201"/>
        <n v="8196"/>
        <n v="8147"/>
        <n v="8212"/>
        <n v="8203"/>
        <n v="8135"/>
        <n v="8221"/>
        <n v="8165"/>
        <n v="8211"/>
        <n v="8194"/>
        <n v="8222"/>
        <n v="8207"/>
        <n v="8133"/>
        <n v="8202"/>
        <n v="8213"/>
        <n v="8192"/>
        <n v="8219"/>
        <n v="8197"/>
        <n v="8230"/>
        <n v="8216"/>
        <n v="8217"/>
        <n v="8235"/>
        <n v="8225"/>
        <n v="8224"/>
        <n v="8223"/>
        <n v="8229"/>
        <n v="8227"/>
        <n v="8228"/>
        <n v="8236"/>
        <n v="8240"/>
        <n v="8232"/>
        <n v="8231"/>
        <n v="8246"/>
        <n v="8250"/>
        <n v="8237"/>
        <n v="8226"/>
        <n v="8248"/>
        <n v="8249"/>
        <n v="8127"/>
        <n v="8243"/>
        <n v="8239"/>
        <n v="8253"/>
        <n v="8264"/>
        <n v="8247"/>
        <n v="8263"/>
        <n v="8268"/>
        <n v="8245"/>
        <n v="8244"/>
        <n v="8242"/>
        <n v="8241"/>
        <n v="8265"/>
        <n v="8267"/>
        <n v="8266"/>
        <s v="  "/>
        <n v="8252"/>
        <n v="8275"/>
        <n v="8254"/>
        <n v="8288"/>
        <n v="8255"/>
        <n v="8283"/>
        <n v="8285"/>
        <n v="8274"/>
        <n v="8272"/>
        <n v="8273"/>
        <n v="8292"/>
        <n v="8284"/>
        <n v="8269"/>
        <n v="8297"/>
        <n v="8296"/>
        <n v="8277"/>
        <n v="8257"/>
        <n v="8294"/>
        <n v="8301"/>
        <n v="8233"/>
        <n v="8279"/>
        <n v="8278"/>
        <n v="8261"/>
        <n v="8234"/>
        <n v="8262"/>
        <n v="8280"/>
        <n v="8271"/>
        <n v="8293"/>
        <n v="8289"/>
        <n v="8300"/>
        <n v="8304"/>
        <n v="8302"/>
        <n v="8290"/>
        <n v="8295"/>
        <n v="8303"/>
        <n v="8306"/>
        <n v="8310"/>
        <n v="8312"/>
        <n v="8311"/>
        <n v="8320"/>
        <n v="8281"/>
        <n v="8321"/>
        <n v="8307"/>
        <n v="8305"/>
        <n v="8308"/>
        <n v="8256"/>
        <n v="8259"/>
        <n v="8322"/>
        <n v="8342"/>
        <n v="8316"/>
        <n v="8325"/>
        <n v="8332"/>
        <n v="8317"/>
      </sharedItems>
    </cacheField>
    <cacheField name="DATA RECEBIMENTO" numFmtId="14">
      <sharedItems containsSemiMixedTypes="0" containsNonDate="0" containsDate="1" containsString="0" minDate="2025-02-06T00:00:00" maxDate="2026-03-01T00:00:00" count="108">
        <d v="2026-01-02T00:00:00"/>
        <d v="2026-01-05T00:00:00"/>
        <d v="2026-01-06T00:00:00"/>
        <d v="2026-01-07T00:00:00"/>
        <d v="2026-01-08T00:00:00"/>
        <d v="2026-01-09T00:00:00"/>
        <d v="2026-01-16T00:00:00"/>
        <d v="2026-01-13T00:00:00"/>
        <d v="2026-01-12T00:00:00"/>
        <d v="2026-01-19T00:00:00"/>
        <d v="2026-01-15T00:00:00"/>
        <d v="2026-01-14T00:00:00"/>
        <d v="2026-02-02T00:00:00"/>
        <d v="2026-01-31T00:00:00"/>
        <d v="2026-01-30T00:00:00"/>
        <d v="2026-02-03T00:00:00"/>
        <d v="2026-02-09T00:00:00"/>
        <d v="2026-02-06T00:00:00"/>
        <d v="2026-02-05T00:00:00"/>
        <d v="2026-02-04T00:00:00"/>
        <d v="2026-02-10T00:00:00"/>
        <d v="2026-02-11T00:00:00"/>
        <d v="2026-02-12T00:00:00"/>
        <d v="2026-02-13T00:00:00"/>
        <d v="2026-02-14T00:00:00"/>
        <d v="2026-02-16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5-10-24T00:00:00" u="1"/>
        <d v="2025-10-20T00:00:00" u="1"/>
        <d v="2025-10-16T00:00:00" u="1"/>
        <d v="2025-10-12T00:00:00" u="1"/>
        <d v="2025-09-27T00:00:00" u="1"/>
        <d v="2025-12-29T00:00:00" u="1"/>
        <d v="2025-10-08T00:00:00" u="1"/>
        <d v="2025-09-23T00:00:00" u="1"/>
        <d v="2025-09-19T00:00:00" u="1"/>
        <d v="2025-09-15T00:00:00" u="1"/>
        <d v="2025-12-17T00:00:00" u="1"/>
        <d v="2025-09-11T00:00:00" u="1"/>
        <d v="2025-12-13T00:00:00" u="1"/>
        <d v="2025-12-09T00:00:00" u="1"/>
        <d v="2025-09-03T00:00:00" u="1"/>
        <d v="2025-12-05T00:00:00" u="1"/>
        <d v="2025-12-01T00:00:00" u="1"/>
        <d v="2025-02-06T00:00:00" u="1"/>
        <d v="2025-10-23T00:00:00" u="1"/>
        <d v="2025-10-15T00:00:00" u="1"/>
        <d v="2025-09-30T00:00:00" u="1"/>
        <d v="2025-10-11T00:00:00" u="1"/>
        <d v="2025-09-26T00:00:00" u="1"/>
        <d v="2025-10-07T00:00:00" u="1"/>
        <d v="2025-09-22T00:00:00" u="1"/>
        <d v="2025-12-24T00:00:00" u="1"/>
        <d v="2025-10-03T00:00:00" u="1"/>
        <d v="2025-09-18T00:00:00" u="1"/>
        <d v="2025-12-16T00:00:00" u="1"/>
        <d v="2025-09-10T00:00:00" u="1"/>
        <d v="2025-12-12T00:00:00" u="1"/>
        <d v="2025-12-08T00:00:00" u="1"/>
        <d v="2025-09-02T00:00:00" u="1"/>
        <d v="2025-12-04T00:00:00" u="1"/>
        <d v="2025-10-22T00:00:00" u="1"/>
        <d v="2025-10-18T00:00:00" u="1"/>
        <d v="2025-10-14T00:00:00" u="1"/>
        <d v="2025-09-29T00:00:00" u="1"/>
        <d v="2025-12-31T00:00:00" u="1"/>
        <d v="2025-10-10T00:00:00" u="1"/>
        <d v="2025-09-25T00:00:00" u="1"/>
        <d v="2025-10-06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9-09T00:00:00" u="1"/>
        <d v="2025-12-11T00:00:00" u="1"/>
        <d v="2025-09-05T00:00:00" u="1"/>
        <d v="2025-09-01T00:00:00" u="1"/>
        <d v="2025-12-03T00:00:00" u="1"/>
        <d v="2025-10-29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9-20T00:00:00" u="1"/>
        <d v="2025-12-22T00:00:00" u="1"/>
        <d v="2025-10-01T00:00:00" u="1"/>
        <d v="2025-09-16T00:00:00" u="1"/>
        <d v="2025-12-18T00:00:00" u="1"/>
        <d v="2025-09-12T00:00:00" u="1"/>
        <d v="2025-11-29T00:00:00" u="1"/>
        <d v="2025-09-08T00:00:00" u="1"/>
        <d v="2025-12-10T00:00:00" u="1"/>
        <d v="2025-09-04T00:00:00" u="1"/>
        <d v="2025-12-02T00:00:00" u="1"/>
      </sharedItems>
    </cacheField>
    <cacheField name="FORNECEDOR" numFmtId="0">
      <sharedItems containsBlank="1" count="121">
        <s v="DISTRIBUIDORA DE MEDICAMENTOS SANTA"/>
        <s v="REAL DISTRIBUIDORA E LOGISTICA LTDA"/>
        <s v="JRD INDUSTRIA FARMACEUTICA LTDA-"/>
        <s v="G3PHARMA DISTRIBUIDORA DE MEDICAMEN"/>
        <s v="TERRA HOSPITALAR DISTRIBUIDORA DE M"/>
        <s v="PROFARMA DISTRIBUIDORA DE PRODUTOS "/>
        <s v="JN PHARMA DISTRIBUIDORA DE MEDICAME"/>
        <s v="PROFARMA DISTRIBUIDORA DE PRODUTOS"/>
        <s v="ELLO DISTRIBUICAO LTDA-DEMAIS"/>
        <s v="ATIVA COMERCIAL HOSPITALAR LTDA-DEM"/>
        <s v="DISTRIBUIDORA GAMA LTDA-DEMAIS"/>
        <s v="SC DISTRIBUICAO LTDA-DEMAIS(panphar"/>
        <s v="MARTINS COM SERV DISTR SA"/>
        <s v="RD HOSPITALAR LTDA-EPP"/>
        <s v="ESTOQUE MED A LOGISTICA CERTA COMER"/>
        <s v="BIO INSTINTO IND. E COM. DE COS. LT"/>
        <s v="DPC DISTRIBUIDOR ATACADISTA S/A-DEM"/>
        <s v="VIVA COMERCIO E IMPORTACAO LTDA"/>
        <s v="DISTRIBUIDORA BRASIL COML DE PRODUT"/>
        <s v="GOIAS LOGISTICA DE MEDICAMENTOS LTD"/>
        <s v="SERVIMED - ITUMBIARA"/>
        <s v="GENESIO A MENDES &amp; CIA LTDA-DEM"/>
        <s v="MEDCENTRO DISTRIBUIDORA DE PRODUTOS"/>
        <s v="FARMALEV PRODUTOS FARMACEUTICOS LTD"/>
        <s v="DISTRIBEM MED. E MAT. HOSP. LTDA-DE"/>
        <s v="WW DISTRIBUIDORA DE MEDICAMENTOS LT"/>
        <s v="ACCUMED PRODUTOS MEDICO HOSPITALARE"/>
        <s v="URBANIN &amp; NAVARRO LTDA-DEMAIS"/>
        <s v="MAEVE PRODUTOS HOSPITALARES LTDA-DE"/>
        <s v="CIAMED - DISTRIBUIDORA DE MEDICAMEN"/>
        <s v="MACHT COMERCIAL DE ALIMENTOS LTDA-E"/>
        <s v="JPMED DISTRIBUIDORA FARMACEUTICA LT"/>
        <s v="JC DISTRIB. DE PROD. FARMACEUTICOS "/>
        <s v="ED MED COMERCIAL LTDA"/>
        <s v="SUPERMEDICA DISTRIBUIDORA HOSPITALA"/>
        <s v="BRASTERAPICA PHARMACEUTICA LTDA.-DE"/>
        <s v="GOYAZ SERVICE COMERCIO E LOGISTICA "/>
        <s v="MEDICAMENTAL DISTRIBUIDORA LTDA-DEM"/>
        <s v="CIENTIFICA MEDICA HOSPITALAR LTDA-D"/>
        <s v="RIO VERMELHO DISTRIBUICAO DE ALIMEN"/>
        <s v="MULTICANAL ATACADO LTDA -F2"/>
        <s v="VFB BRASIL LTDA-DEMAIS"/>
        <s v="REMORA PRODUTOS PARA SAUDE LTDA-EPP"/>
        <s v="UNIFARMA FARMACEUTICA LTDA-DEMAIS"/>
        <s v="C.A. HOSPITALAR LTDA-DEMAIS"/>
        <s v="ALEXDAN IMPORTACAO E EXPORTACAO LTD"/>
        <s v="HOSPDROGAS COMERCIAL LTDA-DEMAIS"/>
        <s v="FLORA NECTAR INDUSTRIA COMERCIO IMP"/>
        <s v="XWW DISTRIBUIDORA DE MEDICAMENTOS LT"/>
        <s v="CAZI QUIMICA FARMACEUTICA INDUSTRIA"/>
        <s v="B2B PHARMACEUTICA LTDA-ME"/>
        <s v="NATUBRAS INDUSTRIA E COMERCIO DE PR"/>
        <s v="MARTINS COMERCIO E SERVICOS DE DIST"/>
        <s v="MARTINS COM SERV DISTR AS"/>
        <s v="JC DISTRIBUICAO LOGISTICA IMP E EXP"/>
        <s v="3B INDUSTRIA E COMERCIO DE ARTEFATO"/>
        <s v="LINK HOME DISTRIBUIDORA LTDA-EPP"/>
        <s v="ESTOQUE MED TO A LOGISTICA CERTA CO"/>
        <s v="REDE BRASIL DISTRIBUICAO E LOGIST L"/>
        <m u="1"/>
        <s v="LINK MED DISTRIBUIDORA DE MEDICAMEN" u="1"/>
        <s v="WW DISTRIBUIDORA" u="1"/>
        <s v="B2B PHARMACEUTICA" u="1"/>
        <s v="DPC" u="1"/>
        <s v="SUMMA REPRESENTACOES FARMACEUTICAS" u="1"/>
        <s v="LINK MED " u="1"/>
        <s v="MEDCOM COMERCIO DE MEDICAMENTOS HOS" u="1"/>
        <s v="G3 PHARMA" u="1"/>
        <s v="MEDCOM COMERCIO DE MEDICAMENTOS" u="1"/>
        <s v="EB PRODUTOS FARMACEUTICOS LTDA-ME" u="1"/>
        <s v="TERRA HOSPITALAR" u="1"/>
        <s v="PROFARMA" u="1"/>
        <s v="PREMIUM HOSPITALAR LTDA-ME" u="1"/>
        <s v="GOYAZ SERVICE " u="1"/>
        <s v="GDS COMERCIO E DISTRIBUICAO DE MEDI" u="1"/>
        <s v="FARMALEV PRODUTOS FARMACEUTICOS" u="1"/>
        <s v="JN PHARMA" u="1"/>
        <s v="MEDICAMENTAL " u="1"/>
        <s v="VIVA COMERCIO E IMPORTACAO" u="1"/>
        <s v="RECMED COMERCIO DE MAT. HOSPITALARE" u="1"/>
        <s v="AMR COMERCIO " u="1"/>
        <s v="REAL DISTRIBUIDORA" u="1"/>
        <s v="JP MED " u="1"/>
        <s v="REMORA HOSPITALAR" u="1"/>
        <s v="NATUBRAS" u="1"/>
        <s v="ED MED " u="1"/>
        <s v="GAMA " u="1"/>
        <s v="JC DISTRIBUICAO LOGISTICA IMPORTACA" u="1"/>
        <s v="GDS HOSPITALAR" u="1"/>
        <s v="JRD INDUSTRIA" u="1"/>
        <s v="ATIVA COMERCIAL" u="1"/>
        <s v="SPMED DISTRIBUIDORA DE MEDICAMENTOS" u="1"/>
        <s v="GENESIO" u="1"/>
        <s v="SERVIMED" u="1"/>
        <s v="EB FARMACEUTICA" u="1"/>
        <s v="FIA COMERCIO DE PRODUTOS HOSPITALAR" u="1"/>
        <s v="AMR - COMERCIO DE MEDICAMENTOS E PE" u="1"/>
        <s v="DROGAFONTE LTDA-DEMAIS" u="1"/>
        <s v="MCW PRODUTOS MEDICOS E HOSPITALARES" u="1"/>
        <s v="MEDCOM" u="1"/>
        <s v="CIRURGICA MONTEBELLO LTDA-DEMAIS" u="1"/>
        <s v="CA HOSPITALAR " u="1"/>
        <s v="ELGIN DISTRIBUIDORA LTDA" u="1"/>
        <s v="AUREA PHARMACEUTICS LTDA-EPP" u="1"/>
        <s v="TECHLINE COMERCIAL, IMPORTADORA, EX" u="1"/>
        <s v="HOSPFAR" u="1"/>
        <s v="RIO VERMELHO" u="1"/>
        <s v="MED CENTRO" u="1"/>
        <s v="JC DISTRIBUIDORA DE MED" u="1"/>
        <s v="ELFA MEDICAMENTOS" u="1"/>
        <s v="MARTINS" u="1"/>
        <s v="INOVEN INDUSTRIA, COMERCIO E IMPORT" u="1"/>
        <s v="SANIBRAS MEDICAMENTOS E NUTRICAO LT" u="1"/>
        <s v="PAN PHARMA DISTRIBUIDORA DE MEDICAMENTOS" u="1"/>
        <s v="FLORA NECTAR INDUSTRIA" u="1"/>
        <s v="HOSPDROGAS" u="1"/>
        <s v="HOSPFAR INDUSTRIA E COMERCIO DE PRO" u="1"/>
        <s v="COMERCIO DE MEL LIMA LTDA-DEMAIS" u="1"/>
        <s v="GOIAS DISTRIBUIDORA DE MEDICAMENTOS" u="1"/>
        <s v="SANTA CRUZ DISTRIBUIDORA DE MEDICAMENTOS" u="1"/>
        <s v="ELFA MEDICAMENTOS S.A-DEMAIS" u="1"/>
      </sharedItems>
    </cacheField>
    <cacheField name="VOLUMES" numFmtId="0">
      <sharedItems containsSemiMixedTypes="0" containsString="0" containsNumber="1" containsInteger="1" minValue="1" maxValue="625"/>
    </cacheField>
    <cacheField name="STATUS" numFmtId="0">
      <sharedItems count="1">
        <s v="CONFERIDO"/>
      </sharedItems>
    </cacheField>
    <cacheField name="OCORRENCIA" numFmtId="0">
      <sharedItems containsBlank="1" count="11">
        <s v="OK"/>
        <s v="FALTA PRODUTO"/>
        <s v="AVARIA"/>
        <s v="PRODUTO A MAIS "/>
        <s v="SOBRA "/>
        <s v="LOTE"/>
        <s v="AVARIA E FALTA"/>
        <s v="INVERSÃO" u="1"/>
        <m u="1"/>
        <s v="VENC PROXIMO" u="1"/>
        <s v="FALTA VOLUME" u="1"/>
      </sharedItems>
    </cacheField>
    <cacheField name="LEAD TIME FORNECEDOR" numFmtId="0">
      <sharedItems containsSemiMixedTypes="0" containsString="0" containsNumber="1" containsInteger="1" minValue="-1" maxValue="366" count="19">
        <n v="2"/>
        <n v="4"/>
        <n v="11"/>
        <n v="3"/>
        <n v="7"/>
        <n v="6"/>
        <n v="5"/>
        <n v="0"/>
        <n v="1"/>
        <n v="8"/>
        <n v="12"/>
        <n v="30"/>
        <n v="-1"/>
        <n v="21"/>
        <n v="366"/>
        <n v="9"/>
        <n v="15"/>
        <n v="10"/>
        <n v="14"/>
      </sharedItems>
    </cacheField>
    <cacheField name="LEAD TIME DISPONIBILIZACAO" numFmtId="0">
      <sharedItems containsSemiMixedTypes="0" containsString="0" containsNumber="1" containsInteger="1" minValue="-14" maxValue="6" count="17">
        <n v="0"/>
        <n v="3"/>
        <n v="6"/>
        <n v="2"/>
        <n v="1"/>
        <n v="4"/>
        <n v="5"/>
        <n v="-3"/>
        <n v="-1"/>
        <n v="-7"/>
        <n v="-10"/>
        <n v="-5"/>
        <n v="-9"/>
        <n v="-4"/>
        <n v="-2"/>
        <n v="-14"/>
        <n v="-8"/>
      </sharedItems>
    </cacheField>
    <cacheField name="DATA ENTRADA" numFmtId="14">
      <sharedItems containsSemiMixedTypes="0" containsNonDate="0" containsDate="1" containsString="0" minDate="2025-12-31T00:00:00" maxDate="2026-03-01T00:00:00"/>
    </cacheField>
    <cacheField name="PRAZO DISPONIBILIZACAO SISTEMA" numFmtId="0">
      <sharedItems count="2">
        <s v="D+0"/>
        <s v="D+1"/>
      </sharedItems>
    </cacheField>
    <cacheField name="APURACAO LT D+0" numFmtId="0">
      <sharedItems containsSemiMixedTypes="0" containsString="0" containsNumber="1" containsInteger="1" minValue="0" maxValue="1" count="2">
        <n v="1"/>
        <n v="0"/>
      </sharedItems>
    </cacheField>
    <cacheField name="CONFORMIDADE" numFmtId="0">
      <sharedItems count="2">
        <s v="EM CONFORMIDADE"/>
        <s v="NÃO CONFORMIDADE"/>
      </sharedItems>
    </cacheField>
    <cacheField name="CONTAGEM  NÃO CONFORMIDADES" numFmtId="0">
      <sharedItems count="2">
        <s v="0"/>
        <s v="1"/>
      </sharedItems>
    </cacheField>
    <cacheField name="% SLA CONFORMIDADES" numFmtId="10">
      <sharedItems containsSemiMixedTypes="0" containsString="0" containsNumber="1" containsInteger="1" minValue="0" maxValue="1" count="2">
        <n v="1"/>
        <n v="0"/>
      </sharedItems>
    </cacheField>
    <cacheField name="LEAD TIME TOTAL" numFmtId="0">
      <sharedItems containsSemiMixedTypes="0" containsString="0" containsNumber="1" containsInteger="1" minValue="-7" maxValue="367" count="19">
        <n v="0"/>
        <n v="4"/>
        <n v="2"/>
        <n v="9"/>
        <n v="1"/>
        <n v="3"/>
        <n v="7"/>
        <n v="6"/>
        <n v="5"/>
        <n v="17"/>
        <n v="8"/>
        <n v="13"/>
        <n v="12"/>
        <n v="36"/>
        <n v="21"/>
        <n v="367"/>
        <n v="10"/>
        <n v="16"/>
        <n v="-7"/>
      </sharedItems>
    </cacheField>
    <cacheField name="ERRO ANOTACAO" numFmtId="0">
      <sharedItems containsSemiMixedTypes="0" containsString="0" containsNumber="1" containsInteger="1" minValue="0" maxValue="2" count="3">
        <n v="0"/>
        <n v="1"/>
        <n v="2"/>
      </sharedItems>
    </cacheField>
    <cacheField name="DESCR ERRO" numFmtId="0">
      <sharedItems count="3">
        <s v="SEM ERROS"/>
        <s v="ERRO DE ANOTACAO QUANTIDADE"/>
        <s v="QUANTIDADE ANOTADA ERRADO"/>
      </sharedItems>
    </cacheField>
    <cacheField name="ACURA.CONF" numFmtId="0">
      <sharedItems containsSemiMixedTypes="0" containsString="0" containsNumber="1" containsInteger="1" minValue="-1" maxValue="1" count="3">
        <n v="1"/>
        <n v="0"/>
        <n v="-1"/>
      </sharedItems>
    </cacheField>
    <cacheField name="STATUS TRATATIVA" numFmtId="0">
      <sharedItems containsBlank="1" count="2">
        <m/>
        <s v="NOTIFICADO FORNECEDOR"/>
      </sharedItems>
    </cacheField>
    <cacheField name="OPERADOR" numFmtId="0">
      <sharedItems containsBlank="1" count="7">
        <m/>
        <s v="ARMANDO SANTOS"/>
        <s v="JUNIOR "/>
        <s v="PABLYNE"/>
        <s v="WARLEY GABRIEL"/>
        <s v="MARILEUSA"/>
        <s v="DANIEL"/>
      </sharedItems>
    </cacheField>
  </cacheFields>
  <extLst>
    <ext xmlns:x14="http://schemas.microsoft.com/office/spreadsheetml/2009/9/main" uri="{725AE2AE-9491-48be-B2B4-4EB974FC3084}">
      <x14:pivotCacheDefinition pivotCacheId="15890893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41402314817" createdVersion="7" refreshedVersion="7" minRefreshableVersion="3" recordCount="309" xr:uid="{5B448E4B-46B1-4F0A-B14E-A593D52B018A}">
  <cacheSource type="worksheet">
    <worksheetSource name="Tabela3" r:id="rId2"/>
  </cacheSource>
  <cacheFields count="13">
    <cacheField name="DATA" numFmtId="14">
      <sharedItems containsSemiMixedTypes="0" containsNonDate="0" containsDate="1" containsString="0" minDate="2026-01-02T00:00:00" maxDate="2026-03-01T00:00:00" count="49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</sharedItems>
      <fieldGroup par="12" base="0">
        <rangePr groupBy="months" startDate="2026-01-02T00:00:00" endDate="2026-03-0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3/2026"/>
        </groupItems>
      </fieldGroup>
    </cacheField>
    <cacheField name="MÊS" numFmtId="14">
      <sharedItems containsBlank="1" count="14">
        <s v="JANEIRO "/>
        <s v="FEVEREIRO"/>
        <m u="1"/>
        <s v="JANEIRO" u="1"/>
        <s v="ABRIL" u="1"/>
        <s v="JULHO" u="1"/>
        <s v="DEZEMBRO" u="1"/>
        <s v="OUTUBRO" u="1"/>
        <s v="JUNHO" u="1"/>
        <s v="SETEMBRO" u="1"/>
        <s v="MAIO" u="1"/>
        <s v="NOVEMBRO" u="1"/>
        <s v="AGOSTO" u="1"/>
        <s v="MARÇO"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unt="32">
        <s v="ARMANDO SANTOS"/>
        <s v="FERNANDO BORGES"/>
        <s v="JOAO VITOR"/>
        <s v="MARILEUZA"/>
        <s v="WARLEY GABRIEL"/>
        <s v="IGOR"/>
        <s v="WILSON JUNIOR"/>
        <s v="RONALDO JOSE"/>
        <s v="JAILSON"/>
        <s v="PABLYNE SANTANA"/>
        <s v="GUILHERME HENRIQUE"/>
        <s v="LUCAS GABRIEL" u="1"/>
        <s v="JONAILSON" u="1"/>
        <s v="VINICIUS CAMARGO" u="1"/>
        <s v="JOAO VITOR ZANOTTO" u="1"/>
        <s v="Armando" u="1"/>
        <s v="LUIS SOARES" u="1"/>
        <s v="RAUL IZIQUIEL" u="1"/>
        <s v="CAUA BATISTA" u="1"/>
        <s v="JAILSON FERNANDES" u="1"/>
        <s v="TESTE - IGOR" u="1"/>
        <s v=" " u="1"/>
        <s v="Pablyne" u="1"/>
        <s v="FABRICIO OLIVEIRA" u="1"/>
        <s v="Warley" u="1"/>
        <s v="DAVY GABRIEL" u="1"/>
        <s v="VITOR HUGO" u="1"/>
        <s v="Fernando" u="1"/>
        <s v="TESTE - IGOR / FERNANDO" u="1"/>
        <s v="Wilson" u="1"/>
        <s v="Ronaldo " u="1"/>
        <s v="PABLYNE SANTANTA" u="1"/>
      </sharedItems>
    </cacheField>
    <cacheField name="QTD PEDIDOS" numFmtId="0">
      <sharedItems containsSemiMixedTypes="0" containsString="0" containsNumber="1" containsInteger="1" minValue="1" maxValue="76"/>
    </cacheField>
    <cacheField name="SKUS" numFmtId="0">
      <sharedItems containsSemiMixedTypes="0" containsString="0" containsNumber="1" containsInteger="1" minValue="1" maxValue="418"/>
    </cacheField>
    <cacheField name="ITENS SEPARADOS" numFmtId="0">
      <sharedItems containsSemiMixedTypes="0" containsString="0" containsNumber="1" containsInteger="1" minValue="1" maxValue="4294"/>
    </cacheField>
    <cacheField name="MEDIA ITEM SEPARADO POR SKU" numFmtId="1">
      <sharedItems containsSemiMixedTypes="0" containsString="0" containsNumber="1" minValue="1" maxValue="57.9"/>
    </cacheField>
    <cacheField name="MEDIA SKU POR PEDIDO" numFmtId="1">
      <sharedItems containsSemiMixedTypes="0" containsString="0" containsNumber="1" minValue="1" maxValue="16.5"/>
    </cacheField>
    <cacheField name="DESEMPENHO  %" numFmtId="9">
      <sharedItems containsSemiMixedTypes="0" containsString="0" containsNumber="1" minValue="0.96" maxValue="1" count="5">
        <n v="1"/>
        <n v="0.96"/>
        <n v="0.98"/>
        <n v="0.97826086956521741"/>
        <n v="0.96875"/>
      </sharedItems>
    </cacheField>
    <cacheField name="PEDIDOS SEPARADOS ERRADOS" numFmtId="0">
      <sharedItems containsSemiMixedTypes="0" containsString="0" containsNumber="1" containsInteger="1" minValue="0" maxValue="1" count="2">
        <n v="0"/>
        <n v="1"/>
      </sharedItems>
    </cacheField>
    <cacheField name="Trimestres" numFmtId="0" databaseField="0">
      <fieldGroup base="0">
        <rangePr groupBy="quarters" startDate="2026-01-02T00:00:00" endDate="2026-03-01T00:00:00"/>
        <groupItems count="6">
          <s v="&lt;02/01/2026"/>
          <s v="Trim1"/>
          <s v="Trim2"/>
          <s v="Trim3"/>
          <s v="Trim4"/>
          <s v="&gt;01/03/2026"/>
        </groupItems>
      </fieldGroup>
    </cacheField>
    <cacheField name="Anos" numFmtId="0" databaseField="0">
      <fieldGroup base="0">
        <rangePr groupBy="years" startDate="2026-01-02T00:00:00" endDate="2026-03-01T00:00:00"/>
        <groupItems count="3">
          <s v="&lt;02/01/2026"/>
          <s v="2026"/>
          <s v="&gt;01/03/2026"/>
        </groupItems>
      </fieldGroup>
    </cacheField>
  </cacheFields>
  <extLst>
    <ext xmlns:x14="http://schemas.microsoft.com/office/spreadsheetml/2009/9/main" uri="{725AE2AE-9491-48be-B2B4-4EB974FC3084}">
      <x14:pivotCacheDefinition pivotCacheId="196661114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68986111108" createdVersion="7" refreshedVersion="7" minRefreshableVersion="3" recordCount="232" xr:uid="{D372C46D-0B4E-4C5E-9A89-C68695C509C0}">
  <cacheSource type="worksheet">
    <worksheetSource name="Tabela3" r:id="rId2"/>
  </cacheSource>
  <cacheFields count="11">
    <cacheField name="DATA" numFmtId="14">
      <sharedItems containsSemiMixedTypes="0" containsNonDate="0" containsDate="1" containsString="0" minDate="2025-06-02T00:00:00" maxDate="2026-03-01T00:00:00" count="197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  <d v="2025-08-11T00:00:00" u="1"/>
        <d v="2025-11-13T00:00:00" u="1"/>
        <d v="2025-10-28T00:00:00" u="1"/>
        <d v="2025-08-07T00:00:00" u="1"/>
        <d v="2025-10-24T00:00:00" u="1"/>
        <d v="2025-11-05T00:00:00" u="1"/>
        <d v="2025-10-20T00:00:00" u="1"/>
        <d v="2025-11-01T00:00:00" u="1"/>
        <d v="2025-10-16T00:00:00" u="1"/>
        <d v="2025-09-27T00:00:00" u="1"/>
        <d v="2025-12-29T00:00:00" u="1"/>
        <d v="2025-10-08T00:00:00" u="1"/>
        <d v="2025-06-21T00:00:00" u="1"/>
        <d v="2025-09-23T00:00:00" u="1"/>
        <d v="2025-10-04T00:00:00" u="1"/>
        <d v="2025-06-17T00:00:00" u="1"/>
        <d v="2025-09-19T00:00:00" u="1"/>
        <d v="2025-06-13T00:00:00" u="1"/>
        <d v="2025-09-15T00:00:00" u="1"/>
        <d v="2025-12-17T00:00:00" u="1"/>
        <d v="2025-08-30T00:00:00" u="1"/>
        <d v="2025-06-09T00:00:00" u="1"/>
        <d v="2025-09-11T00:00:00" u="1"/>
        <d v="2025-12-13T00:00:00" u="1"/>
        <d v="2025-08-26T00:00:00" u="1"/>
        <d v="2025-06-05T00:00:00" u="1"/>
        <d v="2025-11-28T00:00:00" u="1"/>
        <d v="2025-12-09T00:00:00" u="1"/>
        <d v="2025-08-22T00:00:00" u="1"/>
        <d v="2025-11-24T00:00:00" u="1"/>
        <d v="2025-09-03T00:00:00" u="1"/>
        <d v="2025-12-05T00:00:00" u="1"/>
        <d v="2025-08-18T00:00:00" u="1"/>
        <d v="2025-11-20T00:00:00" u="1"/>
        <d v="2025-12-01T00:00:00" u="1"/>
        <d v="2025-08-14T00:00:00" u="1"/>
        <d v="2025-10-31T00:00:00" u="1"/>
        <d v="2025-11-12T00:00:00" u="1"/>
        <d v="2025-10-27T00:00:00" u="1"/>
        <d v="2025-08-06T00:00:00" u="1"/>
        <d v="2025-11-08T00:00:00" u="1"/>
        <d v="2025-10-23T00:00:00" u="1"/>
        <d v="2025-08-02T00:00:00" u="1"/>
        <d v="2025-11-04T00:00:00" u="1"/>
        <d v="2025-10-15T00:00:00" u="1"/>
        <d v="2025-09-30T00:00:00" u="1"/>
        <d v="2025-10-11T00:00:00" u="1"/>
        <d v="2025-06-24T00:00:00" u="1"/>
        <d v="2025-09-26T00:00:00" u="1"/>
        <d v="2025-10-07T00:00:00" u="1"/>
        <d v="2025-06-20T00:00:00" u="1"/>
        <d v="2025-09-22T00:00:00" u="1"/>
        <d v="2025-12-24T00:00:00" u="1"/>
        <d v="2025-10-03T00:00:00" u="1"/>
        <d v="2025-06-16T00:00:00" u="1"/>
        <d v="2025-09-18T00:00:00" u="1"/>
        <d v="2025-12-20T00:00:00" u="1"/>
        <d v="2025-06-12T00:00:00" u="1"/>
        <d v="2025-12-16T00:00:00" u="1"/>
        <d v="2025-08-29T00:00:00" u="1"/>
        <d v="2025-09-10T00:00:00" u="1"/>
        <d v="2025-12-12T00:00:00" u="1"/>
        <d v="2025-08-25T00:00:00" u="1"/>
        <d v="2025-06-04T00:00:00" u="1"/>
        <d v="2025-11-27T00:00:00" u="1"/>
        <d v="2025-09-06T00:00:00" u="1"/>
        <d v="2025-12-08T00:00:00" u="1"/>
        <d v="2025-08-21T00:00:00" u="1"/>
        <d v="2025-09-02T00:00:00" u="1"/>
        <d v="2025-12-04T00:00:00" u="1"/>
        <d v="2025-11-19T00:00:00" u="1"/>
        <d v="2025-08-13T00:00:00" u="1"/>
        <d v="2025-10-30T00:00:00" u="1"/>
        <d v="2025-08-09T00:00:00" u="1"/>
        <d v="2025-11-11T00:00:00" u="1"/>
        <d v="2025-08-05T00:00:00" u="1"/>
        <d v="2025-11-07T00:00:00" u="1"/>
        <d v="2025-10-22T00:00:00" u="1"/>
        <d v="2025-08-01T00:00:00" u="1"/>
        <d v="2025-11-03T00:00:00" u="1"/>
        <d v="2025-10-18T00:00:00" u="1"/>
        <d v="2025-10-14T00:00:00" u="1"/>
        <d v="2025-09-29T00:00:00" u="1"/>
        <d v="2025-12-31T00:00:00" u="1"/>
        <d v="2025-10-10T00:00:00" u="1"/>
        <d v="2025-06-23T00:00:00" u="1"/>
        <d v="2025-09-25T00:00:00" u="1"/>
        <d v="2025-10-06T00:00:00" u="1"/>
        <d v="2025-06-19T00:00:00" u="1"/>
        <d v="2025-12-23T00:00:00" u="1"/>
        <d v="2025-10-02T00:00:00" u="1"/>
        <d v="2025-09-17T00:00:00" u="1"/>
        <d v="2025-12-19T00:00:00" u="1"/>
        <d v="2025-06-11T00:00:00" u="1"/>
        <d v="2025-09-13T00:00:00" u="1"/>
        <d v="2025-12-15T00:00:00" u="1"/>
        <d v="2025-08-28T00:00:00" u="1"/>
        <d v="2025-06-07T00:00:00" u="1"/>
        <d v="2025-09-09T00:00:00" u="1"/>
        <d v="2025-12-11T00:00:00" u="1"/>
        <d v="2025-06-03T00:00:00" u="1"/>
        <d v="2025-11-26T00:00:00" u="1"/>
        <d v="2025-09-05T00:00:00" u="1"/>
        <d v="2025-08-20T00:00:00" u="1"/>
        <d v="2025-11-22T00:00:00" u="1"/>
        <d v="2025-09-01T00:00:00" u="1"/>
        <d v="2025-12-03T00:00:00" u="1"/>
        <d v="2025-08-16T00:00:00" u="1"/>
        <d v="2025-11-18T00:00:00" u="1"/>
        <d v="2025-08-12T00:00:00" u="1"/>
        <d v="2025-11-14T00:00:00" u="1"/>
        <d v="2025-10-29T00:00:00" u="1"/>
        <d v="2025-08-08T00:00:00" u="1"/>
        <d v="2025-11-10T00:00:00" u="1"/>
        <d v="2025-10-25T00:00:00" u="1"/>
        <d v="2025-08-04T00:00:00" u="1"/>
        <d v="2025-11-06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6-18T00:00:00" u="1"/>
        <d v="2025-09-20T00:00:00" u="1"/>
        <d v="2025-12-22T00:00:00" u="1"/>
        <d v="2025-10-01T00:00:00" u="1"/>
        <d v="2025-06-14T00:00:00" u="1"/>
        <d v="2025-09-16T00:00:00" u="1"/>
        <d v="2025-12-18T00:00:00" u="1"/>
        <d v="2025-06-10T00:00:00" u="1"/>
        <d v="2025-09-12T00:00:00" u="1"/>
        <d v="2025-08-27T00:00:00" u="1"/>
        <d v="2025-06-06T00:00:00" u="1"/>
        <d v="2025-11-29T00:00:00" u="1"/>
        <d v="2025-09-08T00:00:00" u="1"/>
        <d v="2025-12-10T00:00:00" u="1"/>
        <d v="2025-08-23T00:00:00" u="1"/>
        <d v="2025-06-02T00:00:00" u="1"/>
        <d v="2025-11-25T00:00:00" u="1"/>
        <d v="2025-09-04T00:00:00" u="1"/>
        <d v="2025-12-06T00:00:00" u="1"/>
        <d v="2025-08-19T00:00:00" u="1"/>
        <d v="2025-11-21T00:00:00" u="1"/>
        <d v="2025-12-02T00:00:00" u="1"/>
        <d v="2025-08-15T00:00:00" u="1"/>
        <d v="2025-11-17T00:00:00" u="1"/>
      </sharedItems>
    </cacheField>
    <cacheField name="MÊS" numFmtId="14">
      <sharedItems containsBlank="1" count="3">
        <s v="JANEIRO "/>
        <s v="FEVEREIRO"/>
        <m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ntainsBlank="1" count="31">
        <s v="Armando"/>
        <s v="Fernando"/>
        <s v="Joao Vitor"/>
        <s v="Marileuza"/>
        <s v="Igor"/>
        <s v="Wilson"/>
        <s v="Ronaldo "/>
        <s v="Pablyne"/>
        <s v="JAILSON "/>
        <s v="WARLEY GABRIEL"/>
        <s v="GUIILHERME HENRIQUE"/>
        <m u="1"/>
        <s v="Lucas" u="1"/>
        <s v="LUCAS GABRIEL" u="1"/>
        <s v="Jonailson" u="1"/>
        <s v="João" u="1"/>
        <s v="VINICIUS CAMARGO" u="1"/>
        <s v="JOAO VITOR ZANOTTO" u="1"/>
        <s v="Davy" u="1"/>
        <s v="Vitor" u="1"/>
        <s v="Luis" u="1"/>
        <s v="Fabricio" u="1"/>
        <s v="LUIS SOARES" u="1"/>
        <s v="RAUL IZIQUIEL" u="1"/>
        <s v="Raul" u="1"/>
        <s v="CAUA BATISTA" u="1"/>
        <s v="FABRICIO OLIVEIRA" u="1"/>
        <s v="ARMANDO SANTOS" u="1"/>
        <s v="DAVY GABRIEL" u="1"/>
        <s v="VITOR HUGO" u="1"/>
        <s v="WILSON JUNIOR" u="1"/>
      </sharedItems>
    </cacheField>
    <cacheField name="QTD PEDIDOS" numFmtId="0">
      <sharedItems containsSemiMixedTypes="0" containsString="0" containsNumber="1" containsInteger="1" minValue="1" maxValue="120"/>
    </cacheField>
    <cacheField name="SKUS" numFmtId="0">
      <sharedItems containsSemiMixedTypes="0" containsString="0" containsNumber="1" containsInteger="1" minValue="1" maxValue="829"/>
    </cacheField>
    <cacheField name="ITENS SEPARADOS" numFmtId="0">
      <sharedItems containsSemiMixedTypes="0" containsString="0" containsNumber="1" containsInteger="1" minValue="1" maxValue="5083"/>
    </cacheField>
    <cacheField name="MEDIA ITEM SEPARADO POR SKU" numFmtId="1">
      <sharedItems containsSemiMixedTypes="0" containsString="0" containsNumber="1" minValue="1" maxValue="768"/>
    </cacheField>
    <cacheField name="MEDIA SKU POR PEDIDO" numFmtId="1">
      <sharedItems containsSemiMixedTypes="0" containsString="0" containsNumber="1" minValue="1" maxValue="18"/>
    </cacheField>
    <cacheField name="PEDIDOS ERRADOS" numFmtId="1">
      <sharedItems containsString="0" containsBlank="1" containsNumber="1" containsInteger="1" minValue="0" maxValue="1" count="3">
        <n v="0"/>
        <n v="1"/>
        <m/>
      </sharedItems>
    </cacheField>
    <cacheField name="DESEMPENHO  %" numFmtId="10">
      <sharedItems containsSemiMixedTypes="0" containsString="0" containsNumber="1" minValue="0.96666666666666667" maxValue="1" count="4">
        <n v="1"/>
        <n v="0.98275862068965514"/>
        <n v="0.98"/>
        <n v="0.96666666666666667"/>
      </sharedItems>
    </cacheField>
  </cacheFields>
  <extLst>
    <ext xmlns:x14="http://schemas.microsoft.com/office/spreadsheetml/2009/9/main" uri="{725AE2AE-9491-48be-B2B4-4EB974FC3084}">
      <x14:pivotCacheDefinition pivotCacheId="43393267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9.942822337965" createdVersion="7" refreshedVersion="7" minRefreshableVersion="3" recordCount="39" xr:uid="{11E40AA5-6E79-42EA-AA98-7A2BF849A4B0}">
  <cacheSource type="worksheet">
    <worksheetSource name="Tabela3"/>
  </cacheSource>
  <cacheFields count="7">
    <cacheField name="MÊS" numFmtId="0">
      <sharedItems containsBlank="1" count="2">
        <s v="FEVEREIRO"/>
        <m/>
      </sharedItems>
    </cacheField>
    <cacheField name="INDICADOR" numFmtId="0">
      <sharedItems containsBlank="1" count="17">
        <s v="Saldos conciliados (todas as contas)"/>
        <s v="Total de Vendas do Mês "/>
        <s v="Total de recebimentos dentro do mês (conciliados)"/>
        <s v="Total de NF de fornecedores do mês"/>
        <s v="(Salários Liquido + Adiantamentos + Encargos)"/>
        <s v="Total de comissões do mês (Vendedores Externos)"/>
        <s v="Total de comissões do mês (Vendedores Internos)"/>
        <s v="Total de impostos pagos (ICMS + Simples Nacional)"/>
        <s v="Total de pagamentos conciliados"/>
        <s v="Receita total - deduções - custos e despesas variaveis "/>
        <s v="Lucro antes pagamento dívidas, investimentos e sócio"/>
        <s v="DRE gerencial simplificada"/>
        <s v="Maiores receita por cliente / total de vendas"/>
        <s v="Maiores despesas / total de saídas"/>
        <s v="Títulos vencidos/em atraso (quando houver)"/>
        <s v="Agenda financeira / contas a pagar futuras"/>
        <m/>
      </sharedItems>
    </cacheField>
    <cacheField name="META" numFmtId="0">
      <sharedItems containsNonDate="0" containsString="0" containsBlank="1"/>
    </cacheField>
    <cacheField name="VALOR" numFmtId="0">
      <sharedItems containsBlank="1" containsMixedTypes="1" containsNumber="1" minValue="3134.16" maxValue="1796497.92" count="15">
        <n v="99628.87"/>
        <n v="1796497.92"/>
        <n v="1667393.65"/>
        <n v="1301864.8799999999"/>
        <n v="59923.97"/>
        <n v="45081.64"/>
        <n v="3134.16"/>
        <n v="22416.49"/>
        <n v="1606536.6"/>
        <m/>
        <n v="326747.93"/>
        <n v="56091.59"/>
        <n v="152553.56"/>
        <n v="33949.54"/>
        <s v=""/>
      </sharedItems>
    </cacheField>
    <cacheField name="REPRES." numFmtId="0">
      <sharedItems containsNonDate="0" containsString="0" containsBlank="1"/>
    </cacheField>
    <cacheField name="ATING %" numFmtId="0">
      <sharedItems containsNonDate="0" containsString="0" containsBlank="1"/>
    </cacheField>
    <cacheField name="OBSERVAC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988929219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598860069447" createdVersion="6" refreshedVersion="6" minRefreshableVersion="3" recordCount="13" xr:uid="{048B04A1-DBC7-4188-889D-6DCEF7B9981A}">
  <cacheSource type="worksheet">
    <worksheetSource name="Tabela5"/>
  </cacheSource>
  <cacheFields count="4">
    <cacheField name="VENDEDOR" numFmtId="0">
      <sharedItems count="14">
        <s v="AMANDA"/>
        <s v="ANA"/>
        <s v="FLAVIO"/>
        <s v="GABRIEL"/>
        <s v="RODRIGO"/>
        <s v="RAFAEL"/>
        <s v="KARINY"/>
        <s v="IOLANDA"/>
        <s v="JULIA"/>
        <s v="JULIO CESAR"/>
        <s v="RENATO"/>
        <s v="SINIBALDO"/>
        <s v="VICTOR"/>
        <s v="IOLNDA" u="1"/>
      </sharedItems>
    </cacheField>
    <cacheField name="JANEIRO" numFmtId="167">
      <sharedItems containsSemiMixedTypes="0" containsString="0" containsNumber="1" minValue="4466.9799999999996" maxValue="621582.89"/>
    </cacheField>
    <cacheField name="FEVEREIRO" numFmtId="167">
      <sharedItems containsSemiMixedTypes="0" containsString="0" containsNumber="1" minValue="7893.42" maxValue="611361.09"/>
    </cacheField>
    <cacheField name="CRESCIMENTO" numFmtId="10">
      <sharedItems containsSemiMixedTypes="0" containsString="0" containsNumber="1" minValue="-0.18328032379858344" maxValue="3.1362130873521954"/>
    </cacheField>
  </cacheFields>
  <extLst>
    <ext xmlns:x14="http://schemas.microsoft.com/office/spreadsheetml/2009/9/main" uri="{725AE2AE-9491-48be-B2B4-4EB974FC3084}">
      <x14:pivotCacheDefinition pivotCacheId="2016210410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631799421295" createdVersion="6" refreshedVersion="6" minRefreshableVersion="3" recordCount="26" xr:uid="{60948242-0236-4D19-97B9-7B9E6DE3AFF8}">
  <cacheSource type="worksheet">
    <worksheetSource name="Tabela2"/>
  </cacheSource>
  <cacheFields count="7">
    <cacheField name="EQUIPE" numFmtId="0">
      <sharedItems count="4">
        <s v="TELEVENDAS"/>
        <s v="EXTERNO"/>
        <s v="MEDFACIL"/>
        <s v="DIRETORIA"/>
      </sharedItems>
    </cacheField>
    <cacheField name="MÊS" numFmtId="0">
      <sharedItems count="2">
        <s v="JANEIRO"/>
        <s v="FEVEREIRO"/>
      </sharedItems>
    </cacheField>
    <cacheField name="VENDEDOR" numFmtId="49">
      <sharedItems count="13">
        <s v="JULIA"/>
        <s v="ANA"/>
        <s v="AMANDA"/>
        <s v="JULIO CESAR"/>
        <s v="IOLNDA"/>
        <s v="GABRIEL"/>
        <s v="SINIBALDO"/>
        <s v="RENATO"/>
        <s v="FLAVIO"/>
        <s v="VICTOR"/>
        <s v="RAFAEL"/>
        <s v="RODRIGO"/>
        <s v="KARINY"/>
      </sharedItems>
    </cacheField>
    <cacheField name="FATURAMENTO" numFmtId="167">
      <sharedItems containsSemiMixedTypes="0" containsString="0" containsNumber="1" minValue="4466.9799999999996" maxValue="621582.89"/>
    </cacheField>
    <cacheField name="NOVOS CADASTROS " numFmtId="1">
      <sharedItems containsSemiMixedTypes="0" containsString="0" containsNumber="1" containsInteger="1" minValue="0" maxValue="11"/>
    </cacheField>
    <cacheField name="POSITIVADOS " numFmtId="1">
      <sharedItems containsSemiMixedTypes="0" containsString="0" containsNumber="1" containsInteger="1" minValue="0" maxValue="9"/>
    </cacheField>
    <cacheField name="% POSITIVACAO MÊS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 pivotCacheId="491604599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4.890655208335" createdVersion="6" refreshedVersion="6" minRefreshableVersion="3" recordCount="30" xr:uid="{6F3B019C-2C93-4DA0-BE7C-3C71899D8A2F}">
  <cacheSource type="worksheet">
    <worksheetSource name="Tabela7"/>
  </cacheSource>
  <cacheFields count="5">
    <cacheField name="MÊS" numFmtId="14">
      <sharedItems count="2">
        <s v="FEVEREIRO"/>
        <s v="MARÇO"/>
      </sharedItems>
    </cacheField>
    <cacheField name="INDICADOR" numFmtId="0">
      <sharedItems count="13">
        <s v="Caixa disponível"/>
        <s v="Faturamento Bruto (R$) 1520"/>
        <s v="Entradas totais do mês (R$) 1468 Receita Total"/>
        <s v="Compras totais do mês (R$)  1321"/>
        <s v="Impostos do Mês 1468"/>
        <s v="Saídas totais do mês (R$) 1136"/>
        <s v="Margem de Contribuição "/>
        <s v="Lucro liquido ( regime caixa) 1468"/>
        <s v="Resultado do mês (R$) 1468"/>
        <s v="Top 5 receitas do mês (R$ e %)"/>
        <s v="Top 5 despesas do mês (R$ e %)"/>
        <s v="Inadimplência / atrasos (R$ e qtde)"/>
        <s v="Compromissos do próximo mês (R$)"/>
      </sharedItems>
    </cacheField>
    <cacheField name="PREVISTO" numFmtId="44">
      <sharedItems containsString="0" containsBlank="1" containsNumber="1" minValue="0" maxValue="1667339.8"/>
    </cacheField>
    <cacheField name="REALIZADO" numFmtId="44">
      <sharedItems containsString="0" containsBlank="1" containsNumber="1" minValue="22416.49" maxValue="1796497.92"/>
    </cacheField>
    <cacheField name="PERCT %" numFmtId="10">
      <sharedItems containsSemiMixedTypes="0" containsString="0" containsNumber="1" minValue="0" maxValue="1.374169433801669"/>
    </cacheField>
  </cacheFields>
  <extLst>
    <ext xmlns:x14="http://schemas.microsoft.com/office/spreadsheetml/2009/9/main" uri="{725AE2AE-9491-48be-B2B4-4EB974FC3084}">
      <x14:pivotCacheDefinition pivotCacheId="18954970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x v="0"/>
    <x v="0"/>
    <x v="0"/>
    <x v="0"/>
    <x v="0"/>
    <n v="20"/>
    <x v="0"/>
    <x v="0"/>
    <x v="0"/>
    <x v="0"/>
    <d v="2025-12-31T00:00:00"/>
    <x v="0"/>
    <x v="0"/>
    <x v="0"/>
    <x v="0"/>
    <x v="0"/>
    <x v="0"/>
    <x v="0"/>
    <x v="0"/>
    <x v="0"/>
    <x v="0"/>
    <x v="0"/>
  </r>
  <r>
    <x v="0"/>
    <x v="0"/>
    <x v="1"/>
    <x v="1"/>
    <x v="0"/>
    <x v="1"/>
    <n v="1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2"/>
    <x v="0"/>
    <x v="0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2"/>
    <x v="3"/>
    <x v="0"/>
    <x v="2"/>
    <n v="11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2"/>
    <x v="4"/>
    <x v="0"/>
    <x v="2"/>
    <n v="625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3"/>
    <x v="5"/>
    <x v="0"/>
    <x v="3"/>
    <n v="27"/>
    <x v="0"/>
    <x v="0"/>
    <x v="3"/>
    <x v="0"/>
    <d v="2025-12-31T00:00:00"/>
    <x v="0"/>
    <x v="0"/>
    <x v="0"/>
    <x v="0"/>
    <x v="0"/>
    <x v="4"/>
    <x v="0"/>
    <x v="0"/>
    <x v="0"/>
    <x v="0"/>
    <x v="0"/>
  </r>
  <r>
    <x v="0"/>
    <x v="0"/>
    <x v="3"/>
    <x v="6"/>
    <x v="0"/>
    <x v="4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4"/>
    <x v="7"/>
    <x v="0"/>
    <x v="5"/>
    <n v="5"/>
    <x v="0"/>
    <x v="0"/>
    <x v="4"/>
    <x v="0"/>
    <d v="2026-01-02T00:00:00"/>
    <x v="0"/>
    <x v="0"/>
    <x v="0"/>
    <x v="0"/>
    <x v="0"/>
    <x v="6"/>
    <x v="0"/>
    <x v="0"/>
    <x v="0"/>
    <x v="0"/>
    <x v="0"/>
  </r>
  <r>
    <x v="0"/>
    <x v="0"/>
    <x v="1"/>
    <x v="8"/>
    <x v="0"/>
    <x v="6"/>
    <n v="3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9"/>
    <x v="0"/>
    <x v="5"/>
    <n v="2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0"/>
    <x v="10"/>
    <x v="0"/>
    <x v="7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3"/>
    <x v="11"/>
    <x v="0"/>
    <x v="0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5"/>
    <x v="12"/>
    <x v="0"/>
    <x v="0"/>
    <n v="3"/>
    <x v="0"/>
    <x v="0"/>
    <x v="5"/>
    <x v="0"/>
    <d v="2026-01-02T00:00:00"/>
    <x v="0"/>
    <x v="0"/>
    <x v="0"/>
    <x v="0"/>
    <x v="0"/>
    <x v="7"/>
    <x v="0"/>
    <x v="0"/>
    <x v="0"/>
    <x v="0"/>
    <x v="0"/>
  </r>
  <r>
    <x v="0"/>
    <x v="0"/>
    <x v="1"/>
    <x v="13"/>
    <x v="0"/>
    <x v="8"/>
    <n v="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3"/>
    <x v="14"/>
    <x v="0"/>
    <x v="9"/>
    <n v="28"/>
    <x v="0"/>
    <x v="1"/>
    <x v="3"/>
    <x v="1"/>
    <d v="2026-01-05T00:00:00"/>
    <x v="1"/>
    <x v="1"/>
    <x v="1"/>
    <x v="1"/>
    <x v="1"/>
    <x v="7"/>
    <x v="0"/>
    <x v="0"/>
    <x v="0"/>
    <x v="1"/>
    <x v="0"/>
  </r>
  <r>
    <x v="0"/>
    <x v="0"/>
    <x v="1"/>
    <x v="15"/>
    <x v="0"/>
    <x v="1"/>
    <n v="73"/>
    <x v="0"/>
    <x v="0"/>
    <x v="1"/>
    <x v="1"/>
    <d v="2026-01-05T00:00:00"/>
    <x v="1"/>
    <x v="1"/>
    <x v="0"/>
    <x v="0"/>
    <x v="0"/>
    <x v="6"/>
    <x v="1"/>
    <x v="1"/>
    <x v="1"/>
    <x v="0"/>
    <x v="0"/>
  </r>
  <r>
    <x v="0"/>
    <x v="0"/>
    <x v="0"/>
    <x v="16"/>
    <x v="1"/>
    <x v="10"/>
    <n v="2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6"/>
    <x v="17"/>
    <x v="1"/>
    <x v="11"/>
    <n v="55"/>
    <x v="0"/>
    <x v="2"/>
    <x v="0"/>
    <x v="1"/>
    <d v="2026-01-08T00:00:00"/>
    <x v="1"/>
    <x v="1"/>
    <x v="1"/>
    <x v="1"/>
    <x v="1"/>
    <x v="8"/>
    <x v="0"/>
    <x v="0"/>
    <x v="0"/>
    <x v="1"/>
    <x v="0"/>
  </r>
  <r>
    <x v="0"/>
    <x v="0"/>
    <x v="4"/>
    <x v="18"/>
    <x v="2"/>
    <x v="12"/>
    <n v="15"/>
    <x v="0"/>
    <x v="1"/>
    <x v="2"/>
    <x v="2"/>
    <d v="2026-01-12T00:00:00"/>
    <x v="1"/>
    <x v="1"/>
    <x v="1"/>
    <x v="1"/>
    <x v="1"/>
    <x v="9"/>
    <x v="0"/>
    <x v="0"/>
    <x v="0"/>
    <x v="1"/>
    <x v="0"/>
  </r>
  <r>
    <x v="0"/>
    <x v="0"/>
    <x v="7"/>
    <x v="19"/>
    <x v="0"/>
    <x v="6"/>
    <n v="41"/>
    <x v="0"/>
    <x v="0"/>
    <x v="7"/>
    <x v="1"/>
    <d v="2026-01-05T00:00:00"/>
    <x v="1"/>
    <x v="1"/>
    <x v="0"/>
    <x v="0"/>
    <x v="0"/>
    <x v="5"/>
    <x v="0"/>
    <x v="0"/>
    <x v="0"/>
    <x v="0"/>
    <x v="0"/>
  </r>
  <r>
    <x v="0"/>
    <x v="0"/>
    <x v="8"/>
    <x v="20"/>
    <x v="1"/>
    <x v="13"/>
    <n v="1"/>
    <x v="0"/>
    <x v="0"/>
    <x v="7"/>
    <x v="0"/>
    <d v="2026-01-05T00:00:00"/>
    <x v="0"/>
    <x v="0"/>
    <x v="0"/>
    <x v="0"/>
    <x v="0"/>
    <x v="0"/>
    <x v="0"/>
    <x v="0"/>
    <x v="0"/>
    <x v="0"/>
    <x v="0"/>
  </r>
  <r>
    <x v="0"/>
    <x v="0"/>
    <x v="8"/>
    <x v="21"/>
    <x v="1"/>
    <x v="14"/>
    <n v="1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6"/>
    <x v="22"/>
    <x v="1"/>
    <x v="1"/>
    <n v="23"/>
    <x v="0"/>
    <x v="0"/>
    <x v="0"/>
    <x v="3"/>
    <d v="2026-01-07T00:00:00"/>
    <x v="1"/>
    <x v="1"/>
    <x v="0"/>
    <x v="0"/>
    <x v="0"/>
    <x v="1"/>
    <x v="0"/>
    <x v="0"/>
    <x v="0"/>
    <x v="0"/>
    <x v="0"/>
  </r>
  <r>
    <x v="0"/>
    <x v="0"/>
    <x v="3"/>
    <x v="23"/>
    <x v="1"/>
    <x v="15"/>
    <n v="30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3"/>
    <x v="24"/>
    <x v="1"/>
    <x v="16"/>
    <n v="3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7"/>
    <x v="25"/>
    <x v="1"/>
    <x v="12"/>
    <n v="5"/>
    <x v="0"/>
    <x v="0"/>
    <x v="3"/>
    <x v="3"/>
    <d v="2026-01-07T00:00:00"/>
    <x v="1"/>
    <x v="1"/>
    <x v="0"/>
    <x v="0"/>
    <x v="0"/>
    <x v="8"/>
    <x v="0"/>
    <x v="0"/>
    <x v="0"/>
    <x v="0"/>
    <x v="0"/>
  </r>
  <r>
    <x v="0"/>
    <x v="0"/>
    <x v="0"/>
    <x v="26"/>
    <x v="1"/>
    <x v="17"/>
    <n v="11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7"/>
    <x v="27"/>
    <x v="2"/>
    <x v="5"/>
    <n v="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28"/>
    <x v="2"/>
    <x v="5"/>
    <n v="7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29"/>
    <x v="2"/>
    <x v="18"/>
    <n v="20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0"/>
    <x v="2"/>
    <x v="18"/>
    <n v="14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1"/>
    <x v="2"/>
    <x v="5"/>
    <n v="2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32"/>
    <x v="3"/>
    <x v="19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33"/>
    <x v="2"/>
    <x v="20"/>
    <n v="3"/>
    <x v="0"/>
    <x v="0"/>
    <x v="4"/>
    <x v="3"/>
    <d v="2026-01-08T00:00:00"/>
    <x v="1"/>
    <x v="1"/>
    <x v="0"/>
    <x v="0"/>
    <x v="0"/>
    <x v="3"/>
    <x v="0"/>
    <x v="0"/>
    <x v="0"/>
    <x v="0"/>
    <x v="0"/>
  </r>
  <r>
    <x v="0"/>
    <x v="0"/>
    <x v="9"/>
    <x v="34"/>
    <x v="3"/>
    <x v="21"/>
    <n v="4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9"/>
    <x v="35"/>
    <x v="3"/>
    <x v="21"/>
    <n v="10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7"/>
    <x v="36"/>
    <x v="2"/>
    <x v="16"/>
    <n v="1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37"/>
    <x v="2"/>
    <x v="21"/>
    <n v="10"/>
    <x v="0"/>
    <x v="2"/>
    <x v="8"/>
    <x v="3"/>
    <d v="2026-01-08T00:00:00"/>
    <x v="1"/>
    <x v="1"/>
    <x v="1"/>
    <x v="1"/>
    <x v="1"/>
    <x v="5"/>
    <x v="0"/>
    <x v="0"/>
    <x v="0"/>
    <x v="0"/>
    <x v="0"/>
  </r>
  <r>
    <x v="0"/>
    <x v="0"/>
    <x v="8"/>
    <x v="38"/>
    <x v="2"/>
    <x v="4"/>
    <n v="1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9"/>
    <x v="2"/>
    <x v="22"/>
    <n v="13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40"/>
    <x v="3"/>
    <x v="23"/>
    <n v="7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41"/>
    <x v="3"/>
    <x v="24"/>
    <n v="9"/>
    <x v="0"/>
    <x v="0"/>
    <x v="9"/>
    <x v="4"/>
    <d v="2026-01-08T00:00:00"/>
    <x v="1"/>
    <x v="1"/>
    <x v="0"/>
    <x v="0"/>
    <x v="0"/>
    <x v="3"/>
    <x v="0"/>
    <x v="0"/>
    <x v="0"/>
    <x v="0"/>
    <x v="0"/>
  </r>
  <r>
    <x v="0"/>
    <x v="0"/>
    <x v="10"/>
    <x v="42"/>
    <x v="4"/>
    <x v="21"/>
    <n v="10"/>
    <x v="0"/>
    <x v="2"/>
    <x v="7"/>
    <x v="5"/>
    <d v="2026-01-12T00:00:00"/>
    <x v="1"/>
    <x v="1"/>
    <x v="1"/>
    <x v="1"/>
    <x v="1"/>
    <x v="1"/>
    <x v="0"/>
    <x v="0"/>
    <x v="0"/>
    <x v="0"/>
    <x v="0"/>
  </r>
  <r>
    <x v="0"/>
    <x v="0"/>
    <x v="8"/>
    <x v="43"/>
    <x v="3"/>
    <x v="25"/>
    <n v="34"/>
    <x v="0"/>
    <x v="0"/>
    <x v="0"/>
    <x v="4"/>
    <d v="2026-01-08T00:00:00"/>
    <x v="1"/>
    <x v="1"/>
    <x v="0"/>
    <x v="0"/>
    <x v="0"/>
    <x v="5"/>
    <x v="0"/>
    <x v="0"/>
    <x v="0"/>
    <x v="0"/>
    <x v="0"/>
  </r>
  <r>
    <x v="0"/>
    <x v="0"/>
    <x v="4"/>
    <x v="44"/>
    <x v="3"/>
    <x v="26"/>
    <n v="5"/>
    <x v="0"/>
    <x v="3"/>
    <x v="10"/>
    <x v="4"/>
    <d v="2026-01-08T00:00:00"/>
    <x v="1"/>
    <x v="1"/>
    <x v="1"/>
    <x v="1"/>
    <x v="1"/>
    <x v="11"/>
    <x v="0"/>
    <x v="0"/>
    <x v="0"/>
    <x v="0"/>
    <x v="0"/>
  </r>
  <r>
    <x v="0"/>
    <x v="0"/>
    <x v="7"/>
    <x v="45"/>
    <x v="3"/>
    <x v="20"/>
    <n v="9"/>
    <x v="0"/>
    <x v="0"/>
    <x v="6"/>
    <x v="4"/>
    <d v="2026-01-08T00:00:00"/>
    <x v="1"/>
    <x v="1"/>
    <x v="0"/>
    <x v="0"/>
    <x v="0"/>
    <x v="7"/>
    <x v="0"/>
    <x v="0"/>
    <x v="0"/>
    <x v="0"/>
    <x v="0"/>
  </r>
  <r>
    <x v="0"/>
    <x v="0"/>
    <x v="9"/>
    <x v="46"/>
    <x v="3"/>
    <x v="27"/>
    <n v="1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0"/>
    <x v="47"/>
    <x v="2"/>
    <x v="21"/>
    <n v="5"/>
    <x v="0"/>
    <x v="0"/>
    <x v="5"/>
    <x v="2"/>
    <d v="2026-01-12T00:00:00"/>
    <x v="1"/>
    <x v="1"/>
    <x v="0"/>
    <x v="0"/>
    <x v="0"/>
    <x v="12"/>
    <x v="0"/>
    <x v="0"/>
    <x v="0"/>
    <x v="0"/>
    <x v="0"/>
  </r>
  <r>
    <x v="0"/>
    <x v="0"/>
    <x v="8"/>
    <x v="48"/>
    <x v="1"/>
    <x v="3"/>
    <n v="4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9"/>
    <x v="49"/>
    <x v="3"/>
    <x v="28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8"/>
    <x v="50"/>
    <x v="4"/>
    <x v="10"/>
    <n v="6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8"/>
    <x v="51"/>
    <x v="4"/>
    <x v="16"/>
    <n v="240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11"/>
    <x v="52"/>
    <x v="4"/>
    <x v="29"/>
    <n v="3"/>
    <x v="0"/>
    <x v="0"/>
    <x v="11"/>
    <x v="2"/>
    <d v="2026-01-14T00:00:00"/>
    <x v="1"/>
    <x v="1"/>
    <x v="0"/>
    <x v="0"/>
    <x v="0"/>
    <x v="13"/>
    <x v="0"/>
    <x v="0"/>
    <x v="0"/>
    <x v="0"/>
    <x v="0"/>
  </r>
  <r>
    <x v="0"/>
    <x v="0"/>
    <x v="10"/>
    <x v="53"/>
    <x v="5"/>
    <x v="30"/>
    <n v="128"/>
    <x v="0"/>
    <x v="4"/>
    <x v="8"/>
    <x v="0"/>
    <d v="2026-01-09T00:00:00"/>
    <x v="0"/>
    <x v="0"/>
    <x v="1"/>
    <x v="1"/>
    <x v="1"/>
    <x v="4"/>
    <x v="0"/>
    <x v="0"/>
    <x v="0"/>
    <x v="0"/>
    <x v="0"/>
  </r>
  <r>
    <x v="0"/>
    <x v="0"/>
    <x v="10"/>
    <x v="54"/>
    <x v="4"/>
    <x v="21"/>
    <n v="5"/>
    <x v="0"/>
    <x v="0"/>
    <x v="7"/>
    <x v="5"/>
    <d v="2026-01-12T00:00:00"/>
    <x v="1"/>
    <x v="1"/>
    <x v="0"/>
    <x v="0"/>
    <x v="0"/>
    <x v="1"/>
    <x v="0"/>
    <x v="0"/>
    <x v="0"/>
    <x v="0"/>
    <x v="0"/>
  </r>
  <r>
    <x v="0"/>
    <x v="1"/>
    <x v="12"/>
    <x v="55"/>
    <x v="6"/>
    <x v="22"/>
    <n v="2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3"/>
    <x v="56"/>
    <x v="7"/>
    <x v="22"/>
    <n v="2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7"/>
    <x v="7"/>
    <x v="22"/>
    <n v="1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8"/>
    <x v="8"/>
    <x v="31"/>
    <n v="17"/>
    <x v="0"/>
    <x v="0"/>
    <x v="7"/>
    <x v="4"/>
    <d v="2026-01-13T00:00:00"/>
    <x v="1"/>
    <x v="1"/>
    <x v="0"/>
    <x v="0"/>
    <x v="0"/>
    <x v="4"/>
    <x v="0"/>
    <x v="0"/>
    <x v="0"/>
    <x v="0"/>
    <x v="0"/>
  </r>
  <r>
    <x v="0"/>
    <x v="1"/>
    <x v="13"/>
    <x v="59"/>
    <x v="7"/>
    <x v="28"/>
    <n v="4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60"/>
    <x v="7"/>
    <x v="28"/>
    <n v="1"/>
    <x v="0"/>
    <x v="0"/>
    <x v="8"/>
    <x v="4"/>
    <d v="2026-01-14T00:00:00"/>
    <x v="1"/>
    <x v="1"/>
    <x v="0"/>
    <x v="0"/>
    <x v="0"/>
    <x v="2"/>
    <x v="0"/>
    <x v="0"/>
    <x v="0"/>
    <x v="0"/>
    <x v="0"/>
  </r>
  <r>
    <x v="0"/>
    <x v="1"/>
    <x v="12"/>
    <x v="61"/>
    <x v="7"/>
    <x v="0"/>
    <n v="1"/>
    <x v="0"/>
    <x v="0"/>
    <x v="12"/>
    <x v="3"/>
    <d v="2026-01-15T00:00:00"/>
    <x v="1"/>
    <x v="1"/>
    <x v="0"/>
    <x v="0"/>
    <x v="0"/>
    <x v="4"/>
    <x v="0"/>
    <x v="0"/>
    <x v="0"/>
    <x v="0"/>
    <x v="0"/>
  </r>
  <r>
    <x v="0"/>
    <x v="1"/>
    <x v="14"/>
    <x v="62"/>
    <x v="6"/>
    <x v="32"/>
    <n v="2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3"/>
    <x v="6"/>
    <x v="22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4"/>
    <x v="6"/>
    <x v="25"/>
    <n v="2"/>
    <x v="0"/>
    <x v="0"/>
    <x v="8"/>
    <x v="0"/>
    <d v="2026-01-16T00:00:00"/>
    <x v="0"/>
    <x v="0"/>
    <x v="0"/>
    <x v="0"/>
    <x v="0"/>
    <x v="4"/>
    <x v="2"/>
    <x v="2"/>
    <x v="2"/>
    <x v="0"/>
    <x v="0"/>
  </r>
  <r>
    <x v="0"/>
    <x v="1"/>
    <x v="12"/>
    <x v="65"/>
    <x v="6"/>
    <x v="18"/>
    <n v="40"/>
    <x v="0"/>
    <x v="0"/>
    <x v="0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66"/>
    <x v="6"/>
    <x v="23"/>
    <n v="8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7"/>
    <x v="6"/>
    <x v="25"/>
    <n v="1"/>
    <x v="0"/>
    <x v="5"/>
    <x v="8"/>
    <x v="0"/>
    <d v="2026-01-16T00:00:00"/>
    <x v="0"/>
    <x v="0"/>
    <x v="1"/>
    <x v="1"/>
    <x v="1"/>
    <x v="4"/>
    <x v="0"/>
    <x v="0"/>
    <x v="0"/>
    <x v="0"/>
    <x v="0"/>
  </r>
  <r>
    <x v="0"/>
    <x v="1"/>
    <x v="14"/>
    <x v="68"/>
    <x v="6"/>
    <x v="5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2"/>
    <x v="69"/>
    <x v="6"/>
    <x v="33"/>
    <n v="9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5"/>
    <x v="70"/>
    <x v="6"/>
    <x v="20"/>
    <n v="1"/>
    <x v="0"/>
    <x v="0"/>
    <x v="7"/>
    <x v="0"/>
    <d v="2026-01-16T00:00:00"/>
    <x v="0"/>
    <x v="0"/>
    <x v="0"/>
    <x v="0"/>
    <x v="0"/>
    <x v="0"/>
    <x v="0"/>
    <x v="0"/>
    <x v="0"/>
    <x v="0"/>
    <x v="0"/>
  </r>
  <r>
    <x v="0"/>
    <x v="1"/>
    <x v="14"/>
    <x v="71"/>
    <x v="6"/>
    <x v="12"/>
    <n v="2"/>
    <x v="0"/>
    <x v="0"/>
    <x v="8"/>
    <x v="0"/>
    <d v="2026-01-16T00:00:00"/>
    <x v="0"/>
    <x v="0"/>
    <x v="0"/>
    <x v="0"/>
    <x v="0"/>
    <x v="4"/>
    <x v="1"/>
    <x v="2"/>
    <x v="1"/>
    <x v="0"/>
    <x v="0"/>
  </r>
  <r>
    <x v="0"/>
    <x v="2"/>
    <x v="16"/>
    <x v="72"/>
    <x v="9"/>
    <x v="34"/>
    <n v="12"/>
    <x v="0"/>
    <x v="0"/>
    <x v="0"/>
    <x v="0"/>
    <d v="2026-01-19T00:00:00"/>
    <x v="0"/>
    <x v="0"/>
    <x v="0"/>
    <x v="0"/>
    <x v="0"/>
    <x v="2"/>
    <x v="0"/>
    <x v="0"/>
    <x v="0"/>
    <x v="0"/>
    <x v="0"/>
  </r>
  <r>
    <x v="0"/>
    <x v="1"/>
    <x v="12"/>
    <x v="73"/>
    <x v="10"/>
    <x v="19"/>
    <n v="1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74"/>
    <x v="10"/>
    <x v="0"/>
    <n v="1"/>
    <x v="0"/>
    <x v="2"/>
    <x v="7"/>
    <x v="0"/>
    <d v="2026-01-15T00:00:00"/>
    <x v="0"/>
    <x v="0"/>
    <x v="1"/>
    <x v="1"/>
    <x v="1"/>
    <x v="0"/>
    <x v="0"/>
    <x v="0"/>
    <x v="0"/>
    <x v="0"/>
    <x v="0"/>
  </r>
  <r>
    <x v="0"/>
    <x v="1"/>
    <x v="12"/>
    <x v="75"/>
    <x v="10"/>
    <x v="3"/>
    <n v="5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7"/>
    <x v="76"/>
    <x v="11"/>
    <x v="17"/>
    <n v="5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7"/>
    <x v="77"/>
    <x v="11"/>
    <x v="17"/>
    <n v="10"/>
    <x v="0"/>
    <x v="0"/>
    <x v="8"/>
    <x v="6"/>
    <d v="2026-01-19T00:00:00"/>
    <x v="1"/>
    <x v="1"/>
    <x v="0"/>
    <x v="0"/>
    <x v="0"/>
    <x v="7"/>
    <x v="0"/>
    <x v="0"/>
    <x v="0"/>
    <x v="0"/>
    <x v="0"/>
  </r>
  <r>
    <x v="0"/>
    <x v="1"/>
    <x v="17"/>
    <x v="78"/>
    <x v="11"/>
    <x v="17"/>
    <n v="39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4"/>
    <x v="79"/>
    <x v="11"/>
    <x v="17"/>
    <n v="15"/>
    <x v="0"/>
    <x v="0"/>
    <x v="12"/>
    <x v="6"/>
    <d v="2026-01-19T00:00:00"/>
    <x v="1"/>
    <x v="1"/>
    <x v="0"/>
    <x v="0"/>
    <x v="0"/>
    <x v="1"/>
    <x v="0"/>
    <x v="0"/>
    <x v="0"/>
    <x v="0"/>
    <x v="0"/>
  </r>
  <r>
    <x v="0"/>
    <x v="1"/>
    <x v="12"/>
    <x v="80"/>
    <x v="10"/>
    <x v="21"/>
    <n v="1"/>
    <x v="0"/>
    <x v="0"/>
    <x v="8"/>
    <x v="4"/>
    <d v="2026-01-16T00:00:00"/>
    <x v="1"/>
    <x v="1"/>
    <x v="0"/>
    <x v="0"/>
    <x v="0"/>
    <x v="2"/>
    <x v="0"/>
    <x v="0"/>
    <x v="0"/>
    <x v="0"/>
    <x v="0"/>
  </r>
  <r>
    <x v="0"/>
    <x v="1"/>
    <x v="17"/>
    <x v="81"/>
    <x v="10"/>
    <x v="4"/>
    <n v="16"/>
    <x v="0"/>
    <x v="0"/>
    <x v="0"/>
    <x v="0"/>
    <d v="2026-01-15T00:00:00"/>
    <x v="0"/>
    <x v="0"/>
    <x v="0"/>
    <x v="0"/>
    <x v="0"/>
    <x v="2"/>
    <x v="0"/>
    <x v="0"/>
    <x v="0"/>
    <x v="0"/>
    <x v="0"/>
  </r>
  <r>
    <x v="0"/>
    <x v="1"/>
    <x v="9"/>
    <x v="82"/>
    <x v="11"/>
    <x v="35"/>
    <n v="30"/>
    <x v="0"/>
    <x v="0"/>
    <x v="4"/>
    <x v="0"/>
    <d v="2026-01-14T00:00:00"/>
    <x v="0"/>
    <x v="0"/>
    <x v="0"/>
    <x v="0"/>
    <x v="0"/>
    <x v="6"/>
    <x v="0"/>
    <x v="0"/>
    <x v="0"/>
    <x v="0"/>
    <x v="0"/>
  </r>
  <r>
    <x v="0"/>
    <x v="1"/>
    <x v="14"/>
    <x v="83"/>
    <x v="10"/>
    <x v="28"/>
    <n v="6"/>
    <x v="0"/>
    <x v="0"/>
    <x v="7"/>
    <x v="0"/>
    <d v="2026-01-15T00:00:00"/>
    <x v="0"/>
    <x v="0"/>
    <x v="0"/>
    <x v="0"/>
    <x v="0"/>
    <x v="0"/>
    <x v="0"/>
    <x v="0"/>
    <x v="0"/>
    <x v="0"/>
    <x v="0"/>
  </r>
  <r>
    <x v="0"/>
    <x v="1"/>
    <x v="17"/>
    <x v="84"/>
    <x v="11"/>
    <x v="21"/>
    <n v="10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3"/>
    <x v="85"/>
    <x v="11"/>
    <x v="36"/>
    <n v="8"/>
    <x v="0"/>
    <x v="0"/>
    <x v="0"/>
    <x v="0"/>
    <d v="2026-01-14T00:00:00"/>
    <x v="0"/>
    <x v="0"/>
    <x v="0"/>
    <x v="0"/>
    <x v="0"/>
    <x v="2"/>
    <x v="0"/>
    <x v="0"/>
    <x v="0"/>
    <x v="0"/>
    <x v="0"/>
  </r>
  <r>
    <x v="0"/>
    <x v="1"/>
    <x v="17"/>
    <x v="86"/>
    <x v="11"/>
    <x v="33"/>
    <n v="4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7"/>
    <x v="11"/>
    <x v="32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8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9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8"/>
    <x v="90"/>
    <x v="11"/>
    <x v="24"/>
    <n v="1"/>
    <x v="0"/>
    <x v="0"/>
    <x v="13"/>
    <x v="0"/>
    <d v="2026-01-14T00:00:00"/>
    <x v="0"/>
    <x v="0"/>
    <x v="0"/>
    <x v="0"/>
    <x v="0"/>
    <x v="14"/>
    <x v="0"/>
    <x v="0"/>
    <x v="0"/>
    <x v="0"/>
    <x v="0"/>
  </r>
  <r>
    <x v="0"/>
    <x v="1"/>
    <x v="19"/>
    <x v="91"/>
    <x v="11"/>
    <x v="6"/>
    <n v="58"/>
    <x v="0"/>
    <x v="0"/>
    <x v="14"/>
    <x v="4"/>
    <d v="2026-01-15T00:00:00"/>
    <x v="1"/>
    <x v="1"/>
    <x v="0"/>
    <x v="0"/>
    <x v="0"/>
    <x v="15"/>
    <x v="0"/>
    <x v="0"/>
    <x v="0"/>
    <x v="0"/>
    <x v="0"/>
  </r>
  <r>
    <x v="0"/>
    <x v="1"/>
    <x v="17"/>
    <x v="92"/>
    <x v="11"/>
    <x v="37"/>
    <n v="6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93"/>
    <x v="11"/>
    <x v="38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2"/>
    <x v="94"/>
    <x v="10"/>
    <x v="0"/>
    <n v="1"/>
    <x v="0"/>
    <x v="0"/>
    <x v="8"/>
    <x v="0"/>
    <d v="2026-01-15T00:00:00"/>
    <x v="0"/>
    <x v="0"/>
    <x v="0"/>
    <x v="0"/>
    <x v="0"/>
    <x v="4"/>
    <x v="1"/>
    <x v="2"/>
    <x v="1"/>
    <x v="0"/>
    <x v="0"/>
  </r>
  <r>
    <x v="0"/>
    <x v="1"/>
    <x v="12"/>
    <x v="95"/>
    <x v="10"/>
    <x v="0"/>
    <n v="10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1"/>
    <x v="0"/>
    <x v="20"/>
    <x v="96"/>
    <x v="12"/>
    <x v="16"/>
    <n v="2"/>
    <x v="0"/>
    <x v="0"/>
    <x v="6"/>
    <x v="0"/>
    <d v="2026-02-02T00:00:00"/>
    <x v="0"/>
    <x v="0"/>
    <x v="0"/>
    <x v="0"/>
    <x v="0"/>
    <x v="8"/>
    <x v="0"/>
    <x v="0"/>
    <x v="0"/>
    <x v="0"/>
    <x v="1"/>
  </r>
  <r>
    <x v="1"/>
    <x v="0"/>
    <x v="21"/>
    <x v="97"/>
    <x v="12"/>
    <x v="5"/>
    <n v="8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1"/>
    <x v="98"/>
    <x v="12"/>
    <x v="3"/>
    <n v="10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2"/>
    <x v="99"/>
    <x v="12"/>
    <x v="20"/>
    <n v="1"/>
    <x v="0"/>
    <x v="0"/>
    <x v="1"/>
    <x v="0"/>
    <d v="2026-02-02T00:00:00"/>
    <x v="0"/>
    <x v="0"/>
    <x v="0"/>
    <x v="0"/>
    <x v="0"/>
    <x v="1"/>
    <x v="0"/>
    <x v="0"/>
    <x v="0"/>
    <x v="0"/>
    <x v="1"/>
  </r>
  <r>
    <x v="0"/>
    <x v="3"/>
    <x v="21"/>
    <x v="100"/>
    <x v="13"/>
    <x v="21"/>
    <n v="168"/>
    <x v="0"/>
    <x v="6"/>
    <x v="8"/>
    <x v="3"/>
    <d v="2026-02-02T00:00:00"/>
    <x v="1"/>
    <x v="1"/>
    <x v="1"/>
    <x v="1"/>
    <x v="1"/>
    <x v="5"/>
    <x v="0"/>
    <x v="0"/>
    <x v="0"/>
    <x v="1"/>
    <x v="1"/>
  </r>
  <r>
    <x v="0"/>
    <x v="3"/>
    <x v="23"/>
    <x v="101"/>
    <x v="13"/>
    <x v="11"/>
    <n v="2"/>
    <x v="0"/>
    <x v="0"/>
    <x v="7"/>
    <x v="3"/>
    <d v="2026-02-02T00:00:00"/>
    <x v="1"/>
    <x v="1"/>
    <x v="0"/>
    <x v="0"/>
    <x v="0"/>
    <x v="2"/>
    <x v="0"/>
    <x v="0"/>
    <x v="0"/>
    <x v="0"/>
    <x v="1"/>
  </r>
  <r>
    <x v="0"/>
    <x v="3"/>
    <x v="20"/>
    <x v="102"/>
    <x v="14"/>
    <x v="6"/>
    <n v="5"/>
    <x v="0"/>
    <x v="0"/>
    <x v="0"/>
    <x v="1"/>
    <d v="2026-02-02T00:00:00"/>
    <x v="1"/>
    <x v="1"/>
    <x v="0"/>
    <x v="0"/>
    <x v="0"/>
    <x v="8"/>
    <x v="0"/>
    <x v="0"/>
    <x v="0"/>
    <x v="0"/>
    <x v="2"/>
  </r>
  <r>
    <x v="1"/>
    <x v="0"/>
    <x v="20"/>
    <x v="103"/>
    <x v="12"/>
    <x v="1"/>
    <n v="1"/>
    <x v="0"/>
    <x v="0"/>
    <x v="6"/>
    <x v="0"/>
    <d v="2026-02-02T00:00:00"/>
    <x v="0"/>
    <x v="0"/>
    <x v="0"/>
    <x v="0"/>
    <x v="0"/>
    <x v="8"/>
    <x v="0"/>
    <x v="0"/>
    <x v="0"/>
    <x v="0"/>
    <x v="2"/>
  </r>
  <r>
    <x v="1"/>
    <x v="0"/>
    <x v="21"/>
    <x v="104"/>
    <x v="12"/>
    <x v="21"/>
    <n v="17"/>
    <x v="0"/>
    <x v="0"/>
    <x v="3"/>
    <x v="5"/>
    <d v="2026-02-06T00:00:00"/>
    <x v="1"/>
    <x v="1"/>
    <x v="0"/>
    <x v="0"/>
    <x v="0"/>
    <x v="6"/>
    <x v="0"/>
    <x v="0"/>
    <x v="0"/>
    <x v="0"/>
    <x v="2"/>
  </r>
  <r>
    <x v="1"/>
    <x v="0"/>
    <x v="20"/>
    <x v="105"/>
    <x v="15"/>
    <x v="6"/>
    <n v="17"/>
    <x v="0"/>
    <x v="0"/>
    <x v="5"/>
    <x v="0"/>
    <d v="2026-02-03T00:00:00"/>
    <x v="0"/>
    <x v="0"/>
    <x v="0"/>
    <x v="0"/>
    <x v="0"/>
    <x v="7"/>
    <x v="0"/>
    <x v="0"/>
    <x v="0"/>
    <x v="0"/>
    <x v="2"/>
  </r>
  <r>
    <x v="1"/>
    <x v="0"/>
    <x v="23"/>
    <x v="106"/>
    <x v="15"/>
    <x v="0"/>
    <n v="8"/>
    <x v="0"/>
    <x v="3"/>
    <x v="3"/>
    <x v="0"/>
    <d v="2026-02-03T00:00:00"/>
    <x v="0"/>
    <x v="0"/>
    <x v="1"/>
    <x v="1"/>
    <x v="1"/>
    <x v="5"/>
    <x v="0"/>
    <x v="0"/>
    <x v="0"/>
    <x v="1"/>
    <x v="2"/>
  </r>
  <r>
    <x v="1"/>
    <x v="0"/>
    <x v="22"/>
    <x v="107"/>
    <x v="15"/>
    <x v="20"/>
    <n v="11"/>
    <x v="0"/>
    <x v="0"/>
    <x v="6"/>
    <x v="0"/>
    <d v="2026-02-03T00:00:00"/>
    <x v="0"/>
    <x v="0"/>
    <x v="0"/>
    <x v="0"/>
    <x v="0"/>
    <x v="8"/>
    <x v="0"/>
    <x v="0"/>
    <x v="0"/>
    <x v="0"/>
    <x v="3"/>
  </r>
  <r>
    <x v="1"/>
    <x v="0"/>
    <x v="24"/>
    <x v="108"/>
    <x v="15"/>
    <x v="3"/>
    <n v="18"/>
    <x v="0"/>
    <x v="0"/>
    <x v="7"/>
    <x v="4"/>
    <d v="2026-02-04T00:00:00"/>
    <x v="1"/>
    <x v="1"/>
    <x v="0"/>
    <x v="0"/>
    <x v="0"/>
    <x v="4"/>
    <x v="0"/>
    <x v="0"/>
    <x v="0"/>
    <x v="0"/>
    <x v="3"/>
  </r>
  <r>
    <x v="1"/>
    <x v="1"/>
    <x v="25"/>
    <x v="109"/>
    <x v="16"/>
    <x v="21"/>
    <n v="10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26"/>
    <x v="110"/>
    <x v="16"/>
    <x v="16"/>
    <n v="10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1"/>
    <x v="16"/>
    <x v="39"/>
    <n v="2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12"/>
    <x v="16"/>
    <x v="40"/>
    <n v="7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3"/>
    <x v="16"/>
    <x v="5"/>
    <n v="1"/>
    <x v="0"/>
    <x v="0"/>
    <x v="3"/>
    <x v="0"/>
    <d v="2026-02-09T00:00:00"/>
    <x v="0"/>
    <x v="0"/>
    <x v="0"/>
    <x v="0"/>
    <x v="0"/>
    <x v="5"/>
    <x v="0"/>
    <x v="0"/>
    <x v="0"/>
    <x v="0"/>
    <x v="4"/>
  </r>
  <r>
    <x v="1"/>
    <x v="1"/>
    <x v="26"/>
    <x v="114"/>
    <x v="16"/>
    <x v="21"/>
    <n v="26"/>
    <x v="0"/>
    <x v="0"/>
    <x v="1"/>
    <x v="0"/>
    <d v="2026-02-09T00:00:00"/>
    <x v="0"/>
    <x v="0"/>
    <x v="0"/>
    <x v="0"/>
    <x v="0"/>
    <x v="1"/>
    <x v="0"/>
    <x v="0"/>
    <x v="0"/>
    <x v="0"/>
    <x v="1"/>
  </r>
  <r>
    <x v="1"/>
    <x v="0"/>
    <x v="26"/>
    <x v="115"/>
    <x v="17"/>
    <x v="20"/>
    <n v="10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16"/>
    <x v="17"/>
    <x v="17"/>
    <n v="13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8"/>
    <x v="117"/>
    <x v="17"/>
    <x v="28"/>
    <n v="6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18"/>
    <x v="17"/>
    <x v="18"/>
    <n v="15"/>
    <x v="0"/>
    <x v="0"/>
    <x v="8"/>
    <x v="0"/>
    <d v="2026-02-06T00:00:00"/>
    <x v="0"/>
    <x v="0"/>
    <x v="0"/>
    <x v="0"/>
    <x v="0"/>
    <x v="4"/>
    <x v="0"/>
    <x v="0"/>
    <x v="0"/>
    <x v="0"/>
    <x v="4"/>
  </r>
  <r>
    <x v="1"/>
    <x v="0"/>
    <x v="28"/>
    <x v="119"/>
    <x v="17"/>
    <x v="41"/>
    <n v="4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20"/>
    <x v="18"/>
    <x v="28"/>
    <n v="15"/>
    <x v="0"/>
    <x v="0"/>
    <x v="7"/>
    <x v="4"/>
    <d v="2026-02-06T00:00:00"/>
    <x v="1"/>
    <x v="1"/>
    <x v="0"/>
    <x v="0"/>
    <x v="0"/>
    <x v="4"/>
    <x v="0"/>
    <x v="0"/>
    <x v="0"/>
    <x v="0"/>
    <x v="4"/>
  </r>
  <r>
    <x v="1"/>
    <x v="0"/>
    <x v="26"/>
    <x v="121"/>
    <x v="17"/>
    <x v="5"/>
    <n v="1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2"/>
    <x v="18"/>
    <x v="18"/>
    <n v="21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6"/>
    <x v="123"/>
    <x v="17"/>
    <x v="5"/>
    <n v="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4"/>
    <x v="17"/>
    <x v="17"/>
    <n v="1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7"/>
    <x v="125"/>
    <x v="17"/>
    <x v="42"/>
    <n v="2"/>
    <x v="0"/>
    <x v="0"/>
    <x v="7"/>
    <x v="0"/>
    <d v="2026-02-06T00:00:00"/>
    <x v="0"/>
    <x v="0"/>
    <x v="0"/>
    <x v="0"/>
    <x v="0"/>
    <x v="0"/>
    <x v="0"/>
    <x v="0"/>
    <x v="0"/>
    <x v="0"/>
    <x v="1"/>
  </r>
  <r>
    <x v="1"/>
    <x v="0"/>
    <x v="26"/>
    <x v="126"/>
    <x v="17"/>
    <x v="4"/>
    <n v="5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7"/>
    <x v="18"/>
    <x v="13"/>
    <n v="1"/>
    <x v="0"/>
    <x v="0"/>
    <x v="7"/>
    <x v="0"/>
    <d v="2026-02-05T00:00:00"/>
    <x v="0"/>
    <x v="0"/>
    <x v="0"/>
    <x v="0"/>
    <x v="0"/>
    <x v="0"/>
    <x v="0"/>
    <x v="0"/>
    <x v="0"/>
    <x v="0"/>
    <x v="2"/>
  </r>
  <r>
    <x v="1"/>
    <x v="0"/>
    <x v="26"/>
    <x v="128"/>
    <x v="18"/>
    <x v="31"/>
    <n v="29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8"/>
    <x v="129"/>
    <x v="18"/>
    <x v="32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0"/>
    <x v="18"/>
    <x v="1"/>
    <n v="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1"/>
    <x v="18"/>
    <x v="33"/>
    <n v="5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2"/>
    <x v="18"/>
    <x v="34"/>
    <n v="8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3"/>
    <x v="18"/>
    <x v="43"/>
    <n v="4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3"/>
    <x v="134"/>
    <x v="18"/>
    <x v="1"/>
    <n v="2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8"/>
    <x v="135"/>
    <x v="18"/>
    <x v="1"/>
    <n v="3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6"/>
    <x v="18"/>
    <x v="22"/>
    <n v="17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37"/>
    <x v="18"/>
    <x v="44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8"/>
    <x v="138"/>
    <x v="18"/>
    <x v="12"/>
    <n v="30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9"/>
    <x v="18"/>
    <x v="22"/>
    <n v="1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1"/>
    <x v="140"/>
    <x v="18"/>
    <x v="16"/>
    <n v="4"/>
    <x v="0"/>
    <x v="0"/>
    <x v="5"/>
    <x v="0"/>
    <d v="2026-02-05T00:00:00"/>
    <x v="0"/>
    <x v="0"/>
    <x v="0"/>
    <x v="0"/>
    <x v="0"/>
    <x v="7"/>
    <x v="0"/>
    <x v="0"/>
    <x v="0"/>
    <x v="0"/>
    <x v="1"/>
  </r>
  <r>
    <x v="1"/>
    <x v="0"/>
    <x v="23"/>
    <x v="141"/>
    <x v="18"/>
    <x v="1"/>
    <n v="7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4"/>
    <x v="142"/>
    <x v="18"/>
    <x v="0"/>
    <n v="1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3"/>
    <x v="18"/>
    <x v="23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44"/>
    <x v="18"/>
    <x v="3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4"/>
    <x v="145"/>
    <x v="18"/>
    <x v="45"/>
    <n v="1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9"/>
    <x v="146"/>
    <x v="19"/>
    <x v="26"/>
    <n v="8"/>
    <x v="0"/>
    <x v="0"/>
    <x v="15"/>
    <x v="4"/>
    <d v="2026-02-05T00:00:00"/>
    <x v="1"/>
    <x v="1"/>
    <x v="0"/>
    <x v="0"/>
    <x v="0"/>
    <x v="16"/>
    <x v="0"/>
    <x v="0"/>
    <x v="0"/>
    <x v="0"/>
    <x v="2"/>
  </r>
  <r>
    <x v="1"/>
    <x v="0"/>
    <x v="24"/>
    <x v="147"/>
    <x v="18"/>
    <x v="0"/>
    <n v="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4"/>
    <x v="148"/>
    <x v="18"/>
    <x v="46"/>
    <n v="3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9"/>
    <x v="15"/>
    <x v="21"/>
    <n v="200"/>
    <x v="0"/>
    <x v="0"/>
    <x v="12"/>
    <x v="4"/>
    <d v="2026-02-04T00:00:00"/>
    <x v="1"/>
    <x v="1"/>
    <x v="0"/>
    <x v="0"/>
    <x v="0"/>
    <x v="0"/>
    <x v="0"/>
    <x v="0"/>
    <x v="0"/>
    <x v="0"/>
    <x v="1"/>
  </r>
  <r>
    <x v="1"/>
    <x v="0"/>
    <x v="23"/>
    <x v="150"/>
    <x v="19"/>
    <x v="19"/>
    <n v="2"/>
    <x v="0"/>
    <x v="2"/>
    <x v="1"/>
    <x v="0"/>
    <d v="2026-02-04T00:00:00"/>
    <x v="0"/>
    <x v="0"/>
    <x v="1"/>
    <x v="1"/>
    <x v="1"/>
    <x v="1"/>
    <x v="0"/>
    <x v="0"/>
    <x v="0"/>
    <x v="0"/>
    <x v="1"/>
  </r>
  <r>
    <x v="1"/>
    <x v="0"/>
    <x v="23"/>
    <x v="151"/>
    <x v="19"/>
    <x v="19"/>
    <n v="2"/>
    <x v="0"/>
    <x v="0"/>
    <x v="1"/>
    <x v="0"/>
    <d v="2026-02-04T00:00:00"/>
    <x v="0"/>
    <x v="0"/>
    <x v="0"/>
    <x v="0"/>
    <x v="0"/>
    <x v="1"/>
    <x v="0"/>
    <x v="0"/>
    <x v="0"/>
    <x v="0"/>
    <x v="1"/>
  </r>
  <r>
    <x v="1"/>
    <x v="0"/>
    <x v="20"/>
    <x v="152"/>
    <x v="19"/>
    <x v="3"/>
    <n v="10"/>
    <x v="0"/>
    <x v="0"/>
    <x v="4"/>
    <x v="0"/>
    <d v="2026-02-04T00:00:00"/>
    <x v="0"/>
    <x v="0"/>
    <x v="0"/>
    <x v="0"/>
    <x v="0"/>
    <x v="6"/>
    <x v="0"/>
    <x v="0"/>
    <x v="0"/>
    <x v="0"/>
    <x v="1"/>
  </r>
  <r>
    <x v="1"/>
    <x v="0"/>
    <x v="28"/>
    <x v="153"/>
    <x v="19"/>
    <x v="3"/>
    <n v="14"/>
    <x v="0"/>
    <x v="0"/>
    <x v="7"/>
    <x v="0"/>
    <d v="2026-02-04T00:00:00"/>
    <x v="0"/>
    <x v="0"/>
    <x v="0"/>
    <x v="0"/>
    <x v="0"/>
    <x v="0"/>
    <x v="0"/>
    <x v="0"/>
    <x v="0"/>
    <x v="0"/>
    <x v="1"/>
  </r>
  <r>
    <x v="1"/>
    <x v="0"/>
    <x v="23"/>
    <x v="154"/>
    <x v="19"/>
    <x v="2"/>
    <n v="20"/>
    <x v="0"/>
    <x v="0"/>
    <x v="1"/>
    <x v="0"/>
    <d v="2026-02-04T00:00:00"/>
    <x v="0"/>
    <x v="0"/>
    <x v="0"/>
    <x v="0"/>
    <x v="0"/>
    <x v="1"/>
    <x v="0"/>
    <x v="0"/>
    <x v="0"/>
    <x v="0"/>
    <x v="5"/>
  </r>
  <r>
    <x v="1"/>
    <x v="0"/>
    <x v="30"/>
    <x v="155"/>
    <x v="15"/>
    <x v="23"/>
    <n v="11"/>
    <x v="0"/>
    <x v="0"/>
    <x v="10"/>
    <x v="0"/>
    <d v="2026-01-28T00:00:00"/>
    <x v="0"/>
    <x v="0"/>
    <x v="0"/>
    <x v="0"/>
    <x v="0"/>
    <x v="7"/>
    <x v="0"/>
    <x v="0"/>
    <x v="0"/>
    <x v="0"/>
    <x v="1"/>
  </r>
  <r>
    <x v="1"/>
    <x v="0"/>
    <x v="20"/>
    <x v="156"/>
    <x v="15"/>
    <x v="47"/>
    <n v="1"/>
    <x v="0"/>
    <x v="0"/>
    <x v="5"/>
    <x v="0"/>
    <d v="2026-02-03T00:00:00"/>
    <x v="0"/>
    <x v="0"/>
    <x v="0"/>
    <x v="0"/>
    <x v="0"/>
    <x v="7"/>
    <x v="1"/>
    <x v="1"/>
    <x v="1"/>
    <x v="0"/>
    <x v="1"/>
  </r>
  <r>
    <x v="1"/>
    <x v="0"/>
    <x v="23"/>
    <x v="157"/>
    <x v="15"/>
    <x v="2"/>
    <n v="2"/>
    <x v="0"/>
    <x v="0"/>
    <x v="3"/>
    <x v="0"/>
    <d v="2026-02-03T00:00:00"/>
    <x v="0"/>
    <x v="0"/>
    <x v="0"/>
    <x v="0"/>
    <x v="0"/>
    <x v="5"/>
    <x v="0"/>
    <x v="0"/>
    <x v="0"/>
    <x v="0"/>
    <x v="1"/>
  </r>
  <r>
    <x v="1"/>
    <x v="0"/>
    <x v="20"/>
    <x v="158"/>
    <x v="15"/>
    <x v="47"/>
    <n v="10"/>
    <x v="0"/>
    <x v="0"/>
    <x v="5"/>
    <x v="0"/>
    <d v="2026-02-03T00:00:00"/>
    <x v="0"/>
    <x v="0"/>
    <x v="0"/>
    <x v="0"/>
    <x v="0"/>
    <x v="7"/>
    <x v="0"/>
    <x v="0"/>
    <x v="0"/>
    <x v="0"/>
    <x v="1"/>
  </r>
  <r>
    <x v="1"/>
    <x v="0"/>
    <x v="31"/>
    <x v="159"/>
    <x v="15"/>
    <x v="6"/>
    <n v="16"/>
    <x v="0"/>
    <x v="0"/>
    <x v="8"/>
    <x v="0"/>
    <d v="2026-02-03T00:00:00"/>
    <x v="0"/>
    <x v="0"/>
    <x v="0"/>
    <x v="0"/>
    <x v="0"/>
    <x v="4"/>
    <x v="0"/>
    <x v="0"/>
    <x v="0"/>
    <x v="0"/>
    <x v="1"/>
  </r>
  <r>
    <x v="1"/>
    <x v="0"/>
    <x v="21"/>
    <x v="160"/>
    <x v="15"/>
    <x v="16"/>
    <n v="5"/>
    <x v="0"/>
    <x v="0"/>
    <x v="1"/>
    <x v="0"/>
    <d v="2026-02-03T00:00:00"/>
    <x v="0"/>
    <x v="0"/>
    <x v="0"/>
    <x v="0"/>
    <x v="0"/>
    <x v="1"/>
    <x v="1"/>
    <x v="1"/>
    <x v="1"/>
    <x v="0"/>
    <x v="4"/>
  </r>
  <r>
    <x v="1"/>
    <x v="0"/>
    <x v="21"/>
    <x v="161"/>
    <x v="15"/>
    <x v="31"/>
    <n v="3"/>
    <x v="0"/>
    <x v="0"/>
    <x v="1"/>
    <x v="0"/>
    <d v="2026-02-03T00:00:00"/>
    <x v="0"/>
    <x v="0"/>
    <x v="0"/>
    <x v="0"/>
    <x v="0"/>
    <x v="1"/>
    <x v="0"/>
    <x v="0"/>
    <x v="0"/>
    <x v="0"/>
    <x v="3"/>
  </r>
  <r>
    <x v="1"/>
    <x v="0"/>
    <x v="21"/>
    <x v="162"/>
    <x v="15"/>
    <x v="31"/>
    <n v="20"/>
    <x v="0"/>
    <x v="0"/>
    <x v="1"/>
    <x v="0"/>
    <d v="2026-02-03T00:00:00"/>
    <x v="0"/>
    <x v="0"/>
    <x v="0"/>
    <x v="0"/>
    <x v="0"/>
    <x v="1"/>
    <x v="0"/>
    <x v="0"/>
    <x v="0"/>
    <x v="0"/>
    <x v="2"/>
  </r>
  <r>
    <x v="1"/>
    <x v="0"/>
    <x v="28"/>
    <x v="163"/>
    <x v="17"/>
    <x v="1"/>
    <n v="40"/>
    <x v="0"/>
    <x v="2"/>
    <x v="0"/>
    <x v="1"/>
    <d v="2026-02-09T00:00:00"/>
    <x v="1"/>
    <x v="1"/>
    <x v="1"/>
    <x v="1"/>
    <x v="1"/>
    <x v="8"/>
    <x v="0"/>
    <x v="0"/>
    <x v="0"/>
    <x v="1"/>
    <x v="3"/>
  </r>
  <r>
    <x v="1"/>
    <x v="1"/>
    <x v="25"/>
    <x v="164"/>
    <x v="16"/>
    <x v="0"/>
    <n v="3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32"/>
    <x v="165"/>
    <x v="16"/>
    <x v="21"/>
    <n v="69"/>
    <x v="0"/>
    <x v="0"/>
    <x v="7"/>
    <x v="0"/>
    <d v="2026-02-09T00:00:00"/>
    <x v="0"/>
    <x v="0"/>
    <x v="0"/>
    <x v="0"/>
    <x v="0"/>
    <x v="0"/>
    <x v="0"/>
    <x v="0"/>
    <x v="0"/>
    <x v="0"/>
    <x v="2"/>
  </r>
  <r>
    <x v="1"/>
    <x v="1"/>
    <x v="27"/>
    <x v="166"/>
    <x v="16"/>
    <x v="0"/>
    <n v="45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67"/>
    <x v="16"/>
    <x v="1"/>
    <n v="3"/>
    <x v="0"/>
    <x v="0"/>
    <x v="1"/>
    <x v="0"/>
    <d v="2026-02-09T00:00:00"/>
    <x v="0"/>
    <x v="0"/>
    <x v="0"/>
    <x v="0"/>
    <x v="0"/>
    <x v="1"/>
    <x v="0"/>
    <x v="0"/>
    <x v="0"/>
    <x v="0"/>
    <x v="2"/>
  </r>
  <r>
    <x v="1"/>
    <x v="0"/>
    <x v="27"/>
    <x v="168"/>
    <x v="17"/>
    <x v="43"/>
    <n v="2"/>
    <x v="0"/>
    <x v="0"/>
    <x v="7"/>
    <x v="1"/>
    <d v="2026-02-09T00:00:00"/>
    <x v="1"/>
    <x v="1"/>
    <x v="0"/>
    <x v="0"/>
    <x v="0"/>
    <x v="5"/>
    <x v="0"/>
    <x v="0"/>
    <x v="0"/>
    <x v="0"/>
    <x v="2"/>
  </r>
  <r>
    <x v="1"/>
    <x v="1"/>
    <x v="27"/>
    <x v="169"/>
    <x v="20"/>
    <x v="12"/>
    <n v="17"/>
    <x v="0"/>
    <x v="0"/>
    <x v="1"/>
    <x v="0"/>
    <d v="2026-02-10T00:00:00"/>
    <x v="0"/>
    <x v="0"/>
    <x v="0"/>
    <x v="0"/>
    <x v="0"/>
    <x v="1"/>
    <x v="0"/>
    <x v="0"/>
    <x v="0"/>
    <x v="0"/>
    <x v="3"/>
  </r>
  <r>
    <x v="1"/>
    <x v="1"/>
    <x v="32"/>
    <x v="109"/>
    <x v="20"/>
    <x v="25"/>
    <n v="5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32"/>
    <x v="170"/>
    <x v="20"/>
    <x v="48"/>
    <n v="2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27"/>
    <x v="171"/>
    <x v="20"/>
    <x v="12"/>
    <n v="12"/>
    <x v="0"/>
    <x v="0"/>
    <x v="1"/>
    <x v="4"/>
    <d v="2026-02-11T00:00:00"/>
    <x v="1"/>
    <x v="1"/>
    <x v="0"/>
    <x v="0"/>
    <x v="0"/>
    <x v="8"/>
    <x v="0"/>
    <x v="0"/>
    <x v="0"/>
    <x v="0"/>
    <x v="3"/>
  </r>
  <r>
    <x v="1"/>
    <x v="1"/>
    <x v="33"/>
    <x v="172"/>
    <x v="21"/>
    <x v="1"/>
    <n v="7"/>
    <x v="0"/>
    <x v="0"/>
    <x v="8"/>
    <x v="0"/>
    <d v="2026-02-10T00:00:00"/>
    <x v="0"/>
    <x v="0"/>
    <x v="0"/>
    <x v="0"/>
    <x v="0"/>
    <x v="0"/>
    <x v="0"/>
    <x v="0"/>
    <x v="0"/>
    <x v="0"/>
    <x v="1"/>
  </r>
  <r>
    <x v="1"/>
    <x v="1"/>
    <x v="27"/>
    <x v="173"/>
    <x v="21"/>
    <x v="36"/>
    <n v="2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27"/>
    <x v="174"/>
    <x v="21"/>
    <x v="36"/>
    <n v="21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34"/>
    <x v="175"/>
    <x v="21"/>
    <x v="5"/>
    <n v="36"/>
    <x v="0"/>
    <x v="0"/>
    <x v="7"/>
    <x v="0"/>
    <d v="2026-02-11T00:00:00"/>
    <x v="0"/>
    <x v="0"/>
    <x v="0"/>
    <x v="0"/>
    <x v="0"/>
    <x v="0"/>
    <x v="0"/>
    <x v="0"/>
    <x v="0"/>
    <x v="0"/>
    <x v="3"/>
  </r>
  <r>
    <x v="1"/>
    <x v="1"/>
    <x v="34"/>
    <x v="176"/>
    <x v="21"/>
    <x v="5"/>
    <n v="2"/>
    <x v="0"/>
    <x v="0"/>
    <x v="7"/>
    <x v="0"/>
    <d v="2026-02-11T00:00:00"/>
    <x v="0"/>
    <x v="0"/>
    <x v="0"/>
    <x v="0"/>
    <x v="0"/>
    <x v="0"/>
    <x v="0"/>
    <x v="0"/>
    <x v="0"/>
    <x v="0"/>
    <x v="1"/>
  </r>
  <r>
    <x v="1"/>
    <x v="1"/>
    <x v="27"/>
    <x v="177"/>
    <x v="21"/>
    <x v="16"/>
    <n v="230"/>
    <x v="0"/>
    <x v="0"/>
    <x v="6"/>
    <x v="0"/>
    <d v="2026-02-11T00:00:00"/>
    <x v="0"/>
    <x v="0"/>
    <x v="0"/>
    <x v="0"/>
    <x v="0"/>
    <x v="8"/>
    <x v="0"/>
    <x v="0"/>
    <x v="0"/>
    <x v="0"/>
    <x v="3"/>
  </r>
  <r>
    <x v="1"/>
    <x v="1"/>
    <x v="26"/>
    <x v="178"/>
    <x v="22"/>
    <x v="49"/>
    <n v="12"/>
    <x v="0"/>
    <x v="0"/>
    <x v="4"/>
    <x v="0"/>
    <d v="2026-02-12T00:00:00"/>
    <x v="0"/>
    <x v="0"/>
    <x v="0"/>
    <x v="0"/>
    <x v="0"/>
    <x v="6"/>
    <x v="0"/>
    <x v="0"/>
    <x v="0"/>
    <x v="0"/>
    <x v="1"/>
  </r>
  <r>
    <x v="1"/>
    <x v="1"/>
    <x v="34"/>
    <x v="179"/>
    <x v="22"/>
    <x v="3"/>
    <n v="34"/>
    <x v="0"/>
    <x v="0"/>
    <x v="8"/>
    <x v="0"/>
    <d v="2026-02-11T00:00:00"/>
    <x v="0"/>
    <x v="0"/>
    <x v="0"/>
    <x v="0"/>
    <x v="0"/>
    <x v="0"/>
    <x v="0"/>
    <x v="0"/>
    <x v="0"/>
    <x v="0"/>
    <x v="3"/>
  </r>
  <r>
    <x v="1"/>
    <x v="1"/>
    <x v="33"/>
    <x v="180"/>
    <x v="21"/>
    <x v="50"/>
    <n v="1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4"/>
    <x v="181"/>
    <x v="21"/>
    <x v="23"/>
    <n v="3"/>
    <x v="0"/>
    <x v="0"/>
    <x v="7"/>
    <x v="4"/>
    <d v="2026-02-12T00:00:00"/>
    <x v="1"/>
    <x v="1"/>
    <x v="0"/>
    <x v="0"/>
    <x v="0"/>
    <x v="4"/>
    <x v="0"/>
    <x v="0"/>
    <x v="0"/>
    <x v="0"/>
    <x v="3"/>
  </r>
  <r>
    <x v="1"/>
    <x v="1"/>
    <x v="34"/>
    <x v="182"/>
    <x v="22"/>
    <x v="0"/>
    <n v="1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83"/>
    <x v="22"/>
    <x v="21"/>
    <n v="2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3"/>
    <x v="184"/>
    <x v="21"/>
    <x v="1"/>
    <n v="62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5"/>
    <x v="21"/>
    <x v="17"/>
    <n v="18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6"/>
    <x v="21"/>
    <x v="17"/>
    <n v="25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5"/>
    <x v="187"/>
    <x v="22"/>
    <x v="44"/>
    <n v="5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3"/>
    <x v="188"/>
    <x v="22"/>
    <x v="0"/>
    <n v="15"/>
    <x v="0"/>
    <x v="0"/>
    <x v="0"/>
    <x v="0"/>
    <d v="2026-02-12T00:00:00"/>
    <x v="0"/>
    <x v="0"/>
    <x v="0"/>
    <x v="0"/>
    <x v="0"/>
    <x v="2"/>
    <x v="0"/>
    <x v="0"/>
    <x v="0"/>
    <x v="0"/>
    <x v="3"/>
  </r>
  <r>
    <x v="1"/>
    <x v="1"/>
    <x v="34"/>
    <x v="189"/>
    <x v="22"/>
    <x v="38"/>
    <n v="5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0"/>
    <x v="22"/>
    <x v="4"/>
    <n v="2"/>
    <x v="0"/>
    <x v="0"/>
    <x v="7"/>
    <x v="0"/>
    <d v="2026-02-12T00:00:00"/>
    <x v="0"/>
    <x v="0"/>
    <x v="0"/>
    <x v="0"/>
    <x v="0"/>
    <x v="0"/>
    <x v="0"/>
    <x v="0"/>
    <x v="0"/>
    <x v="0"/>
    <x v="1"/>
  </r>
  <r>
    <x v="1"/>
    <x v="1"/>
    <x v="35"/>
    <x v="191"/>
    <x v="22"/>
    <x v="4"/>
    <n v="3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2"/>
    <x v="22"/>
    <x v="33"/>
    <n v="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3"/>
    <x v="22"/>
    <x v="3"/>
    <n v="12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4"/>
    <x v="22"/>
    <x v="31"/>
    <n v="1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95"/>
    <x v="22"/>
    <x v="22"/>
    <n v="2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34"/>
    <x v="196"/>
    <x v="22"/>
    <x v="22"/>
    <n v="1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26"/>
    <x v="197"/>
    <x v="23"/>
    <x v="51"/>
    <n v="5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5"/>
    <x v="198"/>
    <x v="23"/>
    <x v="3"/>
    <n v="1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35"/>
    <x v="199"/>
    <x v="23"/>
    <x v="16"/>
    <n v="4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6"/>
    <x v="200"/>
    <x v="23"/>
    <x v="10"/>
    <n v="3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4"/>
    <x v="201"/>
    <x v="23"/>
    <x v="22"/>
    <n v="1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27"/>
    <x v="202"/>
    <x v="23"/>
    <x v="10"/>
    <n v="4"/>
    <x v="0"/>
    <x v="0"/>
    <x v="4"/>
    <x v="0"/>
    <d v="2026-02-13T00:00:00"/>
    <x v="0"/>
    <x v="0"/>
    <x v="0"/>
    <x v="0"/>
    <x v="0"/>
    <x v="6"/>
    <x v="0"/>
    <x v="0"/>
    <x v="0"/>
    <x v="0"/>
    <x v="3"/>
  </r>
  <r>
    <x v="1"/>
    <x v="1"/>
    <x v="35"/>
    <x v="203"/>
    <x v="23"/>
    <x v="22"/>
    <n v="14"/>
    <x v="0"/>
    <x v="1"/>
    <x v="8"/>
    <x v="0"/>
    <d v="2026-02-13T00:00:00"/>
    <x v="0"/>
    <x v="0"/>
    <x v="1"/>
    <x v="1"/>
    <x v="1"/>
    <x v="4"/>
    <x v="0"/>
    <x v="0"/>
    <x v="0"/>
    <x v="0"/>
    <x v="3"/>
  </r>
  <r>
    <x v="1"/>
    <x v="1"/>
    <x v="34"/>
    <x v="204"/>
    <x v="23"/>
    <x v="28"/>
    <n v="3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5"/>
    <x v="23"/>
    <x v="22"/>
    <n v="25"/>
    <x v="0"/>
    <x v="0"/>
    <x v="8"/>
    <x v="0"/>
    <d v="2026-02-13T00:00:00"/>
    <x v="0"/>
    <x v="0"/>
    <x v="0"/>
    <x v="0"/>
    <x v="0"/>
    <x v="4"/>
    <x v="0"/>
    <x v="0"/>
    <x v="0"/>
    <x v="0"/>
    <x v="1"/>
  </r>
  <r>
    <x v="1"/>
    <x v="1"/>
    <x v="35"/>
    <x v="206"/>
    <x v="23"/>
    <x v="40"/>
    <n v="57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8"/>
    <x v="207"/>
    <x v="23"/>
    <x v="10"/>
    <n v="2"/>
    <x v="0"/>
    <x v="0"/>
    <x v="15"/>
    <x v="0"/>
    <d v="2026-02-13T00:00:00"/>
    <x v="0"/>
    <x v="0"/>
    <x v="0"/>
    <x v="0"/>
    <x v="0"/>
    <x v="3"/>
    <x v="0"/>
    <x v="0"/>
    <x v="0"/>
    <x v="0"/>
    <x v="3"/>
  </r>
  <r>
    <x v="1"/>
    <x v="1"/>
    <x v="34"/>
    <x v="208"/>
    <x v="23"/>
    <x v="21"/>
    <n v="180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9"/>
    <x v="23"/>
    <x v="18"/>
    <n v="10"/>
    <x v="0"/>
    <x v="0"/>
    <x v="8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210"/>
    <x v="24"/>
    <x v="20"/>
    <n v="27"/>
    <x v="0"/>
    <x v="0"/>
    <x v="3"/>
    <x v="3"/>
    <d v="2026-02-16T00:00:00"/>
    <x v="1"/>
    <x v="1"/>
    <x v="0"/>
    <x v="0"/>
    <x v="0"/>
    <x v="8"/>
    <x v="0"/>
    <x v="0"/>
    <x v="0"/>
    <x v="0"/>
    <x v="3"/>
  </r>
  <r>
    <x v="1"/>
    <x v="1"/>
    <x v="36"/>
    <x v="211"/>
    <x v="24"/>
    <x v="5"/>
    <n v="5"/>
    <x v="0"/>
    <x v="0"/>
    <x v="8"/>
    <x v="3"/>
    <d v="2026-02-16T00:00:00"/>
    <x v="1"/>
    <x v="1"/>
    <x v="0"/>
    <x v="0"/>
    <x v="0"/>
    <x v="5"/>
    <x v="0"/>
    <x v="0"/>
    <x v="0"/>
    <x v="0"/>
    <x v="1"/>
  </r>
  <r>
    <x v="1"/>
    <x v="1"/>
    <x v="34"/>
    <x v="212"/>
    <x v="24"/>
    <x v="9"/>
    <n v="12"/>
    <x v="0"/>
    <x v="0"/>
    <x v="3"/>
    <x v="3"/>
    <d v="2026-02-16T00:00:00"/>
    <x v="1"/>
    <x v="1"/>
    <x v="0"/>
    <x v="0"/>
    <x v="0"/>
    <x v="8"/>
    <x v="0"/>
    <x v="0"/>
    <x v="0"/>
    <x v="0"/>
    <x v="2"/>
  </r>
  <r>
    <x v="1"/>
    <x v="2"/>
    <x v="37"/>
    <x v="213"/>
    <x v="25"/>
    <x v="21"/>
    <n v="3"/>
    <x v="0"/>
    <x v="0"/>
    <x v="0"/>
    <x v="0"/>
    <d v="2026-02-16T00:00:00"/>
    <x v="0"/>
    <x v="0"/>
    <x v="0"/>
    <x v="0"/>
    <x v="0"/>
    <x v="2"/>
    <x v="0"/>
    <x v="0"/>
    <x v="0"/>
    <x v="0"/>
    <x v="3"/>
  </r>
  <r>
    <x v="1"/>
    <x v="2"/>
    <x v="36"/>
    <x v="214"/>
    <x v="25"/>
    <x v="0"/>
    <n v="8"/>
    <x v="0"/>
    <x v="0"/>
    <x v="3"/>
    <x v="0"/>
    <d v="2026-02-16T00:00:00"/>
    <x v="0"/>
    <x v="0"/>
    <x v="0"/>
    <x v="0"/>
    <x v="0"/>
    <x v="5"/>
    <x v="0"/>
    <x v="0"/>
    <x v="0"/>
    <x v="0"/>
    <x v="3"/>
  </r>
  <r>
    <x v="1"/>
    <x v="2"/>
    <x v="36"/>
    <x v="215"/>
    <x v="25"/>
    <x v="11"/>
    <n v="38"/>
    <x v="0"/>
    <x v="0"/>
    <x v="3"/>
    <x v="7"/>
    <d v="2026-02-13T00:00:00"/>
    <x v="1"/>
    <x v="1"/>
    <x v="0"/>
    <x v="0"/>
    <x v="0"/>
    <x v="0"/>
    <x v="0"/>
    <x v="0"/>
    <x v="0"/>
    <x v="0"/>
    <x v="3"/>
  </r>
  <r>
    <x v="1"/>
    <x v="2"/>
    <x v="38"/>
    <x v="216"/>
    <x v="26"/>
    <x v="3"/>
    <n v="20"/>
    <x v="0"/>
    <x v="0"/>
    <x v="7"/>
    <x v="0"/>
    <d v="2026-02-18T00:00:00"/>
    <x v="0"/>
    <x v="0"/>
    <x v="0"/>
    <x v="0"/>
    <x v="0"/>
    <x v="0"/>
    <x v="0"/>
    <x v="0"/>
    <x v="0"/>
    <x v="0"/>
    <x v="3"/>
  </r>
  <r>
    <x v="1"/>
    <x v="2"/>
    <x v="36"/>
    <x v="217"/>
    <x v="26"/>
    <x v="22"/>
    <n v="5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8"/>
    <x v="26"/>
    <x v="22"/>
    <n v="1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9"/>
    <x v="26"/>
    <x v="22"/>
    <n v="26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7"/>
    <x v="220"/>
    <x v="26"/>
    <x v="16"/>
    <n v="29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1"/>
    <x v="26"/>
    <x v="0"/>
    <n v="18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2"/>
    <x v="26"/>
    <x v="16"/>
    <n v="2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8"/>
    <x v="223"/>
    <x v="27"/>
    <x v="31"/>
    <n v="14"/>
    <x v="0"/>
    <x v="0"/>
    <x v="8"/>
    <x v="0"/>
    <d v="2026-02-19T00:00:00"/>
    <x v="0"/>
    <x v="0"/>
    <x v="0"/>
    <x v="0"/>
    <x v="0"/>
    <x v="4"/>
    <x v="0"/>
    <x v="0"/>
    <x v="0"/>
    <x v="0"/>
    <x v="3"/>
  </r>
  <r>
    <x v="1"/>
    <x v="2"/>
    <x v="38"/>
    <x v="224"/>
    <x v="27"/>
    <x v="44"/>
    <n v="1"/>
    <x v="0"/>
    <x v="0"/>
    <x v="8"/>
    <x v="0"/>
    <d v="2026-02-19T00:00:00"/>
    <x v="0"/>
    <x v="0"/>
    <x v="0"/>
    <x v="0"/>
    <x v="0"/>
    <x v="4"/>
    <x v="0"/>
    <x v="0"/>
    <x v="0"/>
    <x v="0"/>
    <x v="1"/>
  </r>
  <r>
    <x v="1"/>
    <x v="2"/>
    <x v="39"/>
    <x v="225"/>
    <x v="27"/>
    <x v="1"/>
    <n v="7"/>
    <x v="0"/>
    <x v="0"/>
    <x v="3"/>
    <x v="0"/>
    <d v="2026-02-19T00:00:00"/>
    <x v="0"/>
    <x v="0"/>
    <x v="0"/>
    <x v="0"/>
    <x v="0"/>
    <x v="5"/>
    <x v="0"/>
    <x v="0"/>
    <x v="0"/>
    <x v="0"/>
    <x v="3"/>
  </r>
  <r>
    <x v="1"/>
    <x v="2"/>
    <x v="39"/>
    <x v="226"/>
    <x v="26"/>
    <x v="1"/>
    <n v="19"/>
    <x v="0"/>
    <x v="0"/>
    <x v="0"/>
    <x v="4"/>
    <d v="2026-02-19T00:00:00"/>
    <x v="1"/>
    <x v="1"/>
    <x v="0"/>
    <x v="0"/>
    <x v="0"/>
    <x v="5"/>
    <x v="0"/>
    <x v="0"/>
    <x v="0"/>
    <x v="0"/>
    <x v="3"/>
  </r>
  <r>
    <x v="1"/>
    <x v="2"/>
    <x v="40"/>
    <x v="227"/>
    <x v="28"/>
    <x v="27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28"/>
    <x v="28"/>
    <x v="5"/>
    <n v="40"/>
    <x v="0"/>
    <x v="0"/>
    <x v="7"/>
    <x v="0"/>
    <d v="2026-02-20T00:00:00"/>
    <x v="0"/>
    <x v="0"/>
    <x v="0"/>
    <x v="0"/>
    <x v="0"/>
    <x v="0"/>
    <x v="0"/>
    <x v="0"/>
    <x v="0"/>
    <x v="0"/>
    <x v="1"/>
  </r>
  <r>
    <x v="1"/>
    <x v="2"/>
    <x v="41"/>
    <x v="229"/>
    <x v="28"/>
    <x v="1"/>
    <n v="10"/>
    <x v="0"/>
    <x v="0"/>
    <x v="8"/>
    <x v="8"/>
    <d v="2026-02-19T00:00:00"/>
    <x v="1"/>
    <x v="1"/>
    <x v="0"/>
    <x v="0"/>
    <x v="0"/>
    <x v="0"/>
    <x v="0"/>
    <x v="0"/>
    <x v="0"/>
    <x v="0"/>
    <x v="1"/>
  </r>
  <r>
    <x v="1"/>
    <x v="2"/>
    <x v="36"/>
    <x v="230"/>
    <x v="28"/>
    <x v="32"/>
    <n v="4"/>
    <x v="0"/>
    <x v="0"/>
    <x v="4"/>
    <x v="9"/>
    <d v="2026-02-13T00:00:00"/>
    <x v="1"/>
    <x v="1"/>
    <x v="0"/>
    <x v="0"/>
    <x v="0"/>
    <x v="0"/>
    <x v="0"/>
    <x v="0"/>
    <x v="0"/>
    <x v="0"/>
    <x v="3"/>
  </r>
  <r>
    <x v="1"/>
    <x v="2"/>
    <x v="40"/>
    <x v="231"/>
    <x v="28"/>
    <x v="0"/>
    <n v="13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32"/>
    <x v="28"/>
    <x v="0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28"/>
    <x v="233"/>
    <x v="27"/>
    <x v="24"/>
    <n v="2"/>
    <x v="0"/>
    <x v="0"/>
    <x v="16"/>
    <x v="4"/>
    <d v="2026-02-20T00:00:00"/>
    <x v="1"/>
    <x v="1"/>
    <x v="0"/>
    <x v="0"/>
    <x v="0"/>
    <x v="17"/>
    <x v="0"/>
    <x v="0"/>
    <x v="0"/>
    <x v="0"/>
    <x v="3"/>
  </r>
  <r>
    <x v="1"/>
    <x v="2"/>
    <x v="41"/>
    <x v="234"/>
    <x v="28"/>
    <x v="44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1"/>
    <x v="235"/>
    <x v="28"/>
    <x v="36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0"/>
    <x v="236"/>
    <x v="28"/>
    <x v="23"/>
    <n v="10"/>
    <x v="0"/>
    <x v="0"/>
    <x v="7"/>
    <x v="0"/>
    <d v="2026-02-20T00:00:00"/>
    <x v="0"/>
    <x v="0"/>
    <x v="0"/>
    <x v="0"/>
    <x v="0"/>
    <x v="0"/>
    <x v="0"/>
    <x v="0"/>
    <x v="0"/>
    <x v="0"/>
    <x v="2"/>
  </r>
  <r>
    <x v="1"/>
    <x v="2"/>
    <x v="42"/>
    <x v="237"/>
    <x v="28"/>
    <x v="31"/>
    <n v="7"/>
    <x v="0"/>
    <x v="0"/>
    <x v="12"/>
    <x v="4"/>
    <d v="2026-02-21T00:00:00"/>
    <x v="1"/>
    <x v="1"/>
    <x v="0"/>
    <x v="0"/>
    <x v="0"/>
    <x v="0"/>
    <x v="0"/>
    <x v="0"/>
    <x v="0"/>
    <x v="0"/>
    <x v="3"/>
  </r>
  <r>
    <x v="1"/>
    <x v="2"/>
    <x v="40"/>
    <x v="238"/>
    <x v="28"/>
    <x v="11"/>
    <n v="7"/>
    <x v="0"/>
    <x v="0"/>
    <x v="7"/>
    <x v="1"/>
    <d v="2026-02-23T00:00:00"/>
    <x v="1"/>
    <x v="1"/>
    <x v="0"/>
    <x v="0"/>
    <x v="0"/>
    <x v="5"/>
    <x v="0"/>
    <x v="0"/>
    <x v="0"/>
    <x v="0"/>
    <x v="2"/>
  </r>
  <r>
    <x v="1"/>
    <x v="2"/>
    <x v="42"/>
    <x v="239"/>
    <x v="28"/>
    <x v="5"/>
    <n v="6"/>
    <x v="0"/>
    <x v="0"/>
    <x v="12"/>
    <x v="1"/>
    <d v="2026-02-23T00:00:00"/>
    <x v="1"/>
    <x v="1"/>
    <x v="0"/>
    <x v="0"/>
    <x v="0"/>
    <x v="2"/>
    <x v="0"/>
    <x v="0"/>
    <x v="0"/>
    <x v="0"/>
    <x v="2"/>
  </r>
  <r>
    <x v="1"/>
    <x v="2"/>
    <x v="40"/>
    <x v="240"/>
    <x v="29"/>
    <x v="21"/>
    <n v="37"/>
    <x v="0"/>
    <x v="0"/>
    <x v="8"/>
    <x v="3"/>
    <d v="2026-02-23T00:00:00"/>
    <x v="1"/>
    <x v="1"/>
    <x v="0"/>
    <x v="0"/>
    <x v="0"/>
    <x v="5"/>
    <x v="0"/>
    <x v="0"/>
    <x v="0"/>
    <x v="0"/>
    <x v="2"/>
  </r>
  <r>
    <x v="1"/>
    <x v="2"/>
    <x v="41"/>
    <x v="241"/>
    <x v="27"/>
    <x v="21"/>
    <n v="15"/>
    <x v="0"/>
    <x v="0"/>
    <x v="7"/>
    <x v="0"/>
    <d v="2026-02-19T00:00:00"/>
    <x v="0"/>
    <x v="0"/>
    <x v="0"/>
    <x v="0"/>
    <x v="0"/>
    <x v="0"/>
    <x v="0"/>
    <x v="0"/>
    <x v="0"/>
    <x v="0"/>
    <x v="1"/>
  </r>
  <r>
    <x v="1"/>
    <x v="2"/>
    <x v="41"/>
    <x v="242"/>
    <x v="27"/>
    <x v="21"/>
    <n v="40"/>
    <x v="0"/>
    <x v="0"/>
    <x v="7"/>
    <x v="4"/>
    <d v="2026-02-20T00:00:00"/>
    <x v="1"/>
    <x v="1"/>
    <x v="0"/>
    <x v="0"/>
    <x v="0"/>
    <x v="4"/>
    <x v="0"/>
    <x v="0"/>
    <x v="0"/>
    <x v="0"/>
    <x v="3"/>
  </r>
  <r>
    <x v="1"/>
    <x v="2"/>
    <x v="41"/>
    <x v="243"/>
    <x v="27"/>
    <x v="50"/>
    <n v="2"/>
    <x v="0"/>
    <x v="0"/>
    <x v="7"/>
    <x v="0"/>
    <d v="2026-02-19T00:00:00"/>
    <x v="0"/>
    <x v="0"/>
    <x v="0"/>
    <x v="0"/>
    <x v="0"/>
    <x v="0"/>
    <x v="0"/>
    <x v="0"/>
    <x v="0"/>
    <x v="0"/>
    <x v="3"/>
  </r>
  <r>
    <x v="1"/>
    <x v="2"/>
    <x v="41"/>
    <x v="244"/>
    <x v="27"/>
    <x v="36"/>
    <n v="25"/>
    <x v="0"/>
    <x v="0"/>
    <x v="7"/>
    <x v="0"/>
    <d v="2026-02-19T00:00:00"/>
    <x v="0"/>
    <x v="0"/>
    <x v="0"/>
    <x v="0"/>
    <x v="0"/>
    <x v="0"/>
    <x v="0"/>
    <x v="0"/>
    <x v="0"/>
    <x v="0"/>
    <x v="2"/>
  </r>
  <r>
    <x v="1"/>
    <x v="2"/>
    <x v="42"/>
    <x v="245"/>
    <x v="29"/>
    <x v="1"/>
    <n v="11"/>
    <x v="0"/>
    <x v="0"/>
    <x v="7"/>
    <x v="0"/>
    <d v="2026-02-21T00:00:00"/>
    <x v="0"/>
    <x v="0"/>
    <x v="0"/>
    <x v="0"/>
    <x v="0"/>
    <x v="0"/>
    <x v="0"/>
    <x v="0"/>
    <x v="0"/>
    <x v="0"/>
    <x v="3"/>
  </r>
  <r>
    <x v="1"/>
    <x v="2"/>
    <x v="42"/>
    <x v="246"/>
    <x v="29"/>
    <x v="1"/>
    <n v="49"/>
    <x v="0"/>
    <x v="0"/>
    <x v="7"/>
    <x v="1"/>
    <d v="2026-02-24T00:00:00"/>
    <x v="1"/>
    <x v="1"/>
    <x v="0"/>
    <x v="0"/>
    <x v="0"/>
    <x v="5"/>
    <x v="0"/>
    <x v="0"/>
    <x v="0"/>
    <x v="0"/>
    <x v="3"/>
  </r>
  <r>
    <x v="1"/>
    <x v="2"/>
    <x v="42"/>
    <x v="247"/>
    <x v="29"/>
    <x v="1"/>
    <n v="17"/>
    <x v="0"/>
    <x v="0"/>
    <x v="7"/>
    <x v="5"/>
    <d v="2026-02-25T00:00:00"/>
    <x v="1"/>
    <x v="1"/>
    <x v="0"/>
    <x v="0"/>
    <x v="0"/>
    <x v="1"/>
    <x v="0"/>
    <x v="0"/>
    <x v="0"/>
    <x v="0"/>
    <x v="3"/>
  </r>
  <r>
    <x v="1"/>
    <x v="3"/>
    <x v="43"/>
    <x v="248"/>
    <x v="30"/>
    <x v="4"/>
    <n v="3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49"/>
    <x v="30"/>
    <x v="28"/>
    <n v="23"/>
    <x v="0"/>
    <x v="0"/>
    <x v="3"/>
    <x v="7"/>
    <d v="2026-02-20T00:00:00"/>
    <x v="1"/>
    <x v="1"/>
    <x v="0"/>
    <x v="0"/>
    <x v="0"/>
    <x v="0"/>
    <x v="0"/>
    <x v="0"/>
    <x v="0"/>
    <x v="0"/>
    <x v="2"/>
  </r>
  <r>
    <x v="1"/>
    <x v="3"/>
    <x v="43"/>
    <x v="250"/>
    <x v="30"/>
    <x v="23"/>
    <n v="24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51"/>
    <x v="30"/>
    <x v="40"/>
    <n v="4"/>
    <x v="0"/>
    <x v="0"/>
    <x v="3"/>
    <x v="7"/>
    <d v="2026-02-20T00:00:00"/>
    <x v="1"/>
    <x v="1"/>
    <x v="0"/>
    <x v="0"/>
    <x v="0"/>
    <x v="0"/>
    <x v="0"/>
    <x v="0"/>
    <x v="0"/>
    <x v="0"/>
    <x v="3"/>
  </r>
  <r>
    <x v="1"/>
    <x v="3"/>
    <x v="40"/>
    <x v="252"/>
    <x v="30"/>
    <x v="36"/>
    <n v="19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0"/>
    <x v="253"/>
    <x v="30"/>
    <x v="17"/>
    <n v="3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4"/>
    <x v="254"/>
    <x v="30"/>
    <x v="36"/>
    <n v="1"/>
    <x v="0"/>
    <x v="0"/>
    <x v="12"/>
    <x v="4"/>
    <d v="2026-02-24T00:00:00"/>
    <x v="1"/>
    <x v="1"/>
    <x v="0"/>
    <x v="0"/>
    <x v="0"/>
    <x v="0"/>
    <x v="0"/>
    <x v="0"/>
    <x v="0"/>
    <x v="0"/>
    <x v="3"/>
  </r>
  <r>
    <x v="1"/>
    <x v="3"/>
    <x v="44"/>
    <x v="255"/>
    <x v="31"/>
    <x v="32"/>
    <n v="1"/>
    <x v="0"/>
    <x v="0"/>
    <x v="7"/>
    <x v="0"/>
    <d v="2026-02-24T00:00:00"/>
    <x v="0"/>
    <x v="0"/>
    <x v="0"/>
    <x v="0"/>
    <x v="0"/>
    <x v="0"/>
    <x v="0"/>
    <x v="0"/>
    <x v="0"/>
    <x v="0"/>
    <x v="3"/>
  </r>
  <r>
    <x v="1"/>
    <x v="3"/>
    <x v="43"/>
    <x v="256"/>
    <x v="31"/>
    <x v="12"/>
    <n v="37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7"/>
    <x v="31"/>
    <x v="19"/>
    <n v="3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8"/>
    <x v="31"/>
    <x v="52"/>
    <n v="1"/>
    <x v="0"/>
    <x v="0"/>
    <x v="8"/>
    <x v="4"/>
    <d v="2026-02-25T00:00:00"/>
    <x v="1"/>
    <x v="1"/>
    <x v="0"/>
    <x v="0"/>
    <x v="0"/>
    <x v="2"/>
    <x v="0"/>
    <x v="0"/>
    <x v="0"/>
    <x v="0"/>
    <x v="3"/>
  </r>
  <r>
    <x v="1"/>
    <x v="3"/>
    <x v="44"/>
    <x v="259"/>
    <x v="32"/>
    <x v="52"/>
    <n v="31"/>
    <x v="0"/>
    <x v="0"/>
    <x v="8"/>
    <x v="0"/>
    <d v="2026-02-25T00:00:00"/>
    <x v="0"/>
    <x v="0"/>
    <x v="0"/>
    <x v="0"/>
    <x v="0"/>
    <x v="4"/>
    <x v="0"/>
    <x v="0"/>
    <x v="0"/>
    <x v="0"/>
    <x v="3"/>
  </r>
  <r>
    <x v="1"/>
    <x v="3"/>
    <x v="44"/>
    <x v="260"/>
    <x v="31"/>
    <x v="32"/>
    <n v="2"/>
    <x v="0"/>
    <x v="0"/>
    <x v="7"/>
    <x v="4"/>
    <d v="2026-02-25T00:00:00"/>
    <x v="1"/>
    <x v="1"/>
    <x v="0"/>
    <x v="0"/>
    <x v="0"/>
    <x v="4"/>
    <x v="1"/>
    <x v="1"/>
    <x v="1"/>
    <x v="0"/>
    <x v="3"/>
  </r>
  <r>
    <x v="1"/>
    <x v="3"/>
    <x v="45"/>
    <x v="261"/>
    <x v="31"/>
    <x v="6"/>
    <n v="44"/>
    <x v="0"/>
    <x v="2"/>
    <x v="0"/>
    <x v="4"/>
    <d v="2026-02-25T00:00:00"/>
    <x v="1"/>
    <x v="1"/>
    <x v="1"/>
    <x v="1"/>
    <x v="1"/>
    <x v="5"/>
    <x v="0"/>
    <x v="0"/>
    <x v="0"/>
    <x v="0"/>
    <x v="3"/>
  </r>
  <r>
    <x v="1"/>
    <x v="3"/>
    <x v="42"/>
    <x v="246"/>
    <x v="31"/>
    <x v="1"/>
    <n v="16"/>
    <x v="0"/>
    <x v="2"/>
    <x v="3"/>
    <x v="8"/>
    <d v="2026-02-23T00:00:00"/>
    <x v="1"/>
    <x v="1"/>
    <x v="1"/>
    <x v="1"/>
    <x v="1"/>
    <x v="2"/>
    <x v="0"/>
    <x v="0"/>
    <x v="0"/>
    <x v="0"/>
    <x v="3"/>
  </r>
  <r>
    <x v="1"/>
    <x v="3"/>
    <x v="40"/>
    <x v="262"/>
    <x v="32"/>
    <x v="22"/>
    <n v="1"/>
    <x v="0"/>
    <x v="0"/>
    <x v="6"/>
    <x v="0"/>
    <d v="2026-02-25T00:00:00"/>
    <x v="0"/>
    <x v="0"/>
    <x v="0"/>
    <x v="0"/>
    <x v="0"/>
    <x v="8"/>
    <x v="0"/>
    <x v="0"/>
    <x v="0"/>
    <x v="0"/>
    <x v="3"/>
  </r>
  <r>
    <x v="1"/>
    <x v="3"/>
    <x v="40"/>
    <x v="263"/>
    <x v="32"/>
    <x v="32"/>
    <n v="2"/>
    <x v="0"/>
    <x v="0"/>
    <x v="6"/>
    <x v="0"/>
    <d v="2026-02-25T00:00:00"/>
    <x v="0"/>
    <x v="0"/>
    <x v="0"/>
    <x v="0"/>
    <x v="0"/>
    <x v="8"/>
    <x v="0"/>
    <x v="0"/>
    <x v="0"/>
    <x v="0"/>
    <x v="1"/>
  </r>
  <r>
    <x v="1"/>
    <x v="3"/>
    <x v="44"/>
    <x v="264"/>
    <x v="32"/>
    <x v="11"/>
    <n v="2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0"/>
    <x v="265"/>
    <x v="31"/>
    <x v="20"/>
    <n v="21"/>
    <x v="0"/>
    <x v="0"/>
    <x v="1"/>
    <x v="4"/>
    <d v="2026-02-25T00:00:00"/>
    <x v="1"/>
    <x v="1"/>
    <x v="0"/>
    <x v="0"/>
    <x v="0"/>
    <x v="8"/>
    <x v="0"/>
    <x v="0"/>
    <x v="0"/>
    <x v="0"/>
    <x v="1"/>
  </r>
  <r>
    <x v="1"/>
    <x v="3"/>
    <x v="46"/>
    <x v="266"/>
    <x v="33"/>
    <x v="21"/>
    <n v="11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46"/>
    <x v="267"/>
    <x v="33"/>
    <x v="21"/>
    <n v="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39"/>
    <x v="268"/>
    <x v="33"/>
    <x v="51"/>
    <n v="1"/>
    <x v="0"/>
    <x v="0"/>
    <x v="17"/>
    <x v="10"/>
    <d v="2026-02-16T00:00:00"/>
    <x v="1"/>
    <x v="1"/>
    <x v="0"/>
    <x v="0"/>
    <x v="0"/>
    <x v="0"/>
    <x v="0"/>
    <x v="0"/>
    <x v="0"/>
    <x v="0"/>
    <x v="1"/>
  </r>
  <r>
    <x v="1"/>
    <x v="3"/>
    <x v="44"/>
    <x v="269"/>
    <x v="32"/>
    <x v="0"/>
    <n v="1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4"/>
    <x v="270"/>
    <x v="32"/>
    <x v="0"/>
    <n v="5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2"/>
    <x v="271"/>
    <x v="33"/>
    <x v="0"/>
    <n v="40"/>
    <x v="0"/>
    <x v="0"/>
    <x v="6"/>
    <x v="11"/>
    <d v="2026-02-21T00:00:00"/>
    <x v="1"/>
    <x v="1"/>
    <x v="0"/>
    <x v="0"/>
    <x v="0"/>
    <x v="0"/>
    <x v="0"/>
    <x v="0"/>
    <x v="0"/>
    <x v="0"/>
    <x v="1"/>
  </r>
  <r>
    <x v="1"/>
    <x v="3"/>
    <x v="39"/>
    <x v="272"/>
    <x v="32"/>
    <x v="51"/>
    <n v="5"/>
    <x v="0"/>
    <x v="0"/>
    <x v="15"/>
    <x v="12"/>
    <d v="2026-02-16T00:00:00"/>
    <x v="1"/>
    <x v="1"/>
    <x v="0"/>
    <x v="0"/>
    <x v="0"/>
    <x v="0"/>
    <x v="0"/>
    <x v="0"/>
    <x v="0"/>
    <x v="0"/>
    <x v="3"/>
  </r>
  <r>
    <x v="1"/>
    <x v="3"/>
    <x v="42"/>
    <x v="273"/>
    <x v="32"/>
    <x v="0"/>
    <n v="1"/>
    <x v="0"/>
    <x v="0"/>
    <x v="1"/>
    <x v="13"/>
    <d v="2026-02-21T00:00:00"/>
    <x v="1"/>
    <x v="1"/>
    <x v="0"/>
    <x v="0"/>
    <x v="0"/>
    <x v="0"/>
    <x v="0"/>
    <x v="0"/>
    <x v="0"/>
    <x v="0"/>
    <x v="3"/>
  </r>
  <r>
    <x v="1"/>
    <x v="3"/>
    <x v="44"/>
    <x v="274"/>
    <x v="32"/>
    <x v="0"/>
    <n v="3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3"/>
    <x v="275"/>
    <x v="32"/>
    <x v="53"/>
    <n v="27"/>
    <x v="0"/>
    <x v="0"/>
    <x v="0"/>
    <x v="14"/>
    <d v="2026-02-23T00:00:00"/>
    <x v="1"/>
    <x v="1"/>
    <x v="0"/>
    <x v="0"/>
    <x v="0"/>
    <x v="0"/>
    <x v="0"/>
    <x v="0"/>
    <x v="0"/>
    <x v="0"/>
    <x v="3"/>
  </r>
  <r>
    <x v="1"/>
    <x v="3"/>
    <x v="46"/>
    <x v="276"/>
    <x v="32"/>
    <x v="5"/>
    <n v="3"/>
    <x v="0"/>
    <x v="0"/>
    <x v="7"/>
    <x v="0"/>
    <d v="2026-02-25T00:00:00"/>
    <x v="0"/>
    <x v="0"/>
    <x v="0"/>
    <x v="0"/>
    <x v="0"/>
    <x v="0"/>
    <x v="0"/>
    <x v="0"/>
    <x v="0"/>
    <x v="0"/>
    <x v="3"/>
  </r>
  <r>
    <x v="1"/>
    <x v="3"/>
    <x v="44"/>
    <x v="277"/>
    <x v="33"/>
    <x v="53"/>
    <n v="30"/>
    <x v="0"/>
    <x v="0"/>
    <x v="0"/>
    <x v="14"/>
    <d v="2026-02-24T00:00:00"/>
    <x v="1"/>
    <x v="1"/>
    <x v="0"/>
    <x v="0"/>
    <x v="0"/>
    <x v="0"/>
    <x v="0"/>
    <x v="0"/>
    <x v="0"/>
    <x v="0"/>
    <x v="3"/>
  </r>
  <r>
    <x v="1"/>
    <x v="3"/>
    <x v="46"/>
    <x v="278"/>
    <x v="33"/>
    <x v="3"/>
    <n v="80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79"/>
    <x v="32"/>
    <x v="11"/>
    <n v="4"/>
    <x v="0"/>
    <x v="0"/>
    <x v="12"/>
    <x v="4"/>
    <d v="2026-02-26T00:00:00"/>
    <x v="1"/>
    <x v="1"/>
    <x v="0"/>
    <x v="0"/>
    <x v="0"/>
    <x v="0"/>
    <x v="0"/>
    <x v="0"/>
    <x v="0"/>
    <x v="0"/>
    <x v="3"/>
  </r>
  <r>
    <x v="1"/>
    <x v="3"/>
    <x v="47"/>
    <x v="280"/>
    <x v="33"/>
    <x v="54"/>
    <n v="203"/>
    <x v="0"/>
    <x v="0"/>
    <x v="7"/>
    <x v="0"/>
    <d v="2026-02-26T00:00:00"/>
    <x v="0"/>
    <x v="0"/>
    <x v="0"/>
    <x v="0"/>
    <x v="0"/>
    <x v="0"/>
    <x v="0"/>
    <x v="0"/>
    <x v="0"/>
    <x v="0"/>
    <x v="3"/>
  </r>
  <r>
    <x v="1"/>
    <x v="3"/>
    <x v="44"/>
    <x v="281"/>
    <x v="33"/>
    <x v="55"/>
    <n v="7"/>
    <x v="0"/>
    <x v="0"/>
    <x v="0"/>
    <x v="14"/>
    <d v="2026-02-24T00:00:00"/>
    <x v="1"/>
    <x v="1"/>
    <x v="0"/>
    <x v="0"/>
    <x v="0"/>
    <x v="0"/>
    <x v="1"/>
    <x v="0"/>
    <x v="1"/>
    <x v="0"/>
    <x v="3"/>
  </r>
  <r>
    <x v="1"/>
    <x v="3"/>
    <x v="46"/>
    <x v="282"/>
    <x v="33"/>
    <x v="0"/>
    <n v="37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83"/>
    <x v="33"/>
    <x v="0"/>
    <n v="2"/>
    <x v="0"/>
    <x v="1"/>
    <x v="7"/>
    <x v="0"/>
    <d v="2026-02-26T00:00:00"/>
    <x v="0"/>
    <x v="0"/>
    <x v="1"/>
    <x v="1"/>
    <x v="1"/>
    <x v="0"/>
    <x v="0"/>
    <x v="0"/>
    <x v="0"/>
    <x v="0"/>
    <x v="3"/>
  </r>
  <r>
    <x v="1"/>
    <x v="3"/>
    <x v="47"/>
    <x v="284"/>
    <x v="34"/>
    <x v="56"/>
    <n v="16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35"/>
    <x v="209"/>
    <x v="34"/>
    <x v="18"/>
    <n v="2"/>
    <x v="0"/>
    <x v="0"/>
    <x v="16"/>
    <x v="15"/>
    <d v="2026-02-13T00:00:00"/>
    <x v="1"/>
    <x v="1"/>
    <x v="0"/>
    <x v="0"/>
    <x v="0"/>
    <x v="4"/>
    <x v="0"/>
    <x v="0"/>
    <x v="0"/>
    <x v="0"/>
    <x v="3"/>
  </r>
  <r>
    <x v="1"/>
    <x v="3"/>
    <x v="47"/>
    <x v="285"/>
    <x v="34"/>
    <x v="32"/>
    <n v="1"/>
    <x v="0"/>
    <x v="0"/>
    <x v="8"/>
    <x v="0"/>
    <d v="2026-02-27T00:00:00"/>
    <x v="0"/>
    <x v="0"/>
    <x v="0"/>
    <x v="0"/>
    <x v="0"/>
    <x v="4"/>
    <x v="0"/>
    <x v="0"/>
    <x v="0"/>
    <x v="0"/>
    <x v="3"/>
  </r>
  <r>
    <x v="1"/>
    <x v="3"/>
    <x v="47"/>
    <x v="286"/>
    <x v="34"/>
    <x v="21"/>
    <n v="334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7"/>
    <x v="287"/>
    <x v="34"/>
    <x v="21"/>
    <n v="3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8"/>
    <x v="288"/>
    <x v="34"/>
    <x v="38"/>
    <n v="2"/>
    <x v="0"/>
    <x v="0"/>
    <x v="7"/>
    <x v="0"/>
    <d v="2026-02-27T00:00:00"/>
    <x v="0"/>
    <x v="0"/>
    <x v="0"/>
    <x v="0"/>
    <x v="0"/>
    <x v="0"/>
    <x v="0"/>
    <x v="0"/>
    <x v="0"/>
    <x v="0"/>
    <x v="3"/>
  </r>
  <r>
    <x v="1"/>
    <x v="3"/>
    <x v="44"/>
    <x v="289"/>
    <x v="34"/>
    <x v="16"/>
    <n v="186"/>
    <x v="0"/>
    <x v="1"/>
    <x v="3"/>
    <x v="7"/>
    <d v="2026-02-24T00:00:00"/>
    <x v="1"/>
    <x v="1"/>
    <x v="1"/>
    <x v="1"/>
    <x v="1"/>
    <x v="0"/>
    <x v="0"/>
    <x v="0"/>
    <x v="0"/>
    <x v="0"/>
    <x v="3"/>
  </r>
  <r>
    <x v="1"/>
    <x v="3"/>
    <x v="48"/>
    <x v="290"/>
    <x v="34"/>
    <x v="3"/>
    <n v="8"/>
    <x v="0"/>
    <x v="0"/>
    <x v="7"/>
    <x v="0"/>
    <d v="2026-02-27T00:00:00"/>
    <x v="0"/>
    <x v="0"/>
    <x v="0"/>
    <x v="0"/>
    <x v="0"/>
    <x v="0"/>
    <x v="0"/>
    <x v="0"/>
    <x v="0"/>
    <x v="0"/>
    <x v="6"/>
  </r>
  <r>
    <x v="1"/>
    <x v="3"/>
    <x v="47"/>
    <x v="291"/>
    <x v="34"/>
    <x v="40"/>
    <n v="10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2"/>
    <x v="34"/>
    <x v="57"/>
    <n v="2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3"/>
    <x v="35"/>
    <x v="4"/>
    <n v="10"/>
    <x v="0"/>
    <x v="0"/>
    <x v="0"/>
    <x v="0"/>
    <d v="2026-02-28T00:00:00"/>
    <x v="0"/>
    <x v="0"/>
    <x v="0"/>
    <x v="0"/>
    <x v="0"/>
    <x v="2"/>
    <x v="0"/>
    <x v="0"/>
    <x v="0"/>
    <x v="0"/>
    <x v="2"/>
  </r>
  <r>
    <x v="1"/>
    <x v="3"/>
    <x v="40"/>
    <x v="294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0"/>
    <x v="295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8"/>
    <x v="296"/>
    <x v="35"/>
    <x v="5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9"/>
    <x v="297"/>
    <x v="35"/>
    <x v="5"/>
    <n v="2"/>
    <x v="0"/>
    <x v="0"/>
    <x v="7"/>
    <x v="0"/>
    <d v="2026-02-28T00:00:00"/>
    <x v="0"/>
    <x v="0"/>
    <x v="0"/>
    <x v="0"/>
    <x v="0"/>
    <x v="0"/>
    <x v="0"/>
    <x v="0"/>
    <x v="0"/>
    <x v="0"/>
    <x v="3"/>
  </r>
  <r>
    <x v="1"/>
    <x v="3"/>
    <x v="36"/>
    <x v="230"/>
    <x v="34"/>
    <x v="32"/>
    <n v="25"/>
    <x v="0"/>
    <x v="0"/>
    <x v="18"/>
    <x v="9"/>
    <d v="2026-02-20T00:00:00"/>
    <x v="1"/>
    <x v="1"/>
    <x v="0"/>
    <x v="0"/>
    <x v="0"/>
    <x v="6"/>
    <x v="0"/>
    <x v="0"/>
    <x v="0"/>
    <x v="0"/>
    <x v="2"/>
  </r>
  <r>
    <x v="1"/>
    <x v="3"/>
    <x v="48"/>
    <x v="298"/>
    <x v="35"/>
    <x v="1"/>
    <n v="2"/>
    <x v="0"/>
    <x v="0"/>
    <x v="8"/>
    <x v="16"/>
    <d v="2026-02-20T00:00:00"/>
    <x v="1"/>
    <x v="1"/>
    <x v="0"/>
    <x v="0"/>
    <x v="0"/>
    <x v="18"/>
    <x v="0"/>
    <x v="0"/>
    <x v="0"/>
    <x v="0"/>
    <x v="3"/>
  </r>
  <r>
    <x v="1"/>
    <x v="3"/>
    <x v="48"/>
    <x v="299"/>
    <x v="35"/>
    <x v="52"/>
    <n v="10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0"/>
    <x v="35"/>
    <x v="21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1"/>
    <x v="35"/>
    <x v="58"/>
    <n v="4"/>
    <x v="0"/>
    <x v="0"/>
    <x v="8"/>
    <x v="0"/>
    <d v="2026-02-28T00:00:00"/>
    <x v="0"/>
    <x v="0"/>
    <x v="0"/>
    <x v="0"/>
    <x v="0"/>
    <x v="4"/>
    <x v="0"/>
    <x v="0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x v="0"/>
    <x v="0"/>
    <x v="0"/>
    <x v="0"/>
    <n v="4"/>
    <n v="11"/>
    <n v="56"/>
    <n v="5.0909090909090908"/>
    <n v="2.75"/>
    <x v="0"/>
    <x v="0"/>
  </r>
  <r>
    <x v="0"/>
    <x v="0"/>
    <x v="0"/>
    <x v="1"/>
    <n v="15"/>
    <n v="113"/>
    <n v="854"/>
    <n v="7.5575221238938051"/>
    <n v="7.5333333333333332"/>
    <x v="0"/>
    <x v="0"/>
  </r>
  <r>
    <x v="0"/>
    <x v="0"/>
    <x v="0"/>
    <x v="2"/>
    <n v="61"/>
    <n v="418"/>
    <n v="3602"/>
    <n v="8.6172248803827749"/>
    <n v="6.8524590163934427"/>
    <x v="0"/>
    <x v="0"/>
  </r>
  <r>
    <x v="0"/>
    <x v="0"/>
    <x v="0"/>
    <x v="3"/>
    <n v="19"/>
    <n v="157"/>
    <n v="580"/>
    <n v="3.6942675159235669"/>
    <n v="8.2631578947368425"/>
    <x v="0"/>
    <x v="0"/>
  </r>
  <r>
    <x v="0"/>
    <x v="0"/>
    <x v="0"/>
    <x v="4"/>
    <n v="4"/>
    <n v="22"/>
    <n v="133"/>
    <n v="6.0454545454545459"/>
    <n v="5.5"/>
    <x v="0"/>
    <x v="0"/>
  </r>
  <r>
    <x v="1"/>
    <x v="0"/>
    <x v="0"/>
    <x v="0"/>
    <n v="3"/>
    <n v="5"/>
    <n v="26"/>
    <n v="5.2"/>
    <n v="1.6666666666666667"/>
    <x v="0"/>
    <x v="0"/>
  </r>
  <r>
    <x v="1"/>
    <x v="0"/>
    <x v="0"/>
    <x v="1"/>
    <n v="17"/>
    <n v="82"/>
    <n v="430"/>
    <n v="5.2439024390243905"/>
    <n v="4.8235294117647056"/>
    <x v="0"/>
    <x v="0"/>
  </r>
  <r>
    <x v="1"/>
    <x v="0"/>
    <x v="0"/>
    <x v="5"/>
    <n v="35"/>
    <n v="220"/>
    <n v="1462"/>
    <n v="6.6454545454545455"/>
    <n v="6.2857142857142856"/>
    <x v="0"/>
    <x v="0"/>
  </r>
  <r>
    <x v="1"/>
    <x v="0"/>
    <x v="0"/>
    <x v="2"/>
    <n v="18"/>
    <n v="80"/>
    <n v="360"/>
    <n v="4.5"/>
    <n v="4.4444444444444446"/>
    <x v="0"/>
    <x v="0"/>
  </r>
  <r>
    <x v="1"/>
    <x v="0"/>
    <x v="0"/>
    <x v="3"/>
    <n v="18"/>
    <n v="180"/>
    <n v="797"/>
    <n v="4.427777777777778"/>
    <n v="10"/>
    <x v="0"/>
    <x v="0"/>
  </r>
  <r>
    <x v="1"/>
    <x v="0"/>
    <x v="0"/>
    <x v="6"/>
    <n v="3"/>
    <n v="36"/>
    <n v="102"/>
    <n v="2.8333333333333335"/>
    <n v="12"/>
    <x v="0"/>
    <x v="0"/>
  </r>
  <r>
    <x v="1"/>
    <x v="0"/>
    <x v="0"/>
    <x v="4"/>
    <n v="26"/>
    <n v="136"/>
    <n v="542"/>
    <n v="3.9852941176470589"/>
    <n v="5.2307692307692308"/>
    <x v="0"/>
    <x v="0"/>
  </r>
  <r>
    <x v="2"/>
    <x v="0"/>
    <x v="0"/>
    <x v="0"/>
    <n v="8"/>
    <n v="28"/>
    <n v="72"/>
    <n v="2.5714285714285716"/>
    <n v="3.5"/>
    <x v="0"/>
    <x v="0"/>
  </r>
  <r>
    <x v="2"/>
    <x v="0"/>
    <x v="0"/>
    <x v="1"/>
    <n v="28"/>
    <n v="113"/>
    <n v="781"/>
    <n v="6.9115044247787614"/>
    <n v="4.0357142857142856"/>
    <x v="0"/>
    <x v="0"/>
  </r>
  <r>
    <x v="2"/>
    <x v="0"/>
    <x v="0"/>
    <x v="5"/>
    <n v="28"/>
    <n v="170"/>
    <n v="877"/>
    <n v="5.158823529411765"/>
    <n v="6.0714285714285712"/>
    <x v="0"/>
    <x v="0"/>
  </r>
  <r>
    <x v="2"/>
    <x v="0"/>
    <x v="0"/>
    <x v="2"/>
    <n v="22"/>
    <n v="134"/>
    <n v="453"/>
    <n v="3.3805970149253732"/>
    <n v="6.0909090909090908"/>
    <x v="0"/>
    <x v="0"/>
  </r>
  <r>
    <x v="2"/>
    <x v="0"/>
    <x v="0"/>
    <x v="3"/>
    <n v="22"/>
    <n v="107"/>
    <n v="574"/>
    <n v="5.3644859813084116"/>
    <n v="4.8636363636363633"/>
    <x v="0"/>
    <x v="0"/>
  </r>
  <r>
    <x v="2"/>
    <x v="0"/>
    <x v="0"/>
    <x v="7"/>
    <n v="13"/>
    <n v="50"/>
    <n v="221"/>
    <n v="4.42"/>
    <n v="3.8461538461538463"/>
    <x v="0"/>
    <x v="0"/>
  </r>
  <r>
    <x v="2"/>
    <x v="0"/>
    <x v="0"/>
    <x v="6"/>
    <n v="14"/>
    <n v="30"/>
    <n v="167"/>
    <n v="5.5666666666666664"/>
    <n v="2.1428571428571428"/>
    <x v="0"/>
    <x v="0"/>
  </r>
  <r>
    <x v="2"/>
    <x v="0"/>
    <x v="0"/>
    <x v="4"/>
    <n v="16"/>
    <n v="101"/>
    <n v="848"/>
    <n v="8.3960396039603964"/>
    <n v="6.3125"/>
    <x v="0"/>
    <x v="0"/>
  </r>
  <r>
    <x v="3"/>
    <x v="0"/>
    <x v="0"/>
    <x v="0"/>
    <n v="4"/>
    <n v="13"/>
    <n v="63"/>
    <n v="4.8461538461538458"/>
    <n v="3.25"/>
    <x v="0"/>
    <x v="0"/>
  </r>
  <r>
    <x v="3"/>
    <x v="0"/>
    <x v="0"/>
    <x v="1"/>
    <n v="14"/>
    <n v="57"/>
    <n v="547"/>
    <n v="9.5964912280701746"/>
    <n v="4.0714285714285712"/>
    <x v="0"/>
    <x v="0"/>
  </r>
  <r>
    <x v="3"/>
    <x v="0"/>
    <x v="0"/>
    <x v="5"/>
    <n v="20"/>
    <n v="141"/>
    <n v="572"/>
    <n v="4.0567375886524824"/>
    <n v="7.05"/>
    <x v="0"/>
    <x v="0"/>
  </r>
  <r>
    <x v="3"/>
    <x v="0"/>
    <x v="0"/>
    <x v="2"/>
    <n v="12"/>
    <n v="151"/>
    <n v="415"/>
    <n v="2.7483443708609272"/>
    <n v="12.583333333333334"/>
    <x v="0"/>
    <x v="0"/>
  </r>
  <r>
    <x v="3"/>
    <x v="0"/>
    <x v="0"/>
    <x v="3"/>
    <n v="18"/>
    <n v="115"/>
    <n v="604"/>
    <n v="5.2521739130434781"/>
    <n v="6.3888888888888893"/>
    <x v="0"/>
    <x v="0"/>
  </r>
  <r>
    <x v="3"/>
    <x v="0"/>
    <x v="0"/>
    <x v="7"/>
    <n v="10"/>
    <n v="39"/>
    <n v="449"/>
    <n v="11.512820512820513"/>
    <n v="3.9"/>
    <x v="0"/>
    <x v="0"/>
  </r>
  <r>
    <x v="3"/>
    <x v="0"/>
    <x v="0"/>
    <x v="6"/>
    <n v="5"/>
    <n v="14"/>
    <n v="14"/>
    <n v="1"/>
    <n v="2.8"/>
    <x v="0"/>
    <x v="0"/>
  </r>
  <r>
    <x v="3"/>
    <x v="0"/>
    <x v="0"/>
    <x v="4"/>
    <n v="16"/>
    <n v="95"/>
    <n v="440"/>
    <n v="4.6315789473684212"/>
    <n v="5.9375"/>
    <x v="0"/>
    <x v="0"/>
  </r>
  <r>
    <x v="4"/>
    <x v="0"/>
    <x v="0"/>
    <x v="0"/>
    <n v="2"/>
    <n v="7"/>
    <n v="13"/>
    <n v="1.8571428571428572"/>
    <n v="3.5"/>
    <x v="0"/>
    <x v="0"/>
  </r>
  <r>
    <x v="4"/>
    <x v="0"/>
    <x v="0"/>
    <x v="1"/>
    <n v="10"/>
    <n v="45"/>
    <n v="208"/>
    <n v="4.6222222222222218"/>
    <n v="4.5"/>
    <x v="0"/>
    <x v="0"/>
  </r>
  <r>
    <x v="4"/>
    <x v="0"/>
    <x v="0"/>
    <x v="5"/>
    <n v="31"/>
    <n v="124"/>
    <n v="729"/>
    <n v="5.879032258064516"/>
    <n v="4"/>
    <x v="0"/>
    <x v="0"/>
  </r>
  <r>
    <x v="4"/>
    <x v="0"/>
    <x v="0"/>
    <x v="2"/>
    <n v="20"/>
    <n v="81"/>
    <n v="488"/>
    <n v="6.0246913580246915"/>
    <n v="4.05"/>
    <x v="0"/>
    <x v="0"/>
  </r>
  <r>
    <x v="4"/>
    <x v="0"/>
    <x v="0"/>
    <x v="3"/>
    <n v="22"/>
    <n v="116"/>
    <n v="602"/>
    <n v="5.1896551724137927"/>
    <n v="5.2727272727272725"/>
    <x v="0"/>
    <x v="0"/>
  </r>
  <r>
    <x v="4"/>
    <x v="0"/>
    <x v="0"/>
    <x v="7"/>
    <n v="10"/>
    <n v="118"/>
    <n v="1399"/>
    <n v="11.85593220338983"/>
    <n v="11.8"/>
    <x v="0"/>
    <x v="0"/>
  </r>
  <r>
    <x v="4"/>
    <x v="0"/>
    <x v="0"/>
    <x v="6"/>
    <n v="3"/>
    <n v="17"/>
    <n v="263"/>
    <n v="15.470588235294118"/>
    <n v="5.666666666666667"/>
    <x v="0"/>
    <x v="0"/>
  </r>
  <r>
    <x v="4"/>
    <x v="0"/>
    <x v="0"/>
    <x v="4"/>
    <n v="7"/>
    <n v="95"/>
    <n v="384"/>
    <n v="4.0421052631578949"/>
    <n v="13.571428571428571"/>
    <x v="0"/>
    <x v="0"/>
  </r>
  <r>
    <x v="5"/>
    <x v="0"/>
    <x v="0"/>
    <x v="0"/>
    <n v="13"/>
    <n v="62"/>
    <n v="258"/>
    <n v="4.161290322580645"/>
    <n v="4.7692307692307692"/>
    <x v="0"/>
    <x v="0"/>
  </r>
  <r>
    <x v="5"/>
    <x v="0"/>
    <x v="0"/>
    <x v="1"/>
    <n v="12"/>
    <n v="68"/>
    <n v="222"/>
    <n v="3.2647058823529411"/>
    <n v="5.666666666666667"/>
    <x v="0"/>
    <x v="0"/>
  </r>
  <r>
    <x v="5"/>
    <x v="0"/>
    <x v="0"/>
    <x v="5"/>
    <n v="40"/>
    <n v="198"/>
    <n v="1126"/>
    <n v="5.6868686868686869"/>
    <n v="4.95"/>
    <x v="0"/>
    <x v="0"/>
  </r>
  <r>
    <x v="5"/>
    <x v="0"/>
    <x v="0"/>
    <x v="3"/>
    <n v="16"/>
    <n v="132"/>
    <n v="657"/>
    <n v="4.9772727272727275"/>
    <n v="8.25"/>
    <x v="0"/>
    <x v="0"/>
  </r>
  <r>
    <x v="5"/>
    <x v="0"/>
    <x v="0"/>
    <x v="7"/>
    <n v="22"/>
    <n v="119"/>
    <n v="497"/>
    <n v="4.1764705882352944"/>
    <n v="5.4090909090909092"/>
    <x v="0"/>
    <x v="0"/>
  </r>
  <r>
    <x v="5"/>
    <x v="0"/>
    <x v="0"/>
    <x v="6"/>
    <n v="1"/>
    <n v="2"/>
    <n v="2"/>
    <n v="1"/>
    <n v="2"/>
    <x v="0"/>
    <x v="0"/>
  </r>
  <r>
    <x v="5"/>
    <x v="0"/>
    <x v="0"/>
    <x v="4"/>
    <n v="14"/>
    <n v="81"/>
    <n v="389"/>
    <n v="4.8024691358024691"/>
    <n v="5.7857142857142856"/>
    <x v="0"/>
    <x v="0"/>
  </r>
  <r>
    <x v="6"/>
    <x v="0"/>
    <x v="0"/>
    <x v="1"/>
    <n v="10"/>
    <n v="58"/>
    <n v="309"/>
    <n v="5.3275862068965516"/>
    <n v="5.8"/>
    <x v="0"/>
    <x v="0"/>
  </r>
  <r>
    <x v="6"/>
    <x v="0"/>
    <x v="0"/>
    <x v="3"/>
    <n v="27"/>
    <n v="254"/>
    <n v="864"/>
    <n v="3.4015748031496065"/>
    <n v="9.4074074074074066"/>
    <x v="0"/>
    <x v="0"/>
  </r>
  <r>
    <x v="6"/>
    <x v="0"/>
    <x v="0"/>
    <x v="7"/>
    <n v="12"/>
    <n v="105"/>
    <n v="483"/>
    <n v="4.5999999999999996"/>
    <n v="8.75"/>
    <x v="0"/>
    <x v="0"/>
  </r>
  <r>
    <x v="6"/>
    <x v="0"/>
    <x v="0"/>
    <x v="6"/>
    <n v="2"/>
    <n v="2"/>
    <n v="3"/>
    <n v="1.5"/>
    <n v="1"/>
    <x v="0"/>
    <x v="0"/>
  </r>
  <r>
    <x v="7"/>
    <x v="0"/>
    <x v="1"/>
    <x v="1"/>
    <n v="22"/>
    <n v="130"/>
    <n v="883"/>
    <n v="6.7923076923076922"/>
    <n v="5.9090909090909092"/>
    <x v="0"/>
    <x v="0"/>
  </r>
  <r>
    <x v="7"/>
    <x v="0"/>
    <x v="1"/>
    <x v="5"/>
    <n v="35"/>
    <n v="249"/>
    <n v="1078"/>
    <n v="4.3293172690763049"/>
    <n v="7.1142857142857139"/>
    <x v="0"/>
    <x v="0"/>
  </r>
  <r>
    <x v="7"/>
    <x v="0"/>
    <x v="1"/>
    <x v="3"/>
    <n v="13"/>
    <n v="81"/>
    <n v="1170"/>
    <n v="14.444444444444445"/>
    <n v="6.2307692307692308"/>
    <x v="0"/>
    <x v="0"/>
  </r>
  <r>
    <x v="7"/>
    <x v="0"/>
    <x v="1"/>
    <x v="7"/>
    <n v="35"/>
    <n v="149"/>
    <n v="824"/>
    <n v="5.5302013422818792"/>
    <n v="4.2571428571428571"/>
    <x v="0"/>
    <x v="0"/>
  </r>
  <r>
    <x v="7"/>
    <x v="0"/>
    <x v="1"/>
    <x v="6"/>
    <n v="2"/>
    <n v="3"/>
    <n v="5"/>
    <n v="1.6666666666666667"/>
    <n v="1.5"/>
    <x v="0"/>
    <x v="0"/>
  </r>
  <r>
    <x v="7"/>
    <x v="0"/>
    <x v="1"/>
    <x v="4"/>
    <n v="3"/>
    <n v="19"/>
    <n v="126"/>
    <n v="6.6315789473684212"/>
    <n v="6.333333333333333"/>
    <x v="0"/>
    <x v="0"/>
  </r>
  <r>
    <x v="8"/>
    <x v="0"/>
    <x v="1"/>
    <x v="0"/>
    <n v="16"/>
    <n v="53"/>
    <n v="203"/>
    <n v="3.8301886792452828"/>
    <n v="3.3125"/>
    <x v="0"/>
    <x v="0"/>
  </r>
  <r>
    <x v="8"/>
    <x v="0"/>
    <x v="1"/>
    <x v="1"/>
    <n v="27"/>
    <n v="107"/>
    <n v="1080"/>
    <n v="10.093457943925234"/>
    <n v="3.9629629629629628"/>
    <x v="0"/>
    <x v="0"/>
  </r>
  <r>
    <x v="8"/>
    <x v="0"/>
    <x v="1"/>
    <x v="5"/>
    <n v="54"/>
    <n v="248"/>
    <n v="1364"/>
    <n v="5.5"/>
    <n v="4.5925925925925926"/>
    <x v="0"/>
    <x v="0"/>
  </r>
  <r>
    <x v="8"/>
    <x v="0"/>
    <x v="1"/>
    <x v="3"/>
    <n v="6"/>
    <n v="29"/>
    <n v="197"/>
    <n v="6.7931034482758621"/>
    <n v="4.833333333333333"/>
    <x v="0"/>
    <x v="0"/>
  </r>
  <r>
    <x v="8"/>
    <x v="0"/>
    <x v="1"/>
    <x v="7"/>
    <n v="48"/>
    <n v="283"/>
    <n v="2348"/>
    <n v="8.2968197879858661"/>
    <n v="5.895833333333333"/>
    <x v="0"/>
    <x v="0"/>
  </r>
  <r>
    <x v="8"/>
    <x v="0"/>
    <x v="1"/>
    <x v="6"/>
    <n v="4"/>
    <n v="12"/>
    <n v="229"/>
    <n v="19.083333333333332"/>
    <n v="3"/>
    <x v="0"/>
    <x v="0"/>
  </r>
  <r>
    <x v="8"/>
    <x v="0"/>
    <x v="1"/>
    <x v="4"/>
    <n v="5"/>
    <n v="10"/>
    <n v="547"/>
    <n v="54.7"/>
    <n v="2"/>
    <x v="0"/>
    <x v="0"/>
  </r>
  <r>
    <x v="9"/>
    <x v="0"/>
    <x v="1"/>
    <x v="0"/>
    <n v="8"/>
    <n v="44"/>
    <n v="180"/>
    <n v="4.0909090909090908"/>
    <n v="5.5"/>
    <x v="0"/>
    <x v="0"/>
  </r>
  <r>
    <x v="9"/>
    <x v="0"/>
    <x v="1"/>
    <x v="1"/>
    <n v="12"/>
    <n v="52"/>
    <n v="181"/>
    <n v="3.4807692307692308"/>
    <n v="4.333333333333333"/>
    <x v="0"/>
    <x v="0"/>
  </r>
  <r>
    <x v="9"/>
    <x v="0"/>
    <x v="1"/>
    <x v="5"/>
    <n v="39"/>
    <n v="250"/>
    <n v="1116"/>
    <n v="4.4640000000000004"/>
    <n v="6.4102564102564106"/>
    <x v="0"/>
    <x v="0"/>
  </r>
  <r>
    <x v="9"/>
    <x v="0"/>
    <x v="1"/>
    <x v="3"/>
    <n v="36"/>
    <n v="325"/>
    <n v="1926"/>
    <n v="5.9261538461538459"/>
    <n v="9.0277777777777786"/>
    <x v="0"/>
    <x v="0"/>
  </r>
  <r>
    <x v="9"/>
    <x v="0"/>
    <x v="1"/>
    <x v="7"/>
    <n v="6"/>
    <n v="20"/>
    <n v="205"/>
    <n v="10.25"/>
    <n v="3.3333333333333335"/>
    <x v="0"/>
    <x v="0"/>
  </r>
  <r>
    <x v="9"/>
    <x v="0"/>
    <x v="1"/>
    <x v="4"/>
    <n v="16"/>
    <n v="39"/>
    <n v="176"/>
    <n v="4.5128205128205128"/>
    <n v="2.4375"/>
    <x v="0"/>
    <x v="0"/>
  </r>
  <r>
    <x v="10"/>
    <x v="0"/>
    <x v="1"/>
    <x v="0"/>
    <n v="7"/>
    <n v="18"/>
    <n v="122"/>
    <n v="6.7777777777777777"/>
    <n v="2.5714285714285716"/>
    <x v="0"/>
    <x v="0"/>
  </r>
  <r>
    <x v="10"/>
    <x v="0"/>
    <x v="1"/>
    <x v="1"/>
    <n v="24"/>
    <n v="134"/>
    <n v="643"/>
    <n v="4.7985074626865671"/>
    <n v="5.583333333333333"/>
    <x v="0"/>
    <x v="0"/>
  </r>
  <r>
    <x v="10"/>
    <x v="0"/>
    <x v="1"/>
    <x v="3"/>
    <n v="6"/>
    <n v="34"/>
    <n v="208"/>
    <n v="6.117647058823529"/>
    <n v="5.666666666666667"/>
    <x v="0"/>
    <x v="0"/>
  </r>
  <r>
    <x v="10"/>
    <x v="0"/>
    <x v="1"/>
    <x v="7"/>
    <n v="18"/>
    <n v="123"/>
    <n v="522"/>
    <n v="4.2439024390243905"/>
    <n v="6.833333333333333"/>
    <x v="0"/>
    <x v="0"/>
  </r>
  <r>
    <x v="10"/>
    <x v="0"/>
    <x v="1"/>
    <x v="4"/>
    <n v="9"/>
    <n v="30"/>
    <n v="1737"/>
    <n v="57.9"/>
    <n v="3.3333333333333335"/>
    <x v="0"/>
    <x v="0"/>
  </r>
  <r>
    <x v="11"/>
    <x v="0"/>
    <x v="1"/>
    <x v="0"/>
    <n v="3"/>
    <n v="5"/>
    <n v="30"/>
    <n v="6"/>
    <n v="1.6666666666666667"/>
    <x v="0"/>
    <x v="0"/>
  </r>
  <r>
    <x v="11"/>
    <x v="0"/>
    <x v="1"/>
    <x v="1"/>
    <n v="14"/>
    <n v="58"/>
    <n v="194"/>
    <n v="3.3448275862068964"/>
    <n v="4.1428571428571432"/>
    <x v="0"/>
    <x v="0"/>
  </r>
  <r>
    <x v="11"/>
    <x v="0"/>
    <x v="1"/>
    <x v="5"/>
    <n v="25"/>
    <n v="145"/>
    <n v="748"/>
    <n v="5.1586206896551721"/>
    <n v="5.8"/>
    <x v="0"/>
    <x v="0"/>
  </r>
  <r>
    <x v="11"/>
    <x v="0"/>
    <x v="1"/>
    <x v="3"/>
    <n v="8"/>
    <n v="66"/>
    <n v="245"/>
    <n v="3.7121212121212119"/>
    <n v="8.25"/>
    <x v="0"/>
    <x v="0"/>
  </r>
  <r>
    <x v="11"/>
    <x v="0"/>
    <x v="1"/>
    <x v="7"/>
    <n v="30"/>
    <n v="195"/>
    <n v="834"/>
    <n v="4.2769230769230768"/>
    <n v="6.5"/>
    <x v="0"/>
    <x v="0"/>
  </r>
  <r>
    <x v="11"/>
    <x v="0"/>
    <x v="1"/>
    <x v="6"/>
    <n v="1"/>
    <n v="1"/>
    <n v="1"/>
    <n v="1"/>
    <n v="1"/>
    <x v="0"/>
    <x v="0"/>
  </r>
  <r>
    <x v="11"/>
    <x v="0"/>
    <x v="1"/>
    <x v="4"/>
    <n v="9"/>
    <n v="43"/>
    <n v="235"/>
    <n v="5.4651162790697674"/>
    <n v="4.7777777777777777"/>
    <x v="0"/>
    <x v="0"/>
  </r>
  <r>
    <x v="12"/>
    <x v="0"/>
    <x v="1"/>
    <x v="1"/>
    <n v="18"/>
    <n v="104"/>
    <n v="349"/>
    <n v="3.3557692307692308"/>
    <n v="5.7777777777777777"/>
    <x v="0"/>
    <x v="0"/>
  </r>
  <r>
    <x v="12"/>
    <x v="0"/>
    <x v="1"/>
    <x v="5"/>
    <n v="3"/>
    <n v="9"/>
    <n v="12"/>
    <n v="1.3333333333333333"/>
    <n v="3"/>
    <x v="0"/>
    <x v="0"/>
  </r>
  <r>
    <x v="12"/>
    <x v="0"/>
    <x v="1"/>
    <x v="3"/>
    <n v="6"/>
    <n v="68"/>
    <n v="321"/>
    <n v="4.7205882352941178"/>
    <n v="11.333333333333334"/>
    <x v="0"/>
    <x v="0"/>
  </r>
  <r>
    <x v="12"/>
    <x v="0"/>
    <x v="1"/>
    <x v="7"/>
    <n v="14"/>
    <n v="150"/>
    <n v="564"/>
    <n v="3.76"/>
    <n v="10.714285714285714"/>
    <x v="0"/>
    <x v="0"/>
  </r>
  <r>
    <x v="12"/>
    <x v="0"/>
    <x v="1"/>
    <x v="6"/>
    <n v="9"/>
    <n v="63"/>
    <n v="232"/>
    <n v="3.6825396825396823"/>
    <n v="7"/>
    <x v="0"/>
    <x v="0"/>
  </r>
  <r>
    <x v="13"/>
    <x v="0"/>
    <x v="2"/>
    <x v="0"/>
    <n v="3"/>
    <n v="11"/>
    <n v="74"/>
    <n v="6.7272727272727275"/>
    <n v="3.6666666666666665"/>
    <x v="0"/>
    <x v="0"/>
  </r>
  <r>
    <x v="13"/>
    <x v="0"/>
    <x v="2"/>
    <x v="1"/>
    <n v="23"/>
    <n v="131"/>
    <n v="567"/>
    <n v="4.3282442748091601"/>
    <n v="5.6956521739130439"/>
    <x v="0"/>
    <x v="0"/>
  </r>
  <r>
    <x v="13"/>
    <x v="0"/>
    <x v="2"/>
    <x v="5"/>
    <n v="38"/>
    <n v="190"/>
    <n v="1106"/>
    <n v="5.8210526315789473"/>
    <n v="5"/>
    <x v="0"/>
    <x v="0"/>
  </r>
  <r>
    <x v="13"/>
    <x v="0"/>
    <x v="2"/>
    <x v="7"/>
    <n v="35"/>
    <n v="217"/>
    <n v="932"/>
    <n v="4.2949308755760365"/>
    <n v="6.2"/>
    <x v="0"/>
    <x v="0"/>
  </r>
  <r>
    <x v="13"/>
    <x v="0"/>
    <x v="2"/>
    <x v="6"/>
    <n v="2"/>
    <n v="5"/>
    <n v="5"/>
    <n v="1"/>
    <n v="2.5"/>
    <x v="0"/>
    <x v="0"/>
  </r>
  <r>
    <x v="13"/>
    <x v="0"/>
    <x v="2"/>
    <x v="4"/>
    <n v="4"/>
    <n v="17"/>
    <n v="99"/>
    <n v="5.8235294117647056"/>
    <n v="4.25"/>
    <x v="0"/>
    <x v="0"/>
  </r>
  <r>
    <x v="14"/>
    <x v="0"/>
    <x v="2"/>
    <x v="0"/>
    <n v="19"/>
    <n v="88"/>
    <n v="164"/>
    <n v="1.8636363636363635"/>
    <n v="4.6315789473684212"/>
    <x v="0"/>
    <x v="0"/>
  </r>
  <r>
    <x v="14"/>
    <x v="0"/>
    <x v="2"/>
    <x v="5"/>
    <n v="56"/>
    <n v="263"/>
    <n v="1555"/>
    <n v="5.9125475285171101"/>
    <n v="4.6964285714285712"/>
    <x v="0"/>
    <x v="0"/>
  </r>
  <r>
    <x v="14"/>
    <x v="0"/>
    <x v="2"/>
    <x v="3"/>
    <n v="8"/>
    <n v="54"/>
    <n v="246"/>
    <n v="4.5555555555555554"/>
    <n v="6.75"/>
    <x v="0"/>
    <x v="0"/>
  </r>
  <r>
    <x v="14"/>
    <x v="0"/>
    <x v="2"/>
    <x v="7"/>
    <n v="76"/>
    <n v="355"/>
    <n v="3806"/>
    <n v="10.721126760563381"/>
    <n v="4.6710526315789478"/>
    <x v="0"/>
    <x v="0"/>
  </r>
  <r>
    <x v="14"/>
    <x v="0"/>
    <x v="2"/>
    <x v="6"/>
    <n v="3"/>
    <n v="17"/>
    <n v="76"/>
    <n v="4.4705882352941178"/>
    <n v="5.666666666666667"/>
    <x v="0"/>
    <x v="0"/>
  </r>
  <r>
    <x v="14"/>
    <x v="0"/>
    <x v="2"/>
    <x v="4"/>
    <n v="2"/>
    <n v="11"/>
    <n v="46"/>
    <n v="4.1818181818181817"/>
    <n v="5.5"/>
    <x v="0"/>
    <x v="0"/>
  </r>
  <r>
    <x v="15"/>
    <x v="0"/>
    <x v="2"/>
    <x v="0"/>
    <n v="21"/>
    <n v="104"/>
    <n v="550"/>
    <n v="5.2884615384615383"/>
    <n v="4.9523809523809526"/>
    <x v="0"/>
    <x v="0"/>
  </r>
  <r>
    <x v="15"/>
    <x v="0"/>
    <x v="2"/>
    <x v="1"/>
    <n v="30"/>
    <n v="158"/>
    <n v="700"/>
    <n v="4.4303797468354427"/>
    <n v="5.2666666666666666"/>
    <x v="0"/>
    <x v="0"/>
  </r>
  <r>
    <x v="15"/>
    <x v="0"/>
    <x v="2"/>
    <x v="5"/>
    <n v="12"/>
    <n v="70"/>
    <n v="319"/>
    <n v="4.5571428571428569"/>
    <n v="5.833333333333333"/>
    <x v="0"/>
    <x v="0"/>
  </r>
  <r>
    <x v="15"/>
    <x v="0"/>
    <x v="2"/>
    <x v="3"/>
    <n v="6"/>
    <n v="38"/>
    <n v="1647"/>
    <n v="43.342105263157897"/>
    <n v="6.333333333333333"/>
    <x v="0"/>
    <x v="0"/>
  </r>
  <r>
    <x v="15"/>
    <x v="0"/>
    <x v="2"/>
    <x v="7"/>
    <n v="46"/>
    <n v="261"/>
    <n v="1589"/>
    <n v="6.088122605363985"/>
    <n v="5.6739130434782608"/>
    <x v="0"/>
    <x v="0"/>
  </r>
  <r>
    <x v="15"/>
    <x v="0"/>
    <x v="2"/>
    <x v="6"/>
    <n v="1"/>
    <n v="4"/>
    <n v="12"/>
    <n v="3"/>
    <n v="4"/>
    <x v="0"/>
    <x v="0"/>
  </r>
  <r>
    <x v="15"/>
    <x v="0"/>
    <x v="2"/>
    <x v="4"/>
    <n v="8"/>
    <n v="35"/>
    <n v="673"/>
    <n v="19.228571428571428"/>
    <n v="4.375"/>
    <x v="0"/>
    <x v="0"/>
  </r>
  <r>
    <x v="16"/>
    <x v="0"/>
    <x v="2"/>
    <x v="5"/>
    <n v="29"/>
    <n v="175"/>
    <n v="887"/>
    <n v="5.0685714285714285"/>
    <n v="6.0344827586206895"/>
    <x v="0"/>
    <x v="0"/>
  </r>
  <r>
    <x v="16"/>
    <x v="0"/>
    <x v="2"/>
    <x v="7"/>
    <n v="30"/>
    <n v="179"/>
    <n v="3441"/>
    <n v="19.223463687150836"/>
    <n v="5.9666666666666668"/>
    <x v="0"/>
    <x v="0"/>
  </r>
  <r>
    <x v="16"/>
    <x v="0"/>
    <x v="2"/>
    <x v="1"/>
    <n v="12"/>
    <n v="48"/>
    <n v="264"/>
    <n v="5.5"/>
    <n v="4"/>
    <x v="0"/>
    <x v="0"/>
  </r>
  <r>
    <x v="16"/>
    <x v="0"/>
    <x v="2"/>
    <x v="4"/>
    <n v="4"/>
    <n v="53"/>
    <n v="262"/>
    <n v="4.9433962264150946"/>
    <n v="13.25"/>
    <x v="0"/>
    <x v="0"/>
  </r>
  <r>
    <x v="16"/>
    <x v="0"/>
    <x v="2"/>
    <x v="0"/>
    <n v="6"/>
    <n v="10"/>
    <n v="36"/>
    <n v="3.6"/>
    <n v="1.6666666666666667"/>
    <x v="0"/>
    <x v="0"/>
  </r>
  <r>
    <x v="16"/>
    <x v="0"/>
    <x v="2"/>
    <x v="3"/>
    <n v="9"/>
    <n v="42"/>
    <n v="214"/>
    <n v="5.0952380952380949"/>
    <n v="4.666666666666667"/>
    <x v="0"/>
    <x v="0"/>
  </r>
  <r>
    <x v="17"/>
    <x v="0"/>
    <x v="2"/>
    <x v="5"/>
    <n v="15"/>
    <n v="33"/>
    <n v="242"/>
    <n v="7.333333333333333"/>
    <n v="2.2000000000000002"/>
    <x v="0"/>
    <x v="0"/>
  </r>
  <r>
    <x v="17"/>
    <x v="0"/>
    <x v="2"/>
    <x v="7"/>
    <n v="46"/>
    <n v="277"/>
    <n v="1155"/>
    <n v="4.1696750902527073"/>
    <n v="6.0217391304347823"/>
    <x v="0"/>
    <x v="0"/>
  </r>
  <r>
    <x v="17"/>
    <x v="0"/>
    <x v="2"/>
    <x v="1"/>
    <n v="9"/>
    <n v="31"/>
    <n v="346"/>
    <n v="11.161290322580646"/>
    <n v="3.4444444444444446"/>
    <x v="0"/>
    <x v="0"/>
  </r>
  <r>
    <x v="17"/>
    <x v="0"/>
    <x v="2"/>
    <x v="4"/>
    <n v="5"/>
    <n v="11"/>
    <n v="171"/>
    <n v="15.545454545454545"/>
    <n v="2.2000000000000002"/>
    <x v="0"/>
    <x v="0"/>
  </r>
  <r>
    <x v="17"/>
    <x v="0"/>
    <x v="2"/>
    <x v="0"/>
    <n v="10"/>
    <n v="30"/>
    <n v="102"/>
    <n v="3.4"/>
    <n v="3"/>
    <x v="0"/>
    <x v="0"/>
  </r>
  <r>
    <x v="17"/>
    <x v="0"/>
    <x v="2"/>
    <x v="3"/>
    <n v="25"/>
    <n v="183"/>
    <n v="747"/>
    <n v="4.081967213114754"/>
    <n v="7.32"/>
    <x v="1"/>
    <x v="1"/>
  </r>
  <r>
    <x v="18"/>
    <x v="0"/>
    <x v="2"/>
    <x v="5"/>
    <n v="1"/>
    <n v="1"/>
    <n v="1"/>
    <n v="1"/>
    <n v="1"/>
    <x v="0"/>
    <x v="0"/>
  </r>
  <r>
    <x v="18"/>
    <x v="0"/>
    <x v="2"/>
    <x v="7"/>
    <n v="15"/>
    <n v="82"/>
    <n v="408"/>
    <n v="4.975609756097561"/>
    <n v="5.4666666666666668"/>
    <x v="0"/>
    <x v="0"/>
  </r>
  <r>
    <x v="18"/>
    <x v="0"/>
    <x v="2"/>
    <x v="0"/>
    <n v="2"/>
    <n v="3"/>
    <n v="3"/>
    <n v="1"/>
    <n v="1.5"/>
    <x v="0"/>
    <x v="0"/>
  </r>
  <r>
    <x v="18"/>
    <x v="0"/>
    <x v="2"/>
    <x v="3"/>
    <n v="4"/>
    <n v="42"/>
    <n v="177"/>
    <n v="4.2142857142857144"/>
    <n v="10.5"/>
    <x v="0"/>
    <x v="0"/>
  </r>
  <r>
    <x v="18"/>
    <x v="0"/>
    <x v="2"/>
    <x v="1"/>
    <n v="27"/>
    <n v="189"/>
    <n v="728"/>
    <n v="3.8518518518518516"/>
    <n v="7"/>
    <x v="0"/>
    <x v="0"/>
  </r>
  <r>
    <x v="19"/>
    <x v="0"/>
    <x v="3"/>
    <x v="5"/>
    <n v="30"/>
    <n v="127"/>
    <n v="469"/>
    <n v="3.6929133858267718"/>
    <n v="4.2333333333333334"/>
    <x v="0"/>
    <x v="0"/>
  </r>
  <r>
    <x v="19"/>
    <x v="0"/>
    <x v="3"/>
    <x v="7"/>
    <n v="53"/>
    <n v="218"/>
    <n v="1539"/>
    <n v="7.0596330275229358"/>
    <n v="4.1132075471698117"/>
    <x v="0"/>
    <x v="0"/>
  </r>
  <r>
    <x v="19"/>
    <x v="0"/>
    <x v="3"/>
    <x v="4"/>
    <n v="1"/>
    <n v="1"/>
    <n v="12"/>
    <n v="12"/>
    <n v="1"/>
    <x v="0"/>
    <x v="0"/>
  </r>
  <r>
    <x v="19"/>
    <x v="0"/>
    <x v="3"/>
    <x v="0"/>
    <n v="8"/>
    <n v="54"/>
    <n v="282"/>
    <n v="5.2222222222222223"/>
    <n v="6.75"/>
    <x v="0"/>
    <x v="0"/>
  </r>
  <r>
    <x v="19"/>
    <x v="0"/>
    <x v="3"/>
    <x v="3"/>
    <n v="20"/>
    <n v="99"/>
    <n v="626"/>
    <n v="6.3232323232323235"/>
    <n v="4.95"/>
    <x v="0"/>
    <x v="0"/>
  </r>
  <r>
    <x v="19"/>
    <x v="0"/>
    <x v="3"/>
    <x v="6"/>
    <n v="2"/>
    <n v="33"/>
    <n v="85"/>
    <n v="2.5757575757575757"/>
    <n v="16.5"/>
    <x v="0"/>
    <x v="0"/>
  </r>
  <r>
    <x v="20"/>
    <x v="0"/>
    <x v="3"/>
    <x v="5"/>
    <n v="26"/>
    <n v="83"/>
    <n v="329"/>
    <n v="3.963855421686747"/>
    <n v="3.1923076923076925"/>
    <x v="0"/>
    <x v="0"/>
  </r>
  <r>
    <x v="20"/>
    <x v="0"/>
    <x v="3"/>
    <x v="7"/>
    <n v="32"/>
    <n v="125"/>
    <n v="862"/>
    <n v="6.8959999999999999"/>
    <n v="3.90625"/>
    <x v="0"/>
    <x v="0"/>
  </r>
  <r>
    <x v="20"/>
    <x v="0"/>
    <x v="3"/>
    <x v="1"/>
    <n v="42"/>
    <n v="241"/>
    <n v="1000"/>
    <n v="4.1493775933609962"/>
    <n v="5.7380952380952381"/>
    <x v="0"/>
    <x v="0"/>
  </r>
  <r>
    <x v="20"/>
    <x v="0"/>
    <x v="3"/>
    <x v="0"/>
    <n v="12"/>
    <n v="42"/>
    <n v="218"/>
    <n v="5.1904761904761907"/>
    <n v="3.5"/>
    <x v="0"/>
    <x v="0"/>
  </r>
  <r>
    <x v="20"/>
    <x v="0"/>
    <x v="3"/>
    <x v="3"/>
    <n v="27"/>
    <n v="201"/>
    <n v="1135"/>
    <n v="5.6467661691542288"/>
    <n v="7.4444444444444446"/>
    <x v="0"/>
    <x v="0"/>
  </r>
  <r>
    <x v="20"/>
    <x v="0"/>
    <x v="3"/>
    <x v="6"/>
    <n v="4"/>
    <n v="10"/>
    <n v="35"/>
    <n v="3.5"/>
    <n v="2.5"/>
    <x v="0"/>
    <x v="0"/>
  </r>
  <r>
    <x v="21"/>
    <x v="0"/>
    <x v="3"/>
    <x v="5"/>
    <n v="17"/>
    <n v="86"/>
    <n v="577"/>
    <n v="6.7093023255813957"/>
    <n v="5.0588235294117645"/>
    <x v="0"/>
    <x v="0"/>
  </r>
  <r>
    <x v="21"/>
    <x v="0"/>
    <x v="3"/>
    <x v="7"/>
    <n v="10"/>
    <n v="32"/>
    <n v="106"/>
    <n v="3.3125"/>
    <n v="3.2"/>
    <x v="0"/>
    <x v="0"/>
  </r>
  <r>
    <x v="21"/>
    <x v="0"/>
    <x v="3"/>
    <x v="1"/>
    <n v="30"/>
    <n v="201"/>
    <n v="2142"/>
    <n v="10.656716417910447"/>
    <n v="6.7"/>
    <x v="0"/>
    <x v="0"/>
  </r>
  <r>
    <x v="21"/>
    <x v="0"/>
    <x v="3"/>
    <x v="4"/>
    <n v="9"/>
    <n v="57"/>
    <n v="474"/>
    <n v="8.3157894736842106"/>
    <n v="6.333333333333333"/>
    <x v="0"/>
    <x v="0"/>
  </r>
  <r>
    <x v="21"/>
    <x v="0"/>
    <x v="3"/>
    <x v="8"/>
    <n v="30"/>
    <n v="157"/>
    <n v="1563"/>
    <n v="9.9554140127388528"/>
    <n v="5.2333333333333334"/>
    <x v="0"/>
    <x v="0"/>
  </r>
  <r>
    <x v="21"/>
    <x v="0"/>
    <x v="3"/>
    <x v="3"/>
    <n v="7"/>
    <n v="41"/>
    <n v="240"/>
    <n v="5.8536585365853657"/>
    <n v="5.8571428571428568"/>
    <x v="0"/>
    <x v="0"/>
  </r>
  <r>
    <x v="21"/>
    <x v="0"/>
    <x v="3"/>
    <x v="6"/>
    <n v="2"/>
    <n v="15"/>
    <n v="56"/>
    <n v="3.7333333333333334"/>
    <n v="7.5"/>
    <x v="0"/>
    <x v="0"/>
  </r>
  <r>
    <x v="22"/>
    <x v="0"/>
    <x v="3"/>
    <x v="5"/>
    <n v="7"/>
    <n v="23"/>
    <n v="185"/>
    <n v="8.0434782608695645"/>
    <n v="3.2857142857142856"/>
    <x v="0"/>
    <x v="0"/>
  </r>
  <r>
    <x v="22"/>
    <x v="0"/>
    <x v="3"/>
    <x v="7"/>
    <n v="15"/>
    <n v="88"/>
    <n v="526"/>
    <n v="5.9772727272727275"/>
    <n v="5.8666666666666663"/>
    <x v="0"/>
    <x v="0"/>
  </r>
  <r>
    <x v="22"/>
    <x v="0"/>
    <x v="3"/>
    <x v="1"/>
    <n v="50"/>
    <n v="265"/>
    <n v="1507"/>
    <n v="5.686792452830189"/>
    <n v="5.3"/>
    <x v="2"/>
    <x v="1"/>
  </r>
  <r>
    <x v="22"/>
    <x v="0"/>
    <x v="3"/>
    <x v="4"/>
    <n v="10"/>
    <n v="78"/>
    <n v="315"/>
    <n v="4.0384615384615383"/>
    <n v="7.8"/>
    <x v="0"/>
    <x v="0"/>
  </r>
  <r>
    <x v="22"/>
    <x v="0"/>
    <x v="3"/>
    <x v="8"/>
    <n v="46"/>
    <n v="197"/>
    <n v="2718"/>
    <n v="13.796954314720812"/>
    <n v="4.2826086956521738"/>
    <x v="3"/>
    <x v="1"/>
  </r>
  <r>
    <x v="22"/>
    <x v="0"/>
    <x v="3"/>
    <x v="6"/>
    <n v="1"/>
    <n v="9"/>
    <n v="70"/>
    <n v="7.7777777777777777"/>
    <n v="9"/>
    <x v="0"/>
    <x v="0"/>
  </r>
  <r>
    <x v="23"/>
    <x v="0"/>
    <x v="3"/>
    <x v="5"/>
    <n v="32"/>
    <n v="118"/>
    <n v="469"/>
    <n v="3.9745762711864407"/>
    <n v="3.6875"/>
    <x v="0"/>
    <x v="0"/>
  </r>
  <r>
    <x v="23"/>
    <x v="0"/>
    <x v="3"/>
    <x v="7"/>
    <n v="17"/>
    <n v="66"/>
    <n v="326"/>
    <n v="4.9393939393939394"/>
    <n v="3.8823529411764706"/>
    <x v="0"/>
    <x v="0"/>
  </r>
  <r>
    <x v="23"/>
    <x v="0"/>
    <x v="3"/>
    <x v="1"/>
    <n v="32"/>
    <n v="214"/>
    <n v="3467"/>
    <n v="16.200934579439252"/>
    <n v="6.6875"/>
    <x v="4"/>
    <x v="1"/>
  </r>
  <r>
    <x v="23"/>
    <x v="0"/>
    <x v="3"/>
    <x v="4"/>
    <n v="9"/>
    <n v="50"/>
    <n v="378"/>
    <n v="7.56"/>
    <n v="5.5555555555555554"/>
    <x v="0"/>
    <x v="0"/>
  </r>
  <r>
    <x v="23"/>
    <x v="0"/>
    <x v="3"/>
    <x v="8"/>
    <n v="30"/>
    <n v="107"/>
    <n v="1233"/>
    <n v="11.523364485981308"/>
    <n v="3.5666666666666669"/>
    <x v="0"/>
    <x v="0"/>
  </r>
  <r>
    <x v="23"/>
    <x v="0"/>
    <x v="3"/>
    <x v="3"/>
    <n v="14"/>
    <n v="54"/>
    <n v="499"/>
    <n v="9.2407407407407405"/>
    <n v="3.8571428571428572"/>
    <x v="0"/>
    <x v="0"/>
  </r>
  <r>
    <x v="23"/>
    <x v="0"/>
    <x v="3"/>
    <x v="6"/>
    <n v="1"/>
    <n v="3"/>
    <n v="6"/>
    <n v="2"/>
    <n v="3"/>
    <x v="0"/>
    <x v="0"/>
  </r>
  <r>
    <x v="24"/>
    <x v="0"/>
    <x v="3"/>
    <x v="5"/>
    <n v="1"/>
    <n v="2"/>
    <n v="2"/>
    <n v="1"/>
    <n v="2"/>
    <x v="0"/>
    <x v="0"/>
  </r>
  <r>
    <x v="24"/>
    <x v="0"/>
    <x v="3"/>
    <x v="7"/>
    <n v="4"/>
    <n v="63"/>
    <n v="1018"/>
    <n v="16.158730158730158"/>
    <n v="15.75"/>
    <x v="0"/>
    <x v="0"/>
  </r>
  <r>
    <x v="24"/>
    <x v="0"/>
    <x v="3"/>
    <x v="1"/>
    <n v="32"/>
    <n v="239"/>
    <n v="1006"/>
    <n v="4.2092050209205025"/>
    <n v="7.46875"/>
    <x v="0"/>
    <x v="0"/>
  </r>
  <r>
    <x v="24"/>
    <x v="0"/>
    <x v="3"/>
    <x v="3"/>
    <n v="2"/>
    <n v="6"/>
    <n v="9"/>
    <n v="1.5"/>
    <n v="3"/>
    <x v="0"/>
    <x v="0"/>
  </r>
  <r>
    <x v="25"/>
    <x v="1"/>
    <x v="0"/>
    <x v="5"/>
    <n v="35"/>
    <n v="162"/>
    <n v="993"/>
    <n v="6.1296296296296298"/>
    <n v="4.628571428571429"/>
    <x v="0"/>
    <x v="0"/>
  </r>
  <r>
    <x v="25"/>
    <x v="1"/>
    <x v="0"/>
    <x v="7"/>
    <n v="22"/>
    <n v="83"/>
    <n v="451"/>
    <n v="5.4337349397590362"/>
    <n v="3.7727272727272729"/>
    <x v="0"/>
    <x v="0"/>
  </r>
  <r>
    <x v="25"/>
    <x v="1"/>
    <x v="0"/>
    <x v="1"/>
    <n v="22"/>
    <n v="105"/>
    <n v="587"/>
    <n v="5.5904761904761902"/>
    <n v="4.7727272727272725"/>
    <x v="0"/>
    <x v="0"/>
  </r>
  <r>
    <x v="25"/>
    <x v="1"/>
    <x v="0"/>
    <x v="4"/>
    <n v="8"/>
    <n v="35"/>
    <n v="157"/>
    <n v="4.4857142857142858"/>
    <n v="4.375"/>
    <x v="0"/>
    <x v="0"/>
  </r>
  <r>
    <x v="25"/>
    <x v="1"/>
    <x v="0"/>
    <x v="8"/>
    <n v="5"/>
    <n v="14"/>
    <n v="67"/>
    <n v="4.7857142857142856"/>
    <n v="2.8"/>
    <x v="0"/>
    <x v="0"/>
  </r>
  <r>
    <x v="25"/>
    <x v="1"/>
    <x v="0"/>
    <x v="3"/>
    <n v="14"/>
    <n v="78"/>
    <n v="384"/>
    <n v="4.9230769230769234"/>
    <n v="5.5714285714285712"/>
    <x v="0"/>
    <x v="0"/>
  </r>
  <r>
    <x v="25"/>
    <x v="1"/>
    <x v="0"/>
    <x v="6"/>
    <n v="1"/>
    <n v="1"/>
    <n v="12"/>
    <n v="12"/>
    <n v="1"/>
    <x v="0"/>
    <x v="0"/>
  </r>
  <r>
    <x v="26"/>
    <x v="1"/>
    <x v="0"/>
    <x v="5"/>
    <n v="21"/>
    <n v="152"/>
    <n v="861"/>
    <n v="5.6644736842105265"/>
    <n v="7.2380952380952381"/>
    <x v="0"/>
    <x v="0"/>
  </r>
  <r>
    <x v="26"/>
    <x v="1"/>
    <x v="0"/>
    <x v="7"/>
    <n v="19"/>
    <n v="77"/>
    <n v="335"/>
    <n v="4.3506493506493502"/>
    <n v="4.0526315789473681"/>
    <x v="0"/>
    <x v="0"/>
  </r>
  <r>
    <x v="26"/>
    <x v="1"/>
    <x v="0"/>
    <x v="1"/>
    <n v="66"/>
    <n v="333"/>
    <n v="1805"/>
    <n v="5.4204204204204203"/>
    <n v="5.0454545454545459"/>
    <x v="0"/>
    <x v="0"/>
  </r>
  <r>
    <x v="26"/>
    <x v="1"/>
    <x v="0"/>
    <x v="4"/>
    <n v="10"/>
    <n v="72"/>
    <n v="136"/>
    <n v="1.8888888888888888"/>
    <n v="7.2"/>
    <x v="0"/>
    <x v="0"/>
  </r>
  <r>
    <x v="26"/>
    <x v="1"/>
    <x v="0"/>
    <x v="8"/>
    <n v="55"/>
    <n v="381"/>
    <n v="1532"/>
    <n v="4.0209973753280837"/>
    <n v="6.9272727272727277"/>
    <x v="0"/>
    <x v="0"/>
  </r>
  <r>
    <x v="27"/>
    <x v="1"/>
    <x v="0"/>
    <x v="5"/>
    <n v="16"/>
    <n v="105"/>
    <n v="501"/>
    <n v="4.7714285714285714"/>
    <n v="6.5625"/>
    <x v="0"/>
    <x v="0"/>
  </r>
  <r>
    <x v="27"/>
    <x v="1"/>
    <x v="0"/>
    <x v="7"/>
    <n v="13"/>
    <n v="53"/>
    <n v="286"/>
    <n v="5.3962264150943398"/>
    <n v="4.0769230769230766"/>
    <x v="0"/>
    <x v="0"/>
  </r>
  <r>
    <x v="27"/>
    <x v="1"/>
    <x v="0"/>
    <x v="1"/>
    <n v="32"/>
    <n v="212"/>
    <n v="1349"/>
    <n v="6.3632075471698117"/>
    <n v="6.625"/>
    <x v="0"/>
    <x v="0"/>
  </r>
  <r>
    <x v="27"/>
    <x v="1"/>
    <x v="0"/>
    <x v="4"/>
    <n v="6"/>
    <n v="35"/>
    <n v="189"/>
    <n v="5.4"/>
    <n v="5.833333333333333"/>
    <x v="0"/>
    <x v="0"/>
  </r>
  <r>
    <x v="27"/>
    <x v="1"/>
    <x v="0"/>
    <x v="3"/>
    <n v="6"/>
    <n v="12"/>
    <n v="159"/>
    <n v="13.25"/>
    <n v="2"/>
    <x v="0"/>
    <x v="0"/>
  </r>
  <r>
    <x v="27"/>
    <x v="1"/>
    <x v="0"/>
    <x v="0"/>
    <n v="44"/>
    <n v="224"/>
    <n v="1165"/>
    <n v="5.2008928571428568"/>
    <n v="5.0909090909090908"/>
    <x v="0"/>
    <x v="0"/>
  </r>
  <r>
    <x v="28"/>
    <x v="1"/>
    <x v="0"/>
    <x v="5"/>
    <n v="26"/>
    <n v="152"/>
    <n v="825"/>
    <n v="5.4276315789473681"/>
    <n v="5.8461538461538458"/>
    <x v="0"/>
    <x v="0"/>
  </r>
  <r>
    <x v="28"/>
    <x v="1"/>
    <x v="0"/>
    <x v="7"/>
    <n v="19"/>
    <n v="44"/>
    <n v="612"/>
    <n v="13.909090909090908"/>
    <n v="2.3157894736842106"/>
    <x v="0"/>
    <x v="0"/>
  </r>
  <r>
    <x v="28"/>
    <x v="1"/>
    <x v="0"/>
    <x v="1"/>
    <n v="22"/>
    <n v="76"/>
    <n v="1103"/>
    <n v="14.513157894736842"/>
    <n v="3.4545454545454546"/>
    <x v="0"/>
    <x v="0"/>
  </r>
  <r>
    <x v="28"/>
    <x v="1"/>
    <x v="0"/>
    <x v="4"/>
    <n v="11"/>
    <n v="26"/>
    <n v="458"/>
    <n v="17.615384615384617"/>
    <n v="2.3636363636363638"/>
    <x v="0"/>
    <x v="0"/>
  </r>
  <r>
    <x v="28"/>
    <x v="1"/>
    <x v="0"/>
    <x v="0"/>
    <n v="51"/>
    <n v="272"/>
    <n v="1509"/>
    <n v="5.5477941176470589"/>
    <n v="5.333333333333333"/>
    <x v="0"/>
    <x v="0"/>
  </r>
  <r>
    <x v="28"/>
    <x v="1"/>
    <x v="0"/>
    <x v="3"/>
    <n v="2"/>
    <n v="3"/>
    <n v="6"/>
    <n v="2"/>
    <n v="1.5"/>
    <x v="0"/>
    <x v="0"/>
  </r>
  <r>
    <x v="28"/>
    <x v="1"/>
    <x v="0"/>
    <x v="6"/>
    <n v="6"/>
    <n v="7"/>
    <n v="42"/>
    <n v="6"/>
    <n v="1.1666666666666667"/>
    <x v="0"/>
    <x v="0"/>
  </r>
  <r>
    <x v="28"/>
    <x v="1"/>
    <x v="0"/>
    <x v="8"/>
    <n v="5"/>
    <n v="32"/>
    <n v="148"/>
    <n v="4.625"/>
    <n v="6.4"/>
    <x v="0"/>
    <x v="0"/>
  </r>
  <r>
    <x v="29"/>
    <x v="1"/>
    <x v="0"/>
    <x v="5"/>
    <n v="48"/>
    <n v="276"/>
    <n v="1975"/>
    <n v="7.1557971014492754"/>
    <n v="5.75"/>
    <x v="0"/>
    <x v="0"/>
  </r>
  <r>
    <x v="29"/>
    <x v="1"/>
    <x v="0"/>
    <x v="7"/>
    <n v="9"/>
    <n v="55"/>
    <n v="202"/>
    <n v="3.6727272727272728"/>
    <n v="6.1111111111111107"/>
    <x v="0"/>
    <x v="0"/>
  </r>
  <r>
    <x v="29"/>
    <x v="1"/>
    <x v="0"/>
    <x v="0"/>
    <n v="2"/>
    <n v="6"/>
    <n v="17"/>
    <n v="2.8333333333333335"/>
    <n v="3"/>
    <x v="0"/>
    <x v="0"/>
  </r>
  <r>
    <x v="29"/>
    <x v="1"/>
    <x v="0"/>
    <x v="3"/>
    <n v="58"/>
    <n v="253"/>
    <n v="1775"/>
    <n v="7.0158102766798418"/>
    <n v="4.3620689655172411"/>
    <x v="0"/>
    <x v="0"/>
  </r>
  <r>
    <x v="29"/>
    <x v="1"/>
    <x v="0"/>
    <x v="8"/>
    <n v="43"/>
    <n v="229"/>
    <n v="1604"/>
    <n v="7.0043668122270741"/>
    <n v="5.3255813953488369"/>
    <x v="0"/>
    <x v="0"/>
  </r>
  <r>
    <x v="30"/>
    <x v="1"/>
    <x v="0"/>
    <x v="5"/>
    <n v="2"/>
    <n v="11"/>
    <n v="128"/>
    <n v="11.636363636363637"/>
    <n v="5.5"/>
    <x v="0"/>
    <x v="0"/>
  </r>
  <r>
    <x v="30"/>
    <x v="1"/>
    <x v="0"/>
    <x v="7"/>
    <n v="17"/>
    <n v="86"/>
    <n v="722"/>
    <n v="8.395348837209303"/>
    <n v="5.0588235294117645"/>
    <x v="0"/>
    <x v="0"/>
  </r>
  <r>
    <x v="30"/>
    <x v="1"/>
    <x v="0"/>
    <x v="0"/>
    <n v="1"/>
    <n v="3"/>
    <n v="3"/>
    <n v="1"/>
    <n v="3"/>
    <x v="0"/>
    <x v="0"/>
  </r>
  <r>
    <x v="30"/>
    <x v="1"/>
    <x v="0"/>
    <x v="3"/>
    <n v="23"/>
    <n v="218"/>
    <n v="892"/>
    <n v="4.0917431192660549"/>
    <n v="9.4782608695652169"/>
    <x v="0"/>
    <x v="0"/>
  </r>
  <r>
    <x v="30"/>
    <x v="1"/>
    <x v="0"/>
    <x v="6"/>
    <n v="4"/>
    <n v="24"/>
    <n v="59"/>
    <n v="2.4583333333333335"/>
    <n v="6"/>
    <x v="0"/>
    <x v="0"/>
  </r>
  <r>
    <x v="30"/>
    <x v="1"/>
    <x v="0"/>
    <x v="8"/>
    <n v="6"/>
    <n v="41"/>
    <n v="173"/>
    <n v="4.2195121951219514"/>
    <n v="6.833333333333333"/>
    <x v="0"/>
    <x v="0"/>
  </r>
  <r>
    <x v="31"/>
    <x v="1"/>
    <x v="1"/>
    <x v="7"/>
    <n v="16"/>
    <n v="77"/>
    <n v="554"/>
    <n v="7.1948051948051948"/>
    <n v="4.8125"/>
    <x v="0"/>
    <x v="0"/>
  </r>
  <r>
    <x v="31"/>
    <x v="1"/>
    <x v="1"/>
    <x v="0"/>
    <n v="10"/>
    <n v="73"/>
    <n v="668"/>
    <n v="9.1506849315068486"/>
    <n v="7.3"/>
    <x v="0"/>
    <x v="0"/>
  </r>
  <r>
    <x v="31"/>
    <x v="1"/>
    <x v="1"/>
    <x v="3"/>
    <n v="66"/>
    <n v="408"/>
    <n v="1999"/>
    <n v="4.8995098039215685"/>
    <n v="6.1818181818181817"/>
    <x v="0"/>
    <x v="0"/>
  </r>
  <r>
    <x v="31"/>
    <x v="1"/>
    <x v="1"/>
    <x v="6"/>
    <n v="1"/>
    <n v="1"/>
    <n v="1"/>
    <n v="1"/>
    <n v="1"/>
    <x v="0"/>
    <x v="0"/>
  </r>
  <r>
    <x v="31"/>
    <x v="1"/>
    <x v="1"/>
    <x v="8"/>
    <n v="36"/>
    <n v="254"/>
    <n v="1279"/>
    <n v="5.0354330708661417"/>
    <n v="7.0555555555555554"/>
    <x v="0"/>
    <x v="0"/>
  </r>
  <r>
    <x v="32"/>
    <x v="1"/>
    <x v="1"/>
    <x v="5"/>
    <n v="16"/>
    <n v="97"/>
    <n v="512"/>
    <n v="5.2783505154639174"/>
    <n v="6.0625"/>
    <x v="0"/>
    <x v="0"/>
  </r>
  <r>
    <x v="32"/>
    <x v="1"/>
    <x v="1"/>
    <x v="7"/>
    <n v="44"/>
    <n v="253"/>
    <n v="1433"/>
    <n v="5.6640316205533594"/>
    <n v="5.75"/>
    <x v="0"/>
    <x v="0"/>
  </r>
  <r>
    <x v="32"/>
    <x v="1"/>
    <x v="1"/>
    <x v="4"/>
    <n v="4"/>
    <n v="16"/>
    <n v="109"/>
    <n v="6.8125"/>
    <n v="4"/>
    <x v="0"/>
    <x v="0"/>
  </r>
  <r>
    <x v="32"/>
    <x v="1"/>
    <x v="1"/>
    <x v="0"/>
    <n v="7"/>
    <n v="20"/>
    <n v="71"/>
    <n v="3.55"/>
    <n v="2.8571428571428572"/>
    <x v="0"/>
    <x v="0"/>
  </r>
  <r>
    <x v="32"/>
    <x v="1"/>
    <x v="1"/>
    <x v="6"/>
    <n v="3"/>
    <n v="8"/>
    <n v="26"/>
    <n v="3.25"/>
    <n v="2.6666666666666665"/>
    <x v="0"/>
    <x v="0"/>
  </r>
  <r>
    <x v="32"/>
    <x v="1"/>
    <x v="1"/>
    <x v="9"/>
    <n v="5"/>
    <n v="40"/>
    <n v="114"/>
    <n v="2.85"/>
    <n v="8"/>
    <x v="0"/>
    <x v="0"/>
  </r>
  <r>
    <x v="32"/>
    <x v="1"/>
    <x v="1"/>
    <x v="8"/>
    <n v="52"/>
    <n v="259"/>
    <n v="1383"/>
    <n v="5.33976833976834"/>
    <n v="4.9807692307692308"/>
    <x v="0"/>
    <x v="0"/>
  </r>
  <r>
    <x v="33"/>
    <x v="1"/>
    <x v="1"/>
    <x v="5"/>
    <n v="3"/>
    <n v="13"/>
    <n v="17"/>
    <n v="1.3076923076923077"/>
    <n v="4.333333333333333"/>
    <x v="0"/>
    <x v="0"/>
  </r>
  <r>
    <x v="33"/>
    <x v="1"/>
    <x v="1"/>
    <x v="7"/>
    <n v="44"/>
    <n v="172"/>
    <n v="969"/>
    <n v="5.6337209302325579"/>
    <n v="3.9090909090909092"/>
    <x v="0"/>
    <x v="0"/>
  </r>
  <r>
    <x v="33"/>
    <x v="1"/>
    <x v="1"/>
    <x v="1"/>
    <n v="43"/>
    <n v="255"/>
    <n v="946"/>
    <n v="3.7098039215686276"/>
    <n v="5.9302325581395348"/>
    <x v="0"/>
    <x v="0"/>
  </r>
  <r>
    <x v="33"/>
    <x v="1"/>
    <x v="1"/>
    <x v="0"/>
    <n v="7"/>
    <n v="14"/>
    <n v="124"/>
    <n v="8.8571428571428577"/>
    <n v="2"/>
    <x v="0"/>
    <x v="0"/>
  </r>
  <r>
    <x v="33"/>
    <x v="1"/>
    <x v="1"/>
    <x v="3"/>
    <n v="1"/>
    <n v="1"/>
    <n v="2"/>
    <n v="2"/>
    <n v="1"/>
    <x v="0"/>
    <x v="0"/>
  </r>
  <r>
    <x v="33"/>
    <x v="1"/>
    <x v="1"/>
    <x v="6"/>
    <n v="5"/>
    <n v="24"/>
    <n v="56"/>
    <n v="2.3333333333333335"/>
    <n v="4.8"/>
    <x v="0"/>
    <x v="0"/>
  </r>
  <r>
    <x v="33"/>
    <x v="1"/>
    <x v="1"/>
    <x v="8"/>
    <n v="35"/>
    <n v="186"/>
    <n v="1141"/>
    <n v="6.134408602150538"/>
    <n v="5.3142857142857141"/>
    <x v="0"/>
    <x v="0"/>
  </r>
  <r>
    <x v="34"/>
    <x v="1"/>
    <x v="1"/>
    <x v="5"/>
    <n v="7"/>
    <n v="48"/>
    <n v="150"/>
    <n v="3.125"/>
    <n v="6.8571428571428568"/>
    <x v="0"/>
    <x v="0"/>
  </r>
  <r>
    <x v="34"/>
    <x v="1"/>
    <x v="1"/>
    <x v="7"/>
    <n v="33"/>
    <n v="194"/>
    <n v="1485"/>
    <n v="7.6546391752577323"/>
    <n v="5.8787878787878789"/>
    <x v="0"/>
    <x v="0"/>
  </r>
  <r>
    <x v="34"/>
    <x v="1"/>
    <x v="1"/>
    <x v="1"/>
    <n v="36"/>
    <n v="204"/>
    <n v="937"/>
    <n v="4.5931372549019605"/>
    <n v="5.666666666666667"/>
    <x v="0"/>
    <x v="0"/>
  </r>
  <r>
    <x v="34"/>
    <x v="1"/>
    <x v="1"/>
    <x v="0"/>
    <n v="7"/>
    <n v="37"/>
    <n v="214"/>
    <n v="5.7837837837837842"/>
    <n v="5.2857142857142856"/>
    <x v="0"/>
    <x v="0"/>
  </r>
  <r>
    <x v="34"/>
    <x v="1"/>
    <x v="1"/>
    <x v="3"/>
    <n v="1"/>
    <n v="1"/>
    <n v="2"/>
    <n v="2"/>
    <n v="1"/>
    <x v="0"/>
    <x v="0"/>
  </r>
  <r>
    <x v="34"/>
    <x v="1"/>
    <x v="1"/>
    <x v="6"/>
    <n v="2"/>
    <n v="3"/>
    <n v="16"/>
    <n v="5.333333333333333"/>
    <n v="1.5"/>
    <x v="0"/>
    <x v="0"/>
  </r>
  <r>
    <x v="34"/>
    <x v="1"/>
    <x v="1"/>
    <x v="9"/>
    <n v="1"/>
    <n v="13"/>
    <n v="79"/>
    <n v="6.0769230769230766"/>
    <n v="13"/>
    <x v="0"/>
    <x v="0"/>
  </r>
  <r>
    <x v="34"/>
    <x v="1"/>
    <x v="1"/>
    <x v="8"/>
    <n v="39"/>
    <n v="173"/>
    <n v="1847"/>
    <n v="10.676300578034683"/>
    <n v="4.4358974358974361"/>
    <x v="0"/>
    <x v="0"/>
  </r>
  <r>
    <x v="35"/>
    <x v="1"/>
    <x v="1"/>
    <x v="5"/>
    <n v="7"/>
    <n v="30"/>
    <n v="191"/>
    <n v="6.3666666666666663"/>
    <n v="4.2857142857142856"/>
    <x v="0"/>
    <x v="0"/>
  </r>
  <r>
    <x v="35"/>
    <x v="1"/>
    <x v="1"/>
    <x v="7"/>
    <n v="25"/>
    <n v="166"/>
    <n v="938"/>
    <n v="5.6506024096385543"/>
    <n v="6.64"/>
    <x v="0"/>
    <x v="0"/>
  </r>
  <r>
    <x v="35"/>
    <x v="1"/>
    <x v="1"/>
    <x v="1"/>
    <n v="39"/>
    <n v="243"/>
    <n v="1424"/>
    <n v="5.8600823045267489"/>
    <n v="6.2307692307692308"/>
    <x v="0"/>
    <x v="0"/>
  </r>
  <r>
    <x v="35"/>
    <x v="1"/>
    <x v="1"/>
    <x v="4"/>
    <n v="3"/>
    <n v="7"/>
    <n v="141"/>
    <n v="20.142857142857142"/>
    <n v="2.3333333333333335"/>
    <x v="0"/>
    <x v="0"/>
  </r>
  <r>
    <x v="35"/>
    <x v="1"/>
    <x v="1"/>
    <x v="0"/>
    <n v="12"/>
    <n v="43"/>
    <n v="250"/>
    <n v="5.8139534883720927"/>
    <n v="3.5833333333333335"/>
    <x v="0"/>
    <x v="0"/>
  </r>
  <r>
    <x v="35"/>
    <x v="1"/>
    <x v="1"/>
    <x v="3"/>
    <n v="1"/>
    <n v="4"/>
    <n v="108"/>
    <n v="27"/>
    <n v="4"/>
    <x v="0"/>
    <x v="0"/>
  </r>
  <r>
    <x v="35"/>
    <x v="1"/>
    <x v="1"/>
    <x v="6"/>
    <n v="3"/>
    <n v="15"/>
    <n v="41"/>
    <n v="2.7333333333333334"/>
    <n v="5"/>
    <x v="0"/>
    <x v="0"/>
  </r>
  <r>
    <x v="35"/>
    <x v="1"/>
    <x v="1"/>
    <x v="9"/>
    <n v="4"/>
    <n v="27"/>
    <n v="421"/>
    <n v="15.592592592592593"/>
    <n v="6.75"/>
    <x v="0"/>
    <x v="0"/>
  </r>
  <r>
    <x v="35"/>
    <x v="1"/>
    <x v="1"/>
    <x v="8"/>
    <n v="24"/>
    <n v="200"/>
    <n v="1732"/>
    <n v="8.66"/>
    <n v="8.3333333333333339"/>
    <x v="0"/>
    <x v="0"/>
  </r>
  <r>
    <x v="36"/>
    <x v="1"/>
    <x v="1"/>
    <x v="7"/>
    <n v="18"/>
    <n v="133"/>
    <n v="975"/>
    <n v="7.3308270676691727"/>
    <n v="7.3888888888888893"/>
    <x v="0"/>
    <x v="0"/>
  </r>
  <r>
    <x v="36"/>
    <x v="1"/>
    <x v="1"/>
    <x v="1"/>
    <n v="12"/>
    <n v="165"/>
    <n v="628"/>
    <n v="3.8060606060606061"/>
    <n v="13.75"/>
    <x v="0"/>
    <x v="0"/>
  </r>
  <r>
    <x v="36"/>
    <x v="1"/>
    <x v="1"/>
    <x v="3"/>
    <n v="1"/>
    <n v="3"/>
    <n v="13"/>
    <n v="4.333333333333333"/>
    <n v="3"/>
    <x v="0"/>
    <x v="0"/>
  </r>
  <r>
    <x v="36"/>
    <x v="1"/>
    <x v="1"/>
    <x v="6"/>
    <n v="5"/>
    <n v="29"/>
    <n v="102"/>
    <n v="3.5172413793103448"/>
    <n v="5.8"/>
    <x v="0"/>
    <x v="0"/>
  </r>
  <r>
    <x v="36"/>
    <x v="1"/>
    <x v="1"/>
    <x v="8"/>
    <n v="6"/>
    <n v="23"/>
    <n v="93"/>
    <n v="4.0434782608695654"/>
    <n v="3.8333333333333335"/>
    <x v="0"/>
    <x v="0"/>
  </r>
  <r>
    <x v="37"/>
    <x v="1"/>
    <x v="2"/>
    <x v="5"/>
    <n v="19"/>
    <n v="183"/>
    <n v="853"/>
    <n v="4.6612021857923498"/>
    <n v="9.6315789473684212"/>
    <x v="0"/>
    <x v="0"/>
  </r>
  <r>
    <x v="37"/>
    <x v="1"/>
    <x v="2"/>
    <x v="7"/>
    <n v="3"/>
    <n v="38"/>
    <n v="131"/>
    <n v="3.4473684210526314"/>
    <n v="12.666666666666666"/>
    <x v="0"/>
    <x v="0"/>
  </r>
  <r>
    <x v="37"/>
    <x v="1"/>
    <x v="2"/>
    <x v="1"/>
    <n v="38"/>
    <n v="196"/>
    <n v="1339"/>
    <n v="6.8316326530612246"/>
    <n v="5.1578947368421053"/>
    <x v="0"/>
    <x v="0"/>
  </r>
  <r>
    <x v="37"/>
    <x v="1"/>
    <x v="2"/>
    <x v="0"/>
    <n v="2"/>
    <n v="6"/>
    <n v="49"/>
    <n v="8.1666666666666661"/>
    <n v="3"/>
    <x v="0"/>
    <x v="0"/>
  </r>
  <r>
    <x v="37"/>
    <x v="1"/>
    <x v="2"/>
    <x v="3"/>
    <n v="4"/>
    <n v="13"/>
    <n v="22"/>
    <n v="1.6923076923076923"/>
    <n v="3.25"/>
    <x v="0"/>
    <x v="0"/>
  </r>
  <r>
    <x v="37"/>
    <x v="1"/>
    <x v="2"/>
    <x v="9"/>
    <n v="11"/>
    <n v="91"/>
    <n v="244"/>
    <n v="2.6813186813186811"/>
    <n v="8.2727272727272734"/>
    <x v="0"/>
    <x v="0"/>
  </r>
  <r>
    <x v="37"/>
    <x v="1"/>
    <x v="2"/>
    <x v="8"/>
    <n v="7"/>
    <n v="74"/>
    <n v="309"/>
    <n v="4.1756756756756754"/>
    <n v="10.571428571428571"/>
    <x v="0"/>
    <x v="0"/>
  </r>
  <r>
    <x v="38"/>
    <x v="1"/>
    <x v="2"/>
    <x v="5"/>
    <n v="10"/>
    <n v="54"/>
    <n v="198"/>
    <n v="3.6666666666666665"/>
    <n v="5.4"/>
    <x v="0"/>
    <x v="0"/>
  </r>
  <r>
    <x v="38"/>
    <x v="1"/>
    <x v="2"/>
    <x v="7"/>
    <n v="13"/>
    <n v="172"/>
    <n v="916"/>
    <n v="5.3255813953488369"/>
    <n v="13.23076923076923"/>
    <x v="0"/>
    <x v="0"/>
  </r>
  <r>
    <x v="38"/>
    <x v="1"/>
    <x v="2"/>
    <x v="3"/>
    <n v="1"/>
    <n v="2"/>
    <n v="8"/>
    <n v="4"/>
    <n v="2"/>
    <x v="0"/>
    <x v="0"/>
  </r>
  <r>
    <x v="38"/>
    <x v="1"/>
    <x v="2"/>
    <x v="9"/>
    <n v="5"/>
    <n v="19"/>
    <n v="78"/>
    <n v="4.1052631578947372"/>
    <n v="3.8"/>
    <x v="0"/>
    <x v="0"/>
  </r>
  <r>
    <x v="38"/>
    <x v="1"/>
    <x v="2"/>
    <x v="8"/>
    <n v="4"/>
    <n v="37"/>
    <n v="159"/>
    <n v="4.2972972972972974"/>
    <n v="9.25"/>
    <x v="0"/>
    <x v="0"/>
  </r>
  <r>
    <x v="39"/>
    <x v="1"/>
    <x v="2"/>
    <x v="5"/>
    <n v="21"/>
    <n v="126"/>
    <n v="453"/>
    <n v="3.5952380952380953"/>
    <n v="6"/>
    <x v="0"/>
    <x v="0"/>
  </r>
  <r>
    <x v="39"/>
    <x v="1"/>
    <x v="2"/>
    <x v="7"/>
    <n v="19"/>
    <n v="94"/>
    <n v="640"/>
    <n v="6.8085106382978724"/>
    <n v="4.9473684210526319"/>
    <x v="0"/>
    <x v="0"/>
  </r>
  <r>
    <x v="39"/>
    <x v="1"/>
    <x v="2"/>
    <x v="1"/>
    <n v="11"/>
    <n v="52"/>
    <n v="937"/>
    <n v="18.01923076923077"/>
    <n v="4.7272727272727275"/>
    <x v="0"/>
    <x v="0"/>
  </r>
  <r>
    <x v="39"/>
    <x v="1"/>
    <x v="2"/>
    <x v="4"/>
    <n v="9"/>
    <n v="43"/>
    <n v="189"/>
    <n v="4.3953488372093021"/>
    <n v="4.7777777777777777"/>
    <x v="0"/>
    <x v="0"/>
  </r>
  <r>
    <x v="39"/>
    <x v="1"/>
    <x v="2"/>
    <x v="0"/>
    <n v="3"/>
    <n v="15"/>
    <n v="32"/>
    <n v="2.1333333333333333"/>
    <n v="5"/>
    <x v="0"/>
    <x v="0"/>
  </r>
  <r>
    <x v="39"/>
    <x v="1"/>
    <x v="2"/>
    <x v="6"/>
    <n v="8"/>
    <n v="17"/>
    <n v="75"/>
    <n v="4.4117647058823533"/>
    <n v="2.125"/>
    <x v="0"/>
    <x v="0"/>
  </r>
  <r>
    <x v="39"/>
    <x v="1"/>
    <x v="2"/>
    <x v="9"/>
    <n v="12"/>
    <n v="41"/>
    <n v="230"/>
    <n v="5.6097560975609753"/>
    <n v="3.4166666666666665"/>
    <x v="0"/>
    <x v="0"/>
  </r>
  <r>
    <x v="39"/>
    <x v="1"/>
    <x v="2"/>
    <x v="8"/>
    <n v="32"/>
    <n v="244"/>
    <n v="1662"/>
    <n v="6.8114754098360653"/>
    <n v="7.625"/>
    <x v="0"/>
    <x v="0"/>
  </r>
  <r>
    <x v="40"/>
    <x v="1"/>
    <x v="2"/>
    <x v="5"/>
    <n v="2"/>
    <n v="6"/>
    <n v="147"/>
    <n v="24.5"/>
    <n v="3"/>
    <x v="0"/>
    <x v="0"/>
  </r>
  <r>
    <x v="40"/>
    <x v="1"/>
    <x v="2"/>
    <x v="7"/>
    <n v="53"/>
    <n v="313"/>
    <n v="2691"/>
    <n v="8.5974440894568698"/>
    <n v="5.9056603773584904"/>
    <x v="0"/>
    <x v="0"/>
  </r>
  <r>
    <x v="40"/>
    <x v="1"/>
    <x v="2"/>
    <x v="4"/>
    <n v="3"/>
    <n v="15"/>
    <n v="34"/>
    <n v="2.2666666666666666"/>
    <n v="5"/>
    <x v="0"/>
    <x v="0"/>
  </r>
  <r>
    <x v="40"/>
    <x v="1"/>
    <x v="2"/>
    <x v="6"/>
    <n v="1"/>
    <n v="2"/>
    <n v="2"/>
    <n v="1"/>
    <n v="2"/>
    <x v="0"/>
    <x v="0"/>
  </r>
  <r>
    <x v="40"/>
    <x v="1"/>
    <x v="2"/>
    <x v="9"/>
    <n v="14"/>
    <n v="73"/>
    <n v="289"/>
    <n v="3.9589041095890409"/>
    <n v="5.2142857142857144"/>
    <x v="0"/>
    <x v="0"/>
  </r>
  <r>
    <x v="40"/>
    <x v="1"/>
    <x v="2"/>
    <x v="8"/>
    <n v="67"/>
    <n v="243"/>
    <n v="1352"/>
    <n v="5.5637860082304531"/>
    <n v="3.6268656716417911"/>
    <x v="0"/>
    <x v="0"/>
  </r>
  <r>
    <x v="41"/>
    <x v="1"/>
    <x v="2"/>
    <x v="5"/>
    <n v="64"/>
    <n v="64"/>
    <n v="618"/>
    <n v="9.65625"/>
    <n v="1"/>
    <x v="0"/>
    <x v="0"/>
  </r>
  <r>
    <x v="41"/>
    <x v="1"/>
    <x v="2"/>
    <x v="7"/>
    <n v="38"/>
    <n v="345"/>
    <n v="2108"/>
    <n v="6.1101449275362318"/>
    <n v="9.0789473684210531"/>
    <x v="0"/>
    <x v="0"/>
  </r>
  <r>
    <x v="41"/>
    <x v="1"/>
    <x v="2"/>
    <x v="4"/>
    <n v="10"/>
    <n v="18"/>
    <n v="283"/>
    <n v="15.722222222222221"/>
    <n v="1.8"/>
    <x v="0"/>
    <x v="0"/>
  </r>
  <r>
    <x v="41"/>
    <x v="1"/>
    <x v="2"/>
    <x v="0"/>
    <n v="14"/>
    <n v="76"/>
    <n v="476"/>
    <n v="6.2631578947368425"/>
    <n v="5.4285714285714288"/>
    <x v="0"/>
    <x v="0"/>
  </r>
  <r>
    <x v="41"/>
    <x v="1"/>
    <x v="2"/>
    <x v="6"/>
    <n v="6"/>
    <n v="24"/>
    <n v="49"/>
    <n v="2.0416666666666665"/>
    <n v="4"/>
    <x v="0"/>
    <x v="0"/>
  </r>
  <r>
    <x v="41"/>
    <x v="1"/>
    <x v="2"/>
    <x v="9"/>
    <n v="10"/>
    <n v="90"/>
    <n v="526"/>
    <n v="5.8444444444444441"/>
    <n v="9"/>
    <x v="0"/>
    <x v="0"/>
  </r>
  <r>
    <x v="41"/>
    <x v="1"/>
    <x v="2"/>
    <x v="8"/>
    <n v="65"/>
    <n v="346"/>
    <n v="2174"/>
    <n v="6.2832369942196529"/>
    <n v="5.3230769230769228"/>
    <x v="0"/>
    <x v="0"/>
  </r>
  <r>
    <x v="42"/>
    <x v="1"/>
    <x v="2"/>
    <x v="7"/>
    <n v="25"/>
    <n v="231"/>
    <n v="761"/>
    <n v="3.2943722943722942"/>
    <n v="9.24"/>
    <x v="0"/>
    <x v="0"/>
  </r>
  <r>
    <x v="42"/>
    <x v="1"/>
    <x v="2"/>
    <x v="3"/>
    <n v="1"/>
    <n v="8"/>
    <n v="62"/>
    <n v="7.75"/>
    <n v="8"/>
    <x v="0"/>
    <x v="0"/>
  </r>
  <r>
    <x v="42"/>
    <x v="1"/>
    <x v="2"/>
    <x v="6"/>
    <n v="10"/>
    <n v="37"/>
    <n v="198"/>
    <n v="5.3513513513513518"/>
    <n v="3.7"/>
    <x v="0"/>
    <x v="0"/>
  </r>
  <r>
    <x v="42"/>
    <x v="1"/>
    <x v="2"/>
    <x v="9"/>
    <n v="3"/>
    <n v="25"/>
    <n v="56"/>
    <n v="2.2400000000000002"/>
    <n v="8.3333333333333339"/>
    <x v="0"/>
    <x v="0"/>
  </r>
  <r>
    <x v="42"/>
    <x v="1"/>
    <x v="2"/>
    <x v="8"/>
    <n v="8"/>
    <n v="63"/>
    <n v="265"/>
    <n v="4.2063492063492065"/>
    <n v="7.875"/>
    <x v="0"/>
    <x v="0"/>
  </r>
  <r>
    <x v="43"/>
    <x v="1"/>
    <x v="3"/>
    <x v="5"/>
    <n v="13"/>
    <n v="77"/>
    <n v="1383"/>
    <n v="17.961038961038962"/>
    <n v="5.9230769230769234"/>
    <x v="0"/>
    <x v="0"/>
  </r>
  <r>
    <x v="43"/>
    <x v="1"/>
    <x v="3"/>
    <x v="7"/>
    <n v="47"/>
    <n v="259"/>
    <n v="4294"/>
    <n v="16.579150579150578"/>
    <n v="5.5106382978723403"/>
    <x v="0"/>
    <x v="0"/>
  </r>
  <r>
    <x v="43"/>
    <x v="1"/>
    <x v="3"/>
    <x v="4"/>
    <n v="6"/>
    <n v="11"/>
    <n v="119"/>
    <n v="10.818181818181818"/>
    <n v="1.8333333333333333"/>
    <x v="0"/>
    <x v="0"/>
  </r>
  <r>
    <x v="43"/>
    <x v="1"/>
    <x v="3"/>
    <x v="0"/>
    <n v="1"/>
    <n v="2"/>
    <n v="5"/>
    <n v="2.5"/>
    <n v="2"/>
    <x v="0"/>
    <x v="0"/>
  </r>
  <r>
    <x v="43"/>
    <x v="1"/>
    <x v="3"/>
    <x v="6"/>
    <n v="27"/>
    <n v="86"/>
    <n v="1329"/>
    <n v="15.453488372093023"/>
    <n v="3.1851851851851851"/>
    <x v="0"/>
    <x v="0"/>
  </r>
  <r>
    <x v="43"/>
    <x v="1"/>
    <x v="3"/>
    <x v="9"/>
    <n v="12"/>
    <n v="74"/>
    <n v="625"/>
    <n v="8.4459459459459456"/>
    <n v="6.166666666666667"/>
    <x v="0"/>
    <x v="0"/>
  </r>
  <r>
    <x v="43"/>
    <x v="1"/>
    <x v="3"/>
    <x v="8"/>
    <n v="27"/>
    <n v="122"/>
    <n v="450"/>
    <n v="3.6885245901639343"/>
    <n v="4.5185185185185182"/>
    <x v="0"/>
    <x v="0"/>
  </r>
  <r>
    <x v="44"/>
    <x v="1"/>
    <x v="3"/>
    <x v="7"/>
    <n v="66"/>
    <n v="371"/>
    <n v="1943"/>
    <n v="5.237196765498652"/>
    <n v="5.6212121212121211"/>
    <x v="0"/>
    <x v="0"/>
  </r>
  <r>
    <x v="44"/>
    <x v="1"/>
    <x v="3"/>
    <x v="4"/>
    <n v="18"/>
    <n v="73"/>
    <n v="374"/>
    <n v="5.1232876712328768"/>
    <n v="4.0555555555555554"/>
    <x v="0"/>
    <x v="0"/>
  </r>
  <r>
    <x v="44"/>
    <x v="1"/>
    <x v="3"/>
    <x v="0"/>
    <n v="7"/>
    <n v="45"/>
    <n v="421"/>
    <n v="9.3555555555555561"/>
    <n v="6.4285714285714288"/>
    <x v="0"/>
    <x v="0"/>
  </r>
  <r>
    <x v="44"/>
    <x v="1"/>
    <x v="3"/>
    <x v="6"/>
    <n v="20"/>
    <n v="124"/>
    <n v="581"/>
    <n v="4.685483870967742"/>
    <n v="6.2"/>
    <x v="0"/>
    <x v="0"/>
  </r>
  <r>
    <x v="44"/>
    <x v="1"/>
    <x v="3"/>
    <x v="9"/>
    <n v="7"/>
    <n v="51"/>
    <n v="775"/>
    <n v="15.196078431372548"/>
    <n v="7.2857142857142856"/>
    <x v="0"/>
    <x v="0"/>
  </r>
  <r>
    <x v="44"/>
    <x v="1"/>
    <x v="3"/>
    <x v="8"/>
    <n v="19"/>
    <n v="103"/>
    <n v="537"/>
    <n v="5.2135922330097086"/>
    <n v="5.4210526315789478"/>
    <x v="0"/>
    <x v="0"/>
  </r>
  <r>
    <x v="45"/>
    <x v="1"/>
    <x v="3"/>
    <x v="5"/>
    <n v="21"/>
    <n v="91"/>
    <n v="503"/>
    <n v="5.5274725274725274"/>
    <n v="4.333333333333333"/>
    <x v="0"/>
    <x v="0"/>
  </r>
  <r>
    <x v="45"/>
    <x v="1"/>
    <x v="3"/>
    <x v="7"/>
    <n v="50"/>
    <n v="308"/>
    <n v="1618"/>
    <n v="5.2532467532467528"/>
    <n v="6.16"/>
    <x v="0"/>
    <x v="0"/>
  </r>
  <r>
    <x v="45"/>
    <x v="1"/>
    <x v="3"/>
    <x v="4"/>
    <n v="4"/>
    <n v="21"/>
    <n v="105"/>
    <n v="5"/>
    <n v="5.25"/>
    <x v="0"/>
    <x v="0"/>
  </r>
  <r>
    <x v="45"/>
    <x v="1"/>
    <x v="3"/>
    <x v="6"/>
    <n v="2"/>
    <n v="5"/>
    <n v="9"/>
    <n v="1.8"/>
    <n v="2.5"/>
    <x v="0"/>
    <x v="0"/>
  </r>
  <r>
    <x v="45"/>
    <x v="1"/>
    <x v="3"/>
    <x v="9"/>
    <n v="8"/>
    <n v="44"/>
    <n v="211"/>
    <n v="4.7954545454545459"/>
    <n v="5.5"/>
    <x v="0"/>
    <x v="0"/>
  </r>
  <r>
    <x v="45"/>
    <x v="1"/>
    <x v="3"/>
    <x v="8"/>
    <n v="35"/>
    <n v="193"/>
    <n v="3372"/>
    <n v="17.471502590673577"/>
    <n v="5.5142857142857142"/>
    <x v="0"/>
    <x v="0"/>
  </r>
  <r>
    <x v="46"/>
    <x v="1"/>
    <x v="3"/>
    <x v="5"/>
    <n v="9"/>
    <n v="47"/>
    <n v="734"/>
    <n v="15.617021276595745"/>
    <n v="5.2222222222222223"/>
    <x v="0"/>
    <x v="0"/>
  </r>
  <r>
    <x v="46"/>
    <x v="1"/>
    <x v="3"/>
    <x v="7"/>
    <n v="37"/>
    <n v="209"/>
    <n v="1284"/>
    <n v="6.143540669856459"/>
    <n v="5.6486486486486482"/>
    <x v="0"/>
    <x v="0"/>
  </r>
  <r>
    <x v="46"/>
    <x v="1"/>
    <x v="3"/>
    <x v="4"/>
    <n v="2"/>
    <n v="28"/>
    <n v="130"/>
    <n v="4.6428571428571432"/>
    <n v="14"/>
    <x v="0"/>
    <x v="0"/>
  </r>
  <r>
    <x v="46"/>
    <x v="1"/>
    <x v="3"/>
    <x v="0"/>
    <n v="2"/>
    <n v="7"/>
    <n v="41"/>
    <n v="5.8571428571428568"/>
    <n v="3.5"/>
    <x v="0"/>
    <x v="0"/>
  </r>
  <r>
    <x v="46"/>
    <x v="1"/>
    <x v="3"/>
    <x v="6"/>
    <n v="29"/>
    <n v="123"/>
    <n v="714"/>
    <n v="5.8048780487804876"/>
    <n v="4.2413793103448274"/>
    <x v="0"/>
    <x v="0"/>
  </r>
  <r>
    <x v="46"/>
    <x v="1"/>
    <x v="3"/>
    <x v="9"/>
    <n v="9"/>
    <n v="35"/>
    <n v="263"/>
    <n v="7.5142857142857142"/>
    <n v="3.8888888888888888"/>
    <x v="0"/>
    <x v="0"/>
  </r>
  <r>
    <x v="46"/>
    <x v="1"/>
    <x v="3"/>
    <x v="8"/>
    <n v="16"/>
    <n v="106"/>
    <n v="522"/>
    <n v="4.9245283018867925"/>
    <n v="6.625"/>
    <x v="0"/>
    <x v="0"/>
  </r>
  <r>
    <x v="47"/>
    <x v="1"/>
    <x v="3"/>
    <x v="0"/>
    <n v="10"/>
    <n v="59"/>
    <n v="911"/>
    <n v="15.440677966101696"/>
    <n v="5.9"/>
    <x v="0"/>
    <x v="0"/>
  </r>
  <r>
    <x v="47"/>
    <x v="1"/>
    <x v="3"/>
    <x v="10"/>
    <n v="29"/>
    <n v="114"/>
    <n v="619"/>
    <n v="5.4298245614035086"/>
    <n v="3.9310344827586206"/>
    <x v="0"/>
    <x v="0"/>
  </r>
  <r>
    <x v="47"/>
    <x v="1"/>
    <x v="3"/>
    <x v="8"/>
    <n v="11"/>
    <n v="32"/>
    <n v="330"/>
    <n v="10.3125"/>
    <n v="2.9090909090909092"/>
    <x v="0"/>
    <x v="0"/>
  </r>
  <r>
    <x v="47"/>
    <x v="1"/>
    <x v="3"/>
    <x v="9"/>
    <n v="9"/>
    <n v="59"/>
    <n v="911"/>
    <n v="15.440677966101696"/>
    <n v="6.5555555555555554"/>
    <x v="0"/>
    <x v="0"/>
  </r>
  <r>
    <x v="47"/>
    <x v="1"/>
    <x v="3"/>
    <x v="7"/>
    <n v="56"/>
    <n v="278"/>
    <n v="2366"/>
    <n v="8.5107913669064743"/>
    <n v="4.9642857142857144"/>
    <x v="0"/>
    <x v="0"/>
  </r>
  <r>
    <x v="47"/>
    <x v="1"/>
    <x v="3"/>
    <x v="4"/>
    <n v="1"/>
    <n v="1"/>
    <n v="6"/>
    <n v="6"/>
    <n v="1"/>
    <x v="0"/>
    <x v="0"/>
  </r>
  <r>
    <x v="47"/>
    <x v="1"/>
    <x v="3"/>
    <x v="6"/>
    <n v="24"/>
    <n v="127"/>
    <n v="748"/>
    <n v="5.8897637795275593"/>
    <n v="5.291666666666667"/>
    <x v="0"/>
    <x v="0"/>
  </r>
  <r>
    <x v="48"/>
    <x v="1"/>
    <x v="3"/>
    <x v="10"/>
    <n v="23"/>
    <n v="182"/>
    <n v="683"/>
    <n v="3.7527472527472527"/>
    <n v="7.9130434782608692"/>
    <x v="0"/>
    <x v="0"/>
  </r>
  <r>
    <x v="48"/>
    <x v="1"/>
    <x v="3"/>
    <x v="8"/>
    <n v="4"/>
    <n v="25"/>
    <n v="123"/>
    <n v="4.92"/>
    <n v="6.25"/>
    <x v="0"/>
    <x v="0"/>
  </r>
  <r>
    <x v="48"/>
    <x v="1"/>
    <x v="3"/>
    <x v="9"/>
    <n v="4"/>
    <n v="26"/>
    <n v="482"/>
    <n v="18.53846153846154"/>
    <n v="6.5"/>
    <x v="0"/>
    <x v="0"/>
  </r>
  <r>
    <x v="48"/>
    <x v="1"/>
    <x v="3"/>
    <x v="7"/>
    <n v="18"/>
    <n v="175"/>
    <n v="736"/>
    <n v="4.2057142857142855"/>
    <n v="9.7222222222222214"/>
    <x v="0"/>
    <x v="0"/>
  </r>
  <r>
    <x v="48"/>
    <x v="1"/>
    <x v="3"/>
    <x v="6"/>
    <n v="13"/>
    <n v="28"/>
    <n v="232"/>
    <n v="8.2857142857142865"/>
    <n v="2.1538461538461537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x v="0"/>
    <x v="0"/>
    <n v="19"/>
    <n v="100"/>
    <n v="2265"/>
    <n v="22.65"/>
    <n v="5.2631578947368425"/>
    <x v="0"/>
    <x v="0"/>
  </r>
  <r>
    <x v="0"/>
    <x v="0"/>
    <x v="0"/>
    <x v="1"/>
    <n v="15"/>
    <n v="92"/>
    <n v="343"/>
    <n v="3.7282608695652173"/>
    <n v="6.1333333333333337"/>
    <x v="0"/>
    <x v="0"/>
  </r>
  <r>
    <x v="0"/>
    <x v="0"/>
    <x v="0"/>
    <x v="2"/>
    <n v="56"/>
    <n v="386"/>
    <n v="1855"/>
    <n v="4.8056994818652852"/>
    <n v="6.8928571428571432"/>
    <x v="0"/>
    <x v="0"/>
  </r>
  <r>
    <x v="0"/>
    <x v="0"/>
    <x v="0"/>
    <x v="3"/>
    <n v="14"/>
    <n v="149"/>
    <n v="792"/>
    <n v="5.3154362416107386"/>
    <n v="10.642857142857142"/>
    <x v="0"/>
    <x v="0"/>
  </r>
  <r>
    <x v="1"/>
    <x v="0"/>
    <x v="0"/>
    <x v="0"/>
    <n v="19"/>
    <n v="58"/>
    <n v="717"/>
    <n v="12.362068965517242"/>
    <n v="3.0526315789473686"/>
    <x v="0"/>
    <x v="0"/>
  </r>
  <r>
    <x v="1"/>
    <x v="0"/>
    <x v="0"/>
    <x v="1"/>
    <n v="57"/>
    <n v="305"/>
    <n v="1204"/>
    <n v="3.9475409836065576"/>
    <n v="5.3508771929824563"/>
    <x v="0"/>
    <x v="0"/>
  </r>
  <r>
    <x v="1"/>
    <x v="0"/>
    <x v="0"/>
    <x v="4"/>
    <n v="29"/>
    <n v="179"/>
    <n v="832"/>
    <n v="4.6480446927374306"/>
    <n v="6.1724137931034484"/>
    <x v="0"/>
    <x v="0"/>
  </r>
  <r>
    <x v="1"/>
    <x v="0"/>
    <x v="0"/>
    <x v="2"/>
    <n v="1"/>
    <n v="2"/>
    <n v="32"/>
    <n v="16"/>
    <n v="2"/>
    <x v="0"/>
    <x v="0"/>
  </r>
  <r>
    <x v="1"/>
    <x v="0"/>
    <x v="0"/>
    <x v="3"/>
    <n v="9"/>
    <n v="148"/>
    <n v="799"/>
    <n v="5.3986486486486482"/>
    <n v="16.444444444444443"/>
    <x v="0"/>
    <x v="0"/>
  </r>
  <r>
    <x v="1"/>
    <x v="0"/>
    <x v="0"/>
    <x v="5"/>
    <n v="5"/>
    <n v="47"/>
    <n v="135"/>
    <n v="2.8723404255319149"/>
    <n v="9.4"/>
    <x v="0"/>
    <x v="0"/>
  </r>
  <r>
    <x v="2"/>
    <x v="0"/>
    <x v="0"/>
    <x v="0"/>
    <n v="37"/>
    <n v="199"/>
    <n v="752"/>
    <n v="3.778894472361809"/>
    <n v="5.3783783783783781"/>
    <x v="0"/>
    <x v="0"/>
  </r>
  <r>
    <x v="2"/>
    <x v="0"/>
    <x v="0"/>
    <x v="1"/>
    <n v="44"/>
    <n v="177"/>
    <n v="1109"/>
    <n v="6.2655367231638417"/>
    <n v="4.0227272727272725"/>
    <x v="0"/>
    <x v="0"/>
  </r>
  <r>
    <x v="2"/>
    <x v="0"/>
    <x v="0"/>
    <x v="4"/>
    <n v="17"/>
    <n v="110"/>
    <n v="473"/>
    <n v="4.3"/>
    <n v="6.4705882352941178"/>
    <x v="0"/>
    <x v="0"/>
  </r>
  <r>
    <x v="2"/>
    <x v="0"/>
    <x v="0"/>
    <x v="2"/>
    <n v="3"/>
    <n v="23"/>
    <n v="74"/>
    <n v="3.2173913043478262"/>
    <n v="7.666666666666667"/>
    <x v="0"/>
    <x v="0"/>
  </r>
  <r>
    <x v="2"/>
    <x v="0"/>
    <x v="0"/>
    <x v="6"/>
    <n v="46"/>
    <n v="216"/>
    <n v="1665"/>
    <n v="7.708333333333333"/>
    <n v="4.6956521739130439"/>
    <x v="0"/>
    <x v="0"/>
  </r>
  <r>
    <x v="2"/>
    <x v="0"/>
    <x v="0"/>
    <x v="5"/>
    <n v="5"/>
    <n v="12"/>
    <n v="16"/>
    <n v="1.3333333333333333"/>
    <n v="2.4"/>
    <x v="0"/>
    <x v="0"/>
  </r>
  <r>
    <x v="3"/>
    <x v="0"/>
    <x v="0"/>
    <x v="0"/>
    <n v="15"/>
    <n v="78"/>
    <n v="314"/>
    <n v="4.0256410256410255"/>
    <n v="5.2"/>
    <x v="0"/>
    <x v="0"/>
  </r>
  <r>
    <x v="3"/>
    <x v="0"/>
    <x v="0"/>
    <x v="1"/>
    <n v="28"/>
    <n v="139"/>
    <n v="911"/>
    <n v="6.5539568345323742"/>
    <n v="4.9642857142857144"/>
    <x v="0"/>
    <x v="0"/>
  </r>
  <r>
    <x v="3"/>
    <x v="0"/>
    <x v="0"/>
    <x v="4"/>
    <n v="21"/>
    <n v="200"/>
    <n v="768"/>
    <n v="3.84"/>
    <n v="9.5238095238095237"/>
    <x v="0"/>
    <x v="0"/>
  </r>
  <r>
    <x v="3"/>
    <x v="0"/>
    <x v="0"/>
    <x v="3"/>
    <n v="1"/>
    <n v="3"/>
    <n v="3"/>
    <n v="1"/>
    <n v="3"/>
    <x v="0"/>
    <x v="0"/>
  </r>
  <r>
    <x v="3"/>
    <x v="0"/>
    <x v="0"/>
    <x v="6"/>
    <n v="30"/>
    <n v="194"/>
    <n v="1097"/>
    <n v="5.6546391752577323"/>
    <n v="6.4666666666666668"/>
    <x v="0"/>
    <x v="0"/>
  </r>
  <r>
    <x v="3"/>
    <x v="0"/>
    <x v="0"/>
    <x v="5"/>
    <n v="4"/>
    <n v="11"/>
    <n v="11"/>
    <n v="1"/>
    <n v="2.75"/>
    <x v="0"/>
    <x v="0"/>
  </r>
  <r>
    <x v="4"/>
    <x v="0"/>
    <x v="0"/>
    <x v="0"/>
    <n v="8"/>
    <n v="20"/>
    <n v="93"/>
    <n v="4.6500000000000004"/>
    <n v="2.5"/>
    <x v="0"/>
    <x v="0"/>
  </r>
  <r>
    <x v="4"/>
    <x v="0"/>
    <x v="0"/>
    <x v="1"/>
    <n v="18"/>
    <n v="182"/>
    <n v="1201"/>
    <n v="6.5989010989010985"/>
    <n v="10.111111111111111"/>
    <x v="0"/>
    <x v="0"/>
  </r>
  <r>
    <x v="4"/>
    <x v="0"/>
    <x v="0"/>
    <x v="4"/>
    <n v="34"/>
    <n v="159"/>
    <n v="1185"/>
    <n v="7.4528301886792452"/>
    <n v="4.6764705882352944"/>
    <x v="0"/>
    <x v="0"/>
  </r>
  <r>
    <x v="4"/>
    <x v="0"/>
    <x v="0"/>
    <x v="2"/>
    <n v="10"/>
    <n v="54"/>
    <n v="340"/>
    <n v="6.2962962962962967"/>
    <n v="5.4"/>
    <x v="0"/>
    <x v="0"/>
  </r>
  <r>
    <x v="4"/>
    <x v="0"/>
    <x v="0"/>
    <x v="6"/>
    <n v="34"/>
    <n v="187"/>
    <n v="1266"/>
    <n v="6.7700534759358293"/>
    <n v="5.5"/>
    <x v="0"/>
    <x v="0"/>
  </r>
  <r>
    <x v="4"/>
    <x v="0"/>
    <x v="0"/>
    <x v="5"/>
    <n v="1"/>
    <n v="1"/>
    <n v="1"/>
    <n v="1"/>
    <n v="1"/>
    <x v="0"/>
    <x v="0"/>
  </r>
  <r>
    <x v="5"/>
    <x v="0"/>
    <x v="0"/>
    <x v="0"/>
    <n v="11"/>
    <n v="35"/>
    <n v="161"/>
    <n v="4.5999999999999996"/>
    <n v="3.1818181818181817"/>
    <x v="0"/>
    <x v="0"/>
  </r>
  <r>
    <x v="5"/>
    <x v="0"/>
    <x v="0"/>
    <x v="1"/>
    <n v="29"/>
    <n v="166"/>
    <n v="673"/>
    <n v="4.0542168674698793"/>
    <n v="5.7241379310344831"/>
    <x v="0"/>
    <x v="0"/>
  </r>
  <r>
    <x v="5"/>
    <x v="0"/>
    <x v="0"/>
    <x v="4"/>
    <n v="51"/>
    <n v="260"/>
    <n v="1446"/>
    <n v="5.5615384615384613"/>
    <n v="5.0980392156862742"/>
    <x v="0"/>
    <x v="0"/>
  </r>
  <r>
    <x v="5"/>
    <x v="0"/>
    <x v="0"/>
    <x v="6"/>
    <n v="26"/>
    <n v="199"/>
    <n v="869"/>
    <n v="4.3668341708542711"/>
    <n v="7.6538461538461542"/>
    <x v="0"/>
    <x v="0"/>
  </r>
  <r>
    <x v="5"/>
    <x v="0"/>
    <x v="0"/>
    <x v="5"/>
    <n v="1"/>
    <n v="2"/>
    <n v="2"/>
    <n v="1"/>
    <n v="2"/>
    <x v="0"/>
    <x v="0"/>
  </r>
  <r>
    <x v="6"/>
    <x v="0"/>
    <x v="0"/>
    <x v="1"/>
    <n v="22"/>
    <n v="114"/>
    <n v="635"/>
    <n v="5.5701754385964914"/>
    <n v="5.1818181818181817"/>
    <x v="0"/>
    <x v="0"/>
  </r>
  <r>
    <x v="6"/>
    <x v="0"/>
    <x v="0"/>
    <x v="6"/>
    <n v="28"/>
    <n v="304"/>
    <n v="1023"/>
    <n v="3.3651315789473686"/>
    <n v="10.857142857142858"/>
    <x v="0"/>
    <x v="0"/>
  </r>
  <r>
    <x v="6"/>
    <x v="0"/>
    <x v="0"/>
    <x v="5"/>
    <n v="1"/>
    <n v="1"/>
    <n v="1"/>
    <n v="1"/>
    <n v="1"/>
    <x v="0"/>
    <x v="0"/>
  </r>
  <r>
    <x v="7"/>
    <x v="0"/>
    <x v="1"/>
    <x v="0"/>
    <n v="14"/>
    <n v="181"/>
    <n v="676"/>
    <n v="3.7348066298342539"/>
    <n v="12.928571428571429"/>
    <x v="0"/>
    <x v="0"/>
  </r>
  <r>
    <x v="7"/>
    <x v="0"/>
    <x v="1"/>
    <x v="1"/>
    <n v="37"/>
    <n v="170"/>
    <n v="1275"/>
    <n v="7.5"/>
    <n v="4.5945945945945947"/>
    <x v="0"/>
    <x v="0"/>
  </r>
  <r>
    <x v="7"/>
    <x v="0"/>
    <x v="1"/>
    <x v="4"/>
    <n v="18"/>
    <n v="91"/>
    <n v="358"/>
    <n v="3.9340659340659339"/>
    <n v="5.0555555555555554"/>
    <x v="0"/>
    <x v="0"/>
  </r>
  <r>
    <x v="7"/>
    <x v="0"/>
    <x v="1"/>
    <x v="6"/>
    <n v="39"/>
    <n v="186"/>
    <n v="1772"/>
    <n v="9.5268817204301079"/>
    <n v="4.7692307692307692"/>
    <x v="0"/>
    <x v="0"/>
  </r>
  <r>
    <x v="7"/>
    <x v="0"/>
    <x v="1"/>
    <x v="5"/>
    <n v="2"/>
    <n v="3"/>
    <n v="5"/>
    <n v="1.6666666666666667"/>
    <n v="1.5"/>
    <x v="0"/>
    <x v="0"/>
  </r>
  <r>
    <x v="8"/>
    <x v="0"/>
    <x v="1"/>
    <x v="0"/>
    <n v="21"/>
    <n v="127"/>
    <n v="902"/>
    <n v="7.1023622047244093"/>
    <n v="6.0476190476190474"/>
    <x v="0"/>
    <x v="0"/>
  </r>
  <r>
    <x v="8"/>
    <x v="0"/>
    <x v="1"/>
    <x v="1"/>
    <n v="31"/>
    <n v="164"/>
    <n v="2043"/>
    <n v="12.457317073170731"/>
    <n v="5.290322580645161"/>
    <x v="0"/>
    <x v="0"/>
  </r>
  <r>
    <x v="8"/>
    <x v="0"/>
    <x v="1"/>
    <x v="4"/>
    <n v="38"/>
    <n v="130"/>
    <n v="655"/>
    <n v="5.0384615384615383"/>
    <n v="3.4210526315789473"/>
    <x v="0"/>
    <x v="0"/>
  </r>
  <r>
    <x v="8"/>
    <x v="0"/>
    <x v="1"/>
    <x v="3"/>
    <n v="66"/>
    <n v="299"/>
    <n v="2078"/>
    <n v="6.9498327759197327"/>
    <n v="4.5303030303030303"/>
    <x v="0"/>
    <x v="0"/>
  </r>
  <r>
    <x v="8"/>
    <x v="0"/>
    <x v="1"/>
    <x v="5"/>
    <n v="4"/>
    <n v="22"/>
    <n v="290"/>
    <n v="13.181818181818182"/>
    <n v="5.5"/>
    <x v="0"/>
    <x v="0"/>
  </r>
  <r>
    <x v="9"/>
    <x v="0"/>
    <x v="1"/>
    <x v="0"/>
    <n v="37"/>
    <n v="148"/>
    <n v="1558"/>
    <n v="10.527027027027026"/>
    <n v="4"/>
    <x v="0"/>
    <x v="0"/>
  </r>
  <r>
    <x v="9"/>
    <x v="0"/>
    <x v="1"/>
    <x v="1"/>
    <n v="47"/>
    <n v="294"/>
    <n v="1177"/>
    <n v="4.0034013605442178"/>
    <n v="6.2553191489361701"/>
    <x v="0"/>
    <x v="0"/>
  </r>
  <r>
    <x v="9"/>
    <x v="0"/>
    <x v="1"/>
    <x v="4"/>
    <n v="24"/>
    <n v="238"/>
    <n v="880"/>
    <n v="3.6974789915966388"/>
    <n v="9.9166666666666661"/>
    <x v="0"/>
    <x v="0"/>
  </r>
  <r>
    <x v="9"/>
    <x v="0"/>
    <x v="1"/>
    <x v="3"/>
    <n v="4"/>
    <n v="31"/>
    <n v="123"/>
    <n v="3.967741935483871"/>
    <n v="7.75"/>
    <x v="0"/>
    <x v="0"/>
  </r>
  <r>
    <x v="9"/>
    <x v="0"/>
    <x v="1"/>
    <x v="6"/>
    <n v="5"/>
    <n v="19"/>
    <n v="46"/>
    <n v="2.4210526315789473"/>
    <n v="3.8"/>
    <x v="0"/>
    <x v="0"/>
  </r>
  <r>
    <x v="10"/>
    <x v="0"/>
    <x v="1"/>
    <x v="0"/>
    <n v="31"/>
    <n v="125"/>
    <n v="2384"/>
    <n v="19.071999999999999"/>
    <n v="4.032258064516129"/>
    <x v="0"/>
    <x v="0"/>
  </r>
  <r>
    <x v="10"/>
    <x v="0"/>
    <x v="1"/>
    <x v="1"/>
    <n v="17"/>
    <n v="59"/>
    <n v="896"/>
    <n v="15.186440677966102"/>
    <n v="3.4705882352941178"/>
    <x v="0"/>
    <x v="0"/>
  </r>
  <r>
    <x v="10"/>
    <x v="0"/>
    <x v="1"/>
    <x v="4"/>
    <n v="23"/>
    <n v="77"/>
    <n v="1223"/>
    <n v="15.883116883116884"/>
    <n v="3.347826086956522"/>
    <x v="0"/>
    <x v="0"/>
  </r>
  <r>
    <x v="10"/>
    <x v="0"/>
    <x v="1"/>
    <x v="3"/>
    <n v="11"/>
    <n v="92"/>
    <n v="357"/>
    <n v="3.8804347826086958"/>
    <n v="8.3636363636363633"/>
    <x v="0"/>
    <x v="0"/>
  </r>
  <r>
    <x v="10"/>
    <x v="0"/>
    <x v="1"/>
    <x v="6"/>
    <n v="40"/>
    <n v="230"/>
    <n v="3657"/>
    <n v="15.9"/>
    <n v="5.75"/>
    <x v="0"/>
    <x v="0"/>
  </r>
  <r>
    <x v="11"/>
    <x v="0"/>
    <x v="1"/>
    <x v="0"/>
    <n v="1"/>
    <n v="3"/>
    <n v="3"/>
    <n v="1"/>
    <n v="3"/>
    <x v="0"/>
    <x v="0"/>
  </r>
  <r>
    <x v="11"/>
    <x v="0"/>
    <x v="1"/>
    <x v="1"/>
    <n v="17"/>
    <n v="79"/>
    <n v="272"/>
    <n v="3.4430379746835444"/>
    <n v="4.6470588235294121"/>
    <x v="0"/>
    <x v="0"/>
  </r>
  <r>
    <x v="11"/>
    <x v="0"/>
    <x v="1"/>
    <x v="4"/>
    <n v="14"/>
    <n v="91"/>
    <n v="506"/>
    <n v="5.5604395604395602"/>
    <n v="6.5"/>
    <x v="0"/>
    <x v="0"/>
  </r>
  <r>
    <x v="11"/>
    <x v="0"/>
    <x v="1"/>
    <x v="6"/>
    <n v="39"/>
    <n v="257"/>
    <n v="1015"/>
    <n v="3.9494163424124515"/>
    <n v="6.5897435897435894"/>
    <x v="0"/>
    <x v="0"/>
  </r>
  <r>
    <x v="11"/>
    <x v="0"/>
    <x v="1"/>
    <x v="5"/>
    <n v="1"/>
    <n v="1"/>
    <n v="1"/>
    <n v="1"/>
    <n v="1"/>
    <x v="0"/>
    <x v="0"/>
  </r>
  <r>
    <x v="12"/>
    <x v="0"/>
    <x v="1"/>
    <x v="3"/>
    <n v="27"/>
    <n v="179"/>
    <n v="719"/>
    <n v="4.016759776536313"/>
    <n v="6.6296296296296298"/>
    <x v="0"/>
    <x v="0"/>
  </r>
  <r>
    <x v="12"/>
    <x v="0"/>
    <x v="1"/>
    <x v="6"/>
    <n v="9"/>
    <n v="40"/>
    <n v="160"/>
    <n v="4"/>
    <n v="4.4444444444444446"/>
    <x v="0"/>
    <x v="0"/>
  </r>
  <r>
    <x v="12"/>
    <x v="0"/>
    <x v="1"/>
    <x v="5"/>
    <n v="13"/>
    <n v="172"/>
    <n v="596"/>
    <n v="3.4651162790697674"/>
    <n v="13.23076923076923"/>
    <x v="0"/>
    <x v="0"/>
  </r>
  <r>
    <x v="13"/>
    <x v="0"/>
    <x v="2"/>
    <x v="0"/>
    <n v="26"/>
    <n v="124"/>
    <n v="790"/>
    <n v="6.370967741935484"/>
    <n v="4.7692307692307692"/>
    <x v="0"/>
    <x v="0"/>
  </r>
  <r>
    <x v="13"/>
    <x v="0"/>
    <x v="2"/>
    <x v="1"/>
    <n v="9"/>
    <n v="36"/>
    <n v="162"/>
    <n v="4.5"/>
    <n v="4"/>
    <x v="0"/>
    <x v="0"/>
  </r>
  <r>
    <x v="13"/>
    <x v="0"/>
    <x v="2"/>
    <x v="4"/>
    <n v="20"/>
    <n v="114"/>
    <n v="558"/>
    <n v="4.8947368421052628"/>
    <n v="5.7"/>
    <x v="0"/>
    <x v="0"/>
  </r>
  <r>
    <x v="13"/>
    <x v="0"/>
    <x v="2"/>
    <x v="3"/>
    <n v="2"/>
    <n v="7"/>
    <n v="13"/>
    <n v="1.8571428571428572"/>
    <n v="3.5"/>
    <x v="0"/>
    <x v="0"/>
  </r>
  <r>
    <x v="13"/>
    <x v="0"/>
    <x v="2"/>
    <x v="6"/>
    <n v="46"/>
    <n v="285"/>
    <n v="1255"/>
    <n v="4.4035087719298245"/>
    <n v="6.1956521739130439"/>
    <x v="0"/>
    <x v="0"/>
  </r>
  <r>
    <x v="13"/>
    <x v="0"/>
    <x v="2"/>
    <x v="5"/>
    <n v="2"/>
    <n v="5"/>
    <n v="5"/>
    <n v="1"/>
    <n v="2.5"/>
    <x v="0"/>
    <x v="0"/>
  </r>
  <r>
    <x v="14"/>
    <x v="0"/>
    <x v="2"/>
    <x v="0"/>
    <n v="52"/>
    <n v="267"/>
    <n v="1074"/>
    <n v="4.0224719101123592"/>
    <n v="5.134615384615385"/>
    <x v="0"/>
    <x v="0"/>
  </r>
  <r>
    <x v="14"/>
    <x v="0"/>
    <x v="2"/>
    <x v="1"/>
    <n v="1"/>
    <n v="5"/>
    <n v="209"/>
    <n v="41.8"/>
    <n v="5"/>
    <x v="0"/>
    <x v="0"/>
  </r>
  <r>
    <x v="14"/>
    <x v="0"/>
    <x v="2"/>
    <x v="4"/>
    <n v="54"/>
    <n v="264"/>
    <n v="1640"/>
    <n v="6.2121212121212119"/>
    <n v="4.8888888888888893"/>
    <x v="0"/>
    <x v="0"/>
  </r>
  <r>
    <x v="14"/>
    <x v="0"/>
    <x v="2"/>
    <x v="3"/>
    <n v="57"/>
    <n v="252"/>
    <n v="2970"/>
    <n v="11.785714285714286"/>
    <n v="4.4210526315789478"/>
    <x v="0"/>
    <x v="0"/>
  </r>
  <r>
    <x v="15"/>
    <x v="0"/>
    <x v="2"/>
    <x v="0"/>
    <n v="18"/>
    <n v="66"/>
    <n v="2186"/>
    <n v="33.121212121212125"/>
    <n v="3.6666666666666665"/>
    <x v="0"/>
    <x v="0"/>
  </r>
  <r>
    <x v="15"/>
    <x v="0"/>
    <x v="2"/>
    <x v="1"/>
    <n v="32"/>
    <n v="190"/>
    <n v="898"/>
    <n v="4.7263157894736842"/>
    <n v="5.9375"/>
    <x v="0"/>
    <x v="0"/>
  </r>
  <r>
    <x v="15"/>
    <x v="0"/>
    <x v="2"/>
    <x v="4"/>
    <n v="34"/>
    <n v="215"/>
    <n v="1676"/>
    <n v="7.7953488372093025"/>
    <n v="6.3235294117647056"/>
    <x v="0"/>
    <x v="0"/>
  </r>
  <r>
    <x v="15"/>
    <x v="0"/>
    <x v="2"/>
    <x v="3"/>
    <n v="39"/>
    <n v="195"/>
    <n v="718"/>
    <n v="3.6820512820512818"/>
    <n v="5"/>
    <x v="0"/>
    <x v="0"/>
  </r>
  <r>
    <x v="15"/>
    <x v="0"/>
    <x v="2"/>
    <x v="5"/>
    <n v="1"/>
    <n v="4"/>
    <n v="12"/>
    <n v="3"/>
    <n v="4"/>
    <x v="0"/>
    <x v="0"/>
  </r>
  <r>
    <x v="16"/>
    <x v="0"/>
    <x v="2"/>
    <x v="4"/>
    <n v="22"/>
    <n v="157"/>
    <n v="810"/>
    <n v="5.1592356687898091"/>
    <n v="7.1363636363636367"/>
    <x v="0"/>
    <x v="0"/>
  </r>
  <r>
    <x v="16"/>
    <x v="0"/>
    <x v="2"/>
    <x v="6"/>
    <n v="4"/>
    <n v="13"/>
    <n v="80"/>
    <n v="6.1538461538461542"/>
    <n v="3.25"/>
    <x v="0"/>
    <x v="0"/>
  </r>
  <r>
    <x v="16"/>
    <x v="0"/>
    <x v="2"/>
    <x v="1"/>
    <n v="22"/>
    <n v="105"/>
    <n v="3316"/>
    <n v="31.580952380952382"/>
    <n v="4.7727272727272725"/>
    <x v="0"/>
    <x v="0"/>
  </r>
  <r>
    <x v="16"/>
    <x v="0"/>
    <x v="2"/>
    <x v="0"/>
    <n v="24"/>
    <n v="129"/>
    <n v="563"/>
    <n v="4.3643410852713176"/>
    <n v="5.375"/>
    <x v="0"/>
    <x v="0"/>
  </r>
  <r>
    <x v="16"/>
    <x v="0"/>
    <x v="2"/>
    <x v="3"/>
    <n v="18"/>
    <n v="103"/>
    <n v="335"/>
    <n v="3.2524271844660193"/>
    <n v="5.7222222222222223"/>
    <x v="0"/>
    <x v="0"/>
  </r>
  <r>
    <x v="17"/>
    <x v="0"/>
    <x v="2"/>
    <x v="4"/>
    <n v="58"/>
    <n v="295"/>
    <n v="1486"/>
    <n v="5.0372881355932204"/>
    <n v="5.0862068965517242"/>
    <x v="1"/>
    <x v="1"/>
  </r>
  <r>
    <x v="17"/>
    <x v="0"/>
    <x v="2"/>
    <x v="6"/>
    <n v="12"/>
    <n v="51"/>
    <n v="359"/>
    <n v="7.0392156862745097"/>
    <n v="4.25"/>
    <x v="0"/>
    <x v="0"/>
  </r>
  <r>
    <x v="17"/>
    <x v="0"/>
    <x v="2"/>
    <x v="1"/>
    <n v="18"/>
    <n v="79"/>
    <n v="323"/>
    <n v="4.0886075949367084"/>
    <n v="4.3888888888888893"/>
    <x v="0"/>
    <x v="0"/>
  </r>
  <r>
    <x v="17"/>
    <x v="0"/>
    <x v="2"/>
    <x v="0"/>
    <n v="9"/>
    <n v="57"/>
    <n v="311"/>
    <n v="5.4561403508771926"/>
    <n v="6.333333333333333"/>
    <x v="0"/>
    <x v="0"/>
  </r>
  <r>
    <x v="17"/>
    <x v="0"/>
    <x v="2"/>
    <x v="3"/>
    <n v="13"/>
    <n v="83"/>
    <n v="284"/>
    <n v="3.4216867469879517"/>
    <n v="6.384615384615385"/>
    <x v="0"/>
    <x v="0"/>
  </r>
  <r>
    <x v="18"/>
    <x v="0"/>
    <x v="2"/>
    <x v="6"/>
    <n v="22"/>
    <n v="156"/>
    <n v="582"/>
    <n v="3.7307692307692308"/>
    <n v="7.0909090909090908"/>
    <x v="2"/>
    <x v="0"/>
  </r>
  <r>
    <x v="18"/>
    <x v="0"/>
    <x v="2"/>
    <x v="3"/>
    <n v="24"/>
    <n v="157"/>
    <n v="731"/>
    <n v="4.6560509554140124"/>
    <n v="6.541666666666667"/>
    <x v="2"/>
    <x v="0"/>
  </r>
  <r>
    <x v="19"/>
    <x v="0"/>
    <x v="3"/>
    <x v="4"/>
    <n v="23"/>
    <n v="142"/>
    <n v="655"/>
    <n v="4.612676056338028"/>
    <n v="6.1739130434782608"/>
    <x v="2"/>
    <x v="0"/>
  </r>
  <r>
    <x v="19"/>
    <x v="0"/>
    <x v="3"/>
    <x v="0"/>
    <n v="27"/>
    <n v="112"/>
    <n v="864"/>
    <n v="7.7142857142857144"/>
    <n v="4.1481481481481479"/>
    <x v="2"/>
    <x v="0"/>
  </r>
  <r>
    <x v="19"/>
    <x v="0"/>
    <x v="3"/>
    <x v="3"/>
    <n v="63"/>
    <n v="277"/>
    <n v="1482"/>
    <n v="5.3501805054151621"/>
    <n v="4.3968253968253972"/>
    <x v="2"/>
    <x v="0"/>
  </r>
  <r>
    <x v="19"/>
    <x v="0"/>
    <x v="3"/>
    <x v="5"/>
    <n v="1"/>
    <n v="1"/>
    <n v="12"/>
    <n v="12"/>
    <n v="1"/>
    <x v="2"/>
    <x v="0"/>
  </r>
  <r>
    <x v="20"/>
    <x v="0"/>
    <x v="3"/>
    <x v="4"/>
    <n v="38"/>
    <n v="153"/>
    <n v="686"/>
    <n v="4.4836601307189543"/>
    <n v="4.0263157894736841"/>
    <x v="2"/>
    <x v="0"/>
  </r>
  <r>
    <x v="20"/>
    <x v="0"/>
    <x v="3"/>
    <x v="6"/>
    <n v="39"/>
    <n v="209"/>
    <n v="780"/>
    <n v="3.7320574162679425"/>
    <n v="5.3589743589743586"/>
    <x v="2"/>
    <x v="0"/>
  </r>
  <r>
    <x v="20"/>
    <x v="0"/>
    <x v="3"/>
    <x v="0"/>
    <n v="9"/>
    <n v="39"/>
    <n v="148"/>
    <n v="3.7948717948717947"/>
    <n v="4.333333333333333"/>
    <x v="2"/>
    <x v="0"/>
  </r>
  <r>
    <x v="20"/>
    <x v="0"/>
    <x v="3"/>
    <x v="3"/>
    <n v="65"/>
    <n v="293"/>
    <n v="1936"/>
    <n v="6.6075085324232079"/>
    <n v="4.5076923076923077"/>
    <x v="2"/>
    <x v="0"/>
  </r>
  <r>
    <x v="20"/>
    <x v="0"/>
    <x v="3"/>
    <x v="5"/>
    <n v="2"/>
    <n v="8"/>
    <n v="29"/>
    <n v="3.625"/>
    <n v="4"/>
    <x v="2"/>
    <x v="0"/>
  </r>
  <r>
    <x v="21"/>
    <x v="0"/>
    <x v="3"/>
    <x v="4"/>
    <n v="28"/>
    <n v="166"/>
    <n v="1719"/>
    <n v="10.355421686746988"/>
    <n v="5.9285714285714288"/>
    <x v="2"/>
    <x v="0"/>
  </r>
  <r>
    <x v="21"/>
    <x v="0"/>
    <x v="3"/>
    <x v="6"/>
    <n v="15"/>
    <n v="96"/>
    <n v="393"/>
    <n v="4.09375"/>
    <n v="6.4"/>
    <x v="2"/>
    <x v="0"/>
  </r>
  <r>
    <x v="21"/>
    <x v="0"/>
    <x v="3"/>
    <x v="1"/>
    <n v="2"/>
    <n v="36"/>
    <n v="205"/>
    <n v="5.6944444444444446"/>
    <n v="18"/>
    <x v="2"/>
    <x v="0"/>
  </r>
  <r>
    <x v="21"/>
    <x v="0"/>
    <x v="3"/>
    <x v="0"/>
    <n v="15"/>
    <n v="58"/>
    <n v="1493"/>
    <n v="25.741379310344829"/>
    <n v="3.8666666666666667"/>
    <x v="2"/>
    <x v="0"/>
  </r>
  <r>
    <x v="21"/>
    <x v="0"/>
    <x v="3"/>
    <x v="3"/>
    <n v="44"/>
    <n v="229"/>
    <n v="1335"/>
    <n v="5.8296943231441052"/>
    <n v="5.2045454545454541"/>
    <x v="2"/>
    <x v="0"/>
  </r>
  <r>
    <x v="21"/>
    <x v="0"/>
    <x v="3"/>
    <x v="5"/>
    <n v="1"/>
    <n v="4"/>
    <n v="13"/>
    <n v="3.25"/>
    <n v="4"/>
    <x v="2"/>
    <x v="0"/>
  </r>
  <r>
    <x v="22"/>
    <x v="0"/>
    <x v="3"/>
    <x v="4"/>
    <n v="50"/>
    <n v="223"/>
    <n v="2106"/>
    <n v="9.4439461883408065"/>
    <n v="4.46"/>
    <x v="1"/>
    <x v="2"/>
  </r>
  <r>
    <x v="22"/>
    <x v="0"/>
    <x v="3"/>
    <x v="6"/>
    <n v="33"/>
    <n v="215"/>
    <n v="936"/>
    <n v="4.3534883720930235"/>
    <n v="6.5151515151515156"/>
    <x v="2"/>
    <x v="0"/>
  </r>
  <r>
    <x v="22"/>
    <x v="0"/>
    <x v="3"/>
    <x v="1"/>
    <n v="5"/>
    <n v="18"/>
    <n v="97"/>
    <n v="5.3888888888888893"/>
    <n v="3.6"/>
    <x v="2"/>
    <x v="0"/>
  </r>
  <r>
    <x v="22"/>
    <x v="0"/>
    <x v="3"/>
    <x v="0"/>
    <n v="41"/>
    <n v="204"/>
    <n v="2182"/>
    <n v="10.696078431372548"/>
    <n v="4.975609756097561"/>
    <x v="2"/>
    <x v="0"/>
  </r>
  <r>
    <x v="23"/>
    <x v="0"/>
    <x v="3"/>
    <x v="4"/>
    <n v="18"/>
    <n v="66"/>
    <n v="322"/>
    <n v="4.8787878787878789"/>
    <n v="3.6666666666666665"/>
    <x v="2"/>
    <x v="0"/>
  </r>
  <r>
    <x v="23"/>
    <x v="0"/>
    <x v="3"/>
    <x v="6"/>
    <n v="30"/>
    <n v="162"/>
    <n v="902"/>
    <n v="5.5679012345679011"/>
    <n v="5.4"/>
    <x v="1"/>
    <x v="3"/>
  </r>
  <r>
    <x v="23"/>
    <x v="0"/>
    <x v="3"/>
    <x v="1"/>
    <n v="16"/>
    <n v="69"/>
    <n v="2893"/>
    <n v="41.927536231884055"/>
    <n v="4.3125"/>
    <x v="2"/>
    <x v="0"/>
  </r>
  <r>
    <x v="23"/>
    <x v="0"/>
    <x v="3"/>
    <x v="0"/>
    <n v="5"/>
    <n v="12"/>
    <n v="658"/>
    <n v="54.833333333333336"/>
    <n v="2.4"/>
    <x v="2"/>
    <x v="0"/>
  </r>
  <r>
    <x v="23"/>
    <x v="0"/>
    <x v="3"/>
    <x v="3"/>
    <n v="65"/>
    <n v="300"/>
    <n v="1597"/>
    <n v="5.3233333333333333"/>
    <n v="4.615384615384615"/>
    <x v="2"/>
    <x v="0"/>
  </r>
  <r>
    <x v="23"/>
    <x v="0"/>
    <x v="3"/>
    <x v="5"/>
    <n v="1"/>
    <n v="3"/>
    <n v="6"/>
    <n v="2"/>
    <n v="3"/>
    <x v="2"/>
    <x v="0"/>
  </r>
  <r>
    <x v="24"/>
    <x v="0"/>
    <x v="3"/>
    <x v="6"/>
    <n v="27"/>
    <n v="145"/>
    <n v="646"/>
    <n v="4.455172413793103"/>
    <n v="5.3703703703703702"/>
    <x v="2"/>
    <x v="0"/>
  </r>
  <r>
    <x v="24"/>
    <x v="0"/>
    <x v="3"/>
    <x v="3"/>
    <n v="13"/>
    <n v="183"/>
    <n v="1495"/>
    <n v="8.169398907103826"/>
    <n v="14.076923076923077"/>
    <x v="2"/>
    <x v="0"/>
  </r>
  <r>
    <x v="25"/>
    <x v="1"/>
    <x v="0"/>
    <x v="4"/>
    <n v="29"/>
    <n v="83"/>
    <n v="538"/>
    <n v="6.4819277108433733"/>
    <n v="2.8620689655172415"/>
    <x v="2"/>
    <x v="0"/>
  </r>
  <r>
    <x v="25"/>
    <x v="1"/>
    <x v="0"/>
    <x v="6"/>
    <n v="9"/>
    <n v="41"/>
    <n v="217"/>
    <n v="5.2926829268292686"/>
    <n v="4.5555555555555554"/>
    <x v="2"/>
    <x v="0"/>
  </r>
  <r>
    <x v="25"/>
    <x v="1"/>
    <x v="0"/>
    <x v="1"/>
    <n v="6"/>
    <n v="25"/>
    <n v="213"/>
    <n v="8.52"/>
    <n v="4.166666666666667"/>
    <x v="2"/>
    <x v="0"/>
  </r>
  <r>
    <x v="25"/>
    <x v="1"/>
    <x v="0"/>
    <x v="0"/>
    <n v="6"/>
    <n v="55"/>
    <n v="168"/>
    <n v="3.0545454545454547"/>
    <n v="9.1666666666666661"/>
    <x v="2"/>
    <x v="0"/>
  </r>
  <r>
    <x v="25"/>
    <x v="1"/>
    <x v="0"/>
    <x v="3"/>
    <n v="56"/>
    <n v="273"/>
    <n v="1503"/>
    <n v="5.5054945054945055"/>
    <n v="4.875"/>
    <x v="2"/>
    <x v="0"/>
  </r>
  <r>
    <x v="25"/>
    <x v="1"/>
    <x v="0"/>
    <x v="5"/>
    <n v="1"/>
    <n v="1"/>
    <n v="12"/>
    <n v="12"/>
    <n v="1"/>
    <x v="2"/>
    <x v="0"/>
  </r>
  <r>
    <x v="26"/>
    <x v="1"/>
    <x v="0"/>
    <x v="4"/>
    <n v="59"/>
    <n v="379"/>
    <n v="1635"/>
    <n v="4.313984168865435"/>
    <n v="6.4237288135593218"/>
    <x v="2"/>
    <x v="0"/>
  </r>
  <r>
    <x v="26"/>
    <x v="1"/>
    <x v="0"/>
    <x v="6"/>
    <n v="24"/>
    <n v="140"/>
    <n v="751"/>
    <n v="5.3642857142857139"/>
    <n v="5.833333333333333"/>
    <x v="2"/>
    <x v="0"/>
  </r>
  <r>
    <x v="26"/>
    <x v="1"/>
    <x v="0"/>
    <x v="0"/>
    <n v="19"/>
    <n v="138"/>
    <n v="625"/>
    <n v="4.5289855072463769"/>
    <n v="7.2631578947368425"/>
    <x v="2"/>
    <x v="0"/>
  </r>
  <r>
    <x v="26"/>
    <x v="1"/>
    <x v="0"/>
    <x v="3"/>
    <n v="69"/>
    <n v="358"/>
    <n v="1658"/>
    <n v="4.6312849162011176"/>
    <n v="5.1884057971014492"/>
    <x v="2"/>
    <x v="0"/>
  </r>
  <r>
    <x v="27"/>
    <x v="1"/>
    <x v="0"/>
    <x v="4"/>
    <n v="59"/>
    <n v="295"/>
    <n v="1867"/>
    <n v="6.3288135593220343"/>
    <n v="5"/>
    <x v="2"/>
    <x v="0"/>
  </r>
  <r>
    <x v="27"/>
    <x v="1"/>
    <x v="0"/>
    <x v="6"/>
    <n v="10"/>
    <n v="38"/>
    <n v="186"/>
    <n v="4.8947368421052628"/>
    <n v="3.8"/>
    <x v="2"/>
    <x v="0"/>
  </r>
  <r>
    <x v="27"/>
    <x v="1"/>
    <x v="0"/>
    <x v="1"/>
    <n v="1"/>
    <n v="2"/>
    <n v="60"/>
    <n v="30"/>
    <n v="2"/>
    <x v="2"/>
    <x v="0"/>
  </r>
  <r>
    <x v="27"/>
    <x v="1"/>
    <x v="0"/>
    <x v="0"/>
    <n v="5"/>
    <n v="19"/>
    <n v="162"/>
    <n v="8.526315789473685"/>
    <n v="3.8"/>
    <x v="2"/>
    <x v="0"/>
  </r>
  <r>
    <x v="27"/>
    <x v="1"/>
    <x v="0"/>
    <x v="3"/>
    <n v="42"/>
    <n v="290"/>
    <n v="1374"/>
    <n v="4.7379310344827585"/>
    <n v="6.9047619047619051"/>
    <x v="2"/>
    <x v="0"/>
  </r>
  <r>
    <x v="28"/>
    <x v="1"/>
    <x v="0"/>
    <x v="4"/>
    <n v="54"/>
    <n v="276"/>
    <n v="1606"/>
    <n v="5.8188405797101446"/>
    <n v="5.1111111111111107"/>
    <x v="2"/>
    <x v="0"/>
  </r>
  <r>
    <x v="28"/>
    <x v="1"/>
    <x v="0"/>
    <x v="6"/>
    <n v="22"/>
    <n v="73"/>
    <n v="436"/>
    <n v="5.9726027397260273"/>
    <n v="3.3181818181818183"/>
    <x v="2"/>
    <x v="0"/>
  </r>
  <r>
    <x v="28"/>
    <x v="1"/>
    <x v="0"/>
    <x v="0"/>
    <n v="5"/>
    <n v="10"/>
    <n v="27"/>
    <n v="2.7"/>
    <n v="2"/>
    <x v="2"/>
    <x v="0"/>
  </r>
  <r>
    <x v="28"/>
    <x v="1"/>
    <x v="0"/>
    <x v="3"/>
    <n v="56"/>
    <n v="247"/>
    <n v="2608"/>
    <n v="10.558704453441296"/>
    <n v="4.4107142857142856"/>
    <x v="2"/>
    <x v="0"/>
  </r>
  <r>
    <x v="28"/>
    <x v="1"/>
    <x v="0"/>
    <x v="5"/>
    <n v="5"/>
    <n v="6"/>
    <n v="26"/>
    <n v="4.333333333333333"/>
    <n v="1.2"/>
    <x v="2"/>
    <x v="0"/>
  </r>
  <r>
    <x v="29"/>
    <x v="1"/>
    <x v="0"/>
    <x v="4"/>
    <n v="51"/>
    <n v="286"/>
    <n v="2008"/>
    <n v="7.0209790209790208"/>
    <n v="5.6078431372549016"/>
    <x v="2"/>
    <x v="0"/>
  </r>
  <r>
    <x v="29"/>
    <x v="1"/>
    <x v="0"/>
    <x v="6"/>
    <n v="12"/>
    <n v="61"/>
    <n v="234"/>
    <n v="3.8360655737704916"/>
    <n v="5.083333333333333"/>
    <x v="2"/>
    <x v="0"/>
  </r>
  <r>
    <x v="29"/>
    <x v="1"/>
    <x v="0"/>
    <x v="0"/>
    <n v="2"/>
    <n v="6"/>
    <n v="17"/>
    <n v="2.8333333333333335"/>
    <n v="3"/>
    <x v="2"/>
    <x v="0"/>
  </r>
  <r>
    <x v="29"/>
    <x v="1"/>
    <x v="0"/>
    <x v="3"/>
    <n v="58"/>
    <n v="253"/>
    <n v="1775"/>
    <n v="7.0158102766798418"/>
    <n v="4.3620689655172411"/>
    <x v="2"/>
    <x v="0"/>
  </r>
  <r>
    <x v="30"/>
    <x v="1"/>
    <x v="0"/>
    <x v="4"/>
    <n v="2"/>
    <n v="11"/>
    <n v="128"/>
    <n v="11.636363636363637"/>
    <n v="5.5"/>
    <x v="2"/>
    <x v="0"/>
  </r>
  <r>
    <x v="30"/>
    <x v="1"/>
    <x v="0"/>
    <x v="6"/>
    <n v="17"/>
    <n v="86"/>
    <n v="722"/>
    <n v="8.395348837209303"/>
    <n v="5.0588235294117645"/>
    <x v="2"/>
    <x v="0"/>
  </r>
  <r>
    <x v="30"/>
    <x v="1"/>
    <x v="0"/>
    <x v="0"/>
    <n v="1"/>
    <n v="3"/>
    <n v="3"/>
    <n v="1"/>
    <n v="3"/>
    <x v="2"/>
    <x v="0"/>
  </r>
  <r>
    <x v="30"/>
    <x v="1"/>
    <x v="0"/>
    <x v="3"/>
    <n v="23"/>
    <n v="218"/>
    <n v="892"/>
    <n v="4.0917431192660549"/>
    <n v="9.4782608695652169"/>
    <x v="2"/>
    <x v="0"/>
  </r>
  <r>
    <x v="30"/>
    <x v="1"/>
    <x v="0"/>
    <x v="5"/>
    <n v="4"/>
    <n v="24"/>
    <n v="59"/>
    <n v="2.4583333333333335"/>
    <n v="6"/>
    <x v="2"/>
    <x v="0"/>
  </r>
  <r>
    <x v="31"/>
    <x v="1"/>
    <x v="1"/>
    <x v="4"/>
    <n v="43"/>
    <n v="249"/>
    <n v="1431"/>
    <n v="5.7469879518072293"/>
    <n v="5.7906976744186043"/>
    <x v="2"/>
    <x v="0"/>
  </r>
  <r>
    <x v="31"/>
    <x v="1"/>
    <x v="1"/>
    <x v="6"/>
    <n v="16"/>
    <n v="77"/>
    <n v="554"/>
    <n v="7.1948051948051948"/>
    <n v="4.8125"/>
    <x v="2"/>
    <x v="0"/>
  </r>
  <r>
    <x v="31"/>
    <x v="1"/>
    <x v="1"/>
    <x v="0"/>
    <n v="10"/>
    <n v="73"/>
    <n v="668"/>
    <n v="9.1506849315068486"/>
    <n v="7.3"/>
    <x v="2"/>
    <x v="0"/>
  </r>
  <r>
    <x v="31"/>
    <x v="1"/>
    <x v="1"/>
    <x v="3"/>
    <n v="66"/>
    <n v="408"/>
    <n v="1999"/>
    <n v="4.8995098039215685"/>
    <n v="6.1818181818181817"/>
    <x v="2"/>
    <x v="0"/>
  </r>
  <r>
    <x v="31"/>
    <x v="1"/>
    <x v="1"/>
    <x v="5"/>
    <n v="1"/>
    <n v="1"/>
    <n v="1"/>
    <n v="1"/>
    <n v="1"/>
    <x v="2"/>
    <x v="0"/>
  </r>
  <r>
    <x v="32"/>
    <x v="1"/>
    <x v="1"/>
    <x v="4"/>
    <n v="47"/>
    <n v="230"/>
    <n v="1221"/>
    <n v="5.3086956521739133"/>
    <n v="4.8936170212765955"/>
    <x v="2"/>
    <x v="0"/>
  </r>
  <r>
    <x v="32"/>
    <x v="1"/>
    <x v="1"/>
    <x v="6"/>
    <n v="27"/>
    <n v="111"/>
    <n v="425"/>
    <n v="3.8288288288288288"/>
    <n v="4.1111111111111107"/>
    <x v="2"/>
    <x v="0"/>
  </r>
  <r>
    <x v="32"/>
    <x v="1"/>
    <x v="1"/>
    <x v="3"/>
    <n v="59"/>
    <n v="341"/>
    <n v="1872"/>
    <n v="5.4897360703812312"/>
    <n v="5.7796610169491522"/>
    <x v="2"/>
    <x v="0"/>
  </r>
  <r>
    <x v="32"/>
    <x v="1"/>
    <x v="1"/>
    <x v="5"/>
    <n v="3"/>
    <n v="7"/>
    <n v="22"/>
    <n v="3.1428571428571428"/>
    <n v="2.3333333333333335"/>
    <x v="2"/>
    <x v="0"/>
  </r>
  <r>
    <x v="33"/>
    <x v="1"/>
    <x v="1"/>
    <x v="4"/>
    <n v="40"/>
    <n v="174"/>
    <n v="1157"/>
    <n v="6.6494252873563218"/>
    <n v="4.3499999999999996"/>
    <x v="2"/>
    <x v="0"/>
  </r>
  <r>
    <x v="33"/>
    <x v="1"/>
    <x v="1"/>
    <x v="6"/>
    <n v="24"/>
    <n v="94"/>
    <n v="357"/>
    <n v="3.7978723404255321"/>
    <n v="3.9166666666666665"/>
    <x v="2"/>
    <x v="0"/>
  </r>
  <r>
    <x v="33"/>
    <x v="1"/>
    <x v="1"/>
    <x v="0"/>
    <n v="2"/>
    <n v="3"/>
    <n v="3"/>
    <n v="1"/>
    <n v="1.5"/>
    <x v="2"/>
    <x v="0"/>
  </r>
  <r>
    <x v="33"/>
    <x v="1"/>
    <x v="1"/>
    <x v="3"/>
    <n v="67"/>
    <n v="371"/>
    <n v="1525"/>
    <n v="4.1105121293800542"/>
    <n v="5.5373134328358207"/>
    <x v="2"/>
    <x v="0"/>
  </r>
  <r>
    <x v="33"/>
    <x v="1"/>
    <x v="1"/>
    <x v="5"/>
    <n v="2"/>
    <n v="6"/>
    <n v="20"/>
    <n v="3.3333333333333335"/>
    <n v="3"/>
    <x v="2"/>
    <x v="0"/>
  </r>
  <r>
    <x v="34"/>
    <x v="1"/>
    <x v="1"/>
    <x v="4"/>
    <n v="31"/>
    <n v="146"/>
    <n v="1594"/>
    <n v="10.917808219178083"/>
    <n v="4.709677419354839"/>
    <x v="2"/>
    <x v="0"/>
  </r>
  <r>
    <x v="34"/>
    <x v="1"/>
    <x v="1"/>
    <x v="6"/>
    <n v="19"/>
    <n v="148"/>
    <n v="1053"/>
    <n v="7.1148648648648649"/>
    <n v="7.7894736842105265"/>
    <x v="2"/>
    <x v="0"/>
  </r>
  <r>
    <x v="34"/>
    <x v="1"/>
    <x v="1"/>
    <x v="0"/>
    <n v="5"/>
    <n v="10"/>
    <n v="66"/>
    <n v="6.6"/>
    <n v="2"/>
    <x v="2"/>
    <x v="0"/>
  </r>
  <r>
    <x v="34"/>
    <x v="1"/>
    <x v="1"/>
    <x v="3"/>
    <n v="66"/>
    <n v="337"/>
    <n v="1888"/>
    <n v="5.6023738872403559"/>
    <n v="5.1060606060606064"/>
    <x v="2"/>
    <x v="0"/>
  </r>
  <r>
    <x v="34"/>
    <x v="1"/>
    <x v="1"/>
    <x v="5"/>
    <n v="6"/>
    <n v="34"/>
    <n v="131"/>
    <n v="3.8529411764705883"/>
    <n v="5.666666666666667"/>
    <x v="2"/>
    <x v="0"/>
  </r>
  <r>
    <x v="35"/>
    <x v="1"/>
    <x v="1"/>
    <x v="4"/>
    <n v="36"/>
    <n v="233"/>
    <n v="2217"/>
    <n v="9.5150214592274676"/>
    <n v="6.4722222222222223"/>
    <x v="2"/>
    <x v="0"/>
  </r>
  <r>
    <x v="35"/>
    <x v="1"/>
    <x v="1"/>
    <x v="6"/>
    <n v="16"/>
    <n v="118"/>
    <n v="925"/>
    <n v="7.8389830508474576"/>
    <n v="7.375"/>
    <x v="2"/>
    <x v="0"/>
  </r>
  <r>
    <x v="35"/>
    <x v="1"/>
    <x v="1"/>
    <x v="0"/>
    <n v="5"/>
    <n v="17"/>
    <n v="42"/>
    <n v="2.4705882352941178"/>
    <n v="3.4"/>
    <x v="2"/>
    <x v="0"/>
  </r>
  <r>
    <x v="35"/>
    <x v="1"/>
    <x v="1"/>
    <x v="3"/>
    <n v="61"/>
    <n v="376"/>
    <n v="2108"/>
    <n v="5.6063829787234045"/>
    <n v="6.1639344262295079"/>
    <x v="2"/>
    <x v="0"/>
  </r>
  <r>
    <x v="35"/>
    <x v="1"/>
    <x v="1"/>
    <x v="5"/>
    <n v="1"/>
    <n v="1"/>
    <n v="3"/>
    <n v="3"/>
    <n v="1"/>
    <x v="2"/>
    <x v="0"/>
  </r>
  <r>
    <x v="36"/>
    <x v="1"/>
    <x v="1"/>
    <x v="4"/>
    <n v="1"/>
    <n v="6"/>
    <n v="12"/>
    <n v="2"/>
    <n v="6"/>
    <x v="2"/>
    <x v="0"/>
  </r>
  <r>
    <x v="36"/>
    <x v="1"/>
    <x v="1"/>
    <x v="3"/>
    <n v="30"/>
    <n v="276"/>
    <n v="1111"/>
    <n v="4.02536231884058"/>
    <n v="9.1999999999999993"/>
    <x v="2"/>
    <x v="0"/>
  </r>
  <r>
    <x v="36"/>
    <x v="1"/>
    <x v="1"/>
    <x v="5"/>
    <n v="10"/>
    <n v="68"/>
    <n v="685"/>
    <n v="10.073529411764707"/>
    <n v="6.8"/>
    <x v="2"/>
    <x v="0"/>
  </r>
  <r>
    <x v="36"/>
    <x v="1"/>
    <x v="1"/>
    <x v="7"/>
    <n v="1"/>
    <n v="3"/>
    <n v="3"/>
    <n v="1"/>
    <n v="3"/>
    <x v="2"/>
    <x v="0"/>
  </r>
  <r>
    <x v="37"/>
    <x v="1"/>
    <x v="2"/>
    <x v="4"/>
    <n v="16"/>
    <n v="164"/>
    <n v="736"/>
    <n v="4.4878048780487809"/>
    <n v="10.25"/>
    <x v="2"/>
    <x v="0"/>
  </r>
  <r>
    <x v="37"/>
    <x v="1"/>
    <x v="2"/>
    <x v="6"/>
    <n v="26"/>
    <n v="180"/>
    <n v="794"/>
    <n v="4.4111111111111114"/>
    <n v="6.9230769230769234"/>
    <x v="2"/>
    <x v="0"/>
  </r>
  <r>
    <x v="37"/>
    <x v="1"/>
    <x v="2"/>
    <x v="0"/>
    <n v="2"/>
    <n v="6"/>
    <n v="49"/>
    <n v="8.1666666666666661"/>
    <n v="3"/>
    <x v="2"/>
    <x v="0"/>
  </r>
  <r>
    <x v="37"/>
    <x v="1"/>
    <x v="2"/>
    <x v="3"/>
    <n v="41"/>
    <n v="253"/>
    <n v="1374"/>
    <n v="5.4308300395256914"/>
    <n v="6.1707317073170733"/>
    <x v="2"/>
    <x v="0"/>
  </r>
  <r>
    <x v="38"/>
    <x v="1"/>
    <x v="2"/>
    <x v="4"/>
    <n v="5"/>
    <n v="39"/>
    <n v="93"/>
    <n v="2.3846153846153846"/>
    <n v="7.8"/>
    <x v="2"/>
    <x v="0"/>
  </r>
  <r>
    <x v="38"/>
    <x v="1"/>
    <x v="2"/>
    <x v="6"/>
    <n v="3"/>
    <n v="41"/>
    <n v="178"/>
    <n v="4.3414634146341466"/>
    <n v="13.666666666666666"/>
    <x v="2"/>
    <x v="0"/>
  </r>
  <r>
    <x v="38"/>
    <x v="1"/>
    <x v="2"/>
    <x v="3"/>
    <n v="22"/>
    <n v="178"/>
    <n v="948"/>
    <n v="5.3258426966292136"/>
    <n v="8.0909090909090917"/>
    <x v="2"/>
    <x v="0"/>
  </r>
  <r>
    <x v="38"/>
    <x v="1"/>
    <x v="2"/>
    <x v="8"/>
    <n v="3"/>
    <n v="26"/>
    <n v="140"/>
    <n v="5.384615384615385"/>
    <n v="8.6666666666666661"/>
    <x v="2"/>
    <x v="0"/>
  </r>
  <r>
    <x v="39"/>
    <x v="1"/>
    <x v="2"/>
    <x v="4"/>
    <n v="28"/>
    <n v="155"/>
    <n v="669"/>
    <n v="4.3161290322580648"/>
    <n v="5.5357142857142856"/>
    <x v="2"/>
    <x v="0"/>
  </r>
  <r>
    <x v="39"/>
    <x v="1"/>
    <x v="2"/>
    <x v="6"/>
    <n v="66"/>
    <n v="315"/>
    <n v="2335"/>
    <n v="7.412698412698413"/>
    <n v="4.7727272727272725"/>
    <x v="2"/>
    <x v="0"/>
  </r>
  <r>
    <x v="39"/>
    <x v="1"/>
    <x v="2"/>
    <x v="0"/>
    <n v="16"/>
    <n v="135"/>
    <n v="1056"/>
    <n v="7.822222222222222"/>
    <n v="8.4375"/>
    <x v="2"/>
    <x v="0"/>
  </r>
  <r>
    <x v="39"/>
    <x v="1"/>
    <x v="2"/>
    <x v="5"/>
    <n v="3"/>
    <n v="8"/>
    <n v="49"/>
    <n v="6.125"/>
    <n v="2.6666666666666665"/>
    <x v="2"/>
    <x v="0"/>
  </r>
  <r>
    <x v="39"/>
    <x v="1"/>
    <x v="2"/>
    <x v="7"/>
    <n v="2"/>
    <n v="19"/>
    <n v="109"/>
    <n v="5.7368421052631575"/>
    <n v="9.5"/>
    <x v="2"/>
    <x v="0"/>
  </r>
  <r>
    <x v="40"/>
    <x v="1"/>
    <x v="2"/>
    <x v="0"/>
    <n v="54"/>
    <n v="223"/>
    <n v="1393"/>
    <n v="6.246636771300448"/>
    <n v="4.1296296296296298"/>
    <x v="2"/>
    <x v="0"/>
  </r>
  <r>
    <x v="40"/>
    <x v="1"/>
    <x v="2"/>
    <x v="3"/>
    <n v="65"/>
    <n v="330"/>
    <n v="2100"/>
    <n v="6.3636363636363633"/>
    <n v="5.0769230769230766"/>
    <x v="2"/>
    <x v="0"/>
  </r>
  <r>
    <x v="40"/>
    <x v="1"/>
    <x v="2"/>
    <x v="5"/>
    <n v="9"/>
    <n v="60"/>
    <n v="268"/>
    <n v="4.4666666666666668"/>
    <n v="6.666666666666667"/>
    <x v="2"/>
    <x v="0"/>
  </r>
  <r>
    <x v="40"/>
    <x v="1"/>
    <x v="2"/>
    <x v="7"/>
    <n v="8"/>
    <n v="33"/>
    <n v="735"/>
    <n v="22.272727272727273"/>
    <n v="4.125"/>
    <x v="2"/>
    <x v="0"/>
  </r>
  <r>
    <x v="40"/>
    <x v="1"/>
    <x v="2"/>
    <x v="8"/>
    <n v="4"/>
    <n v="6"/>
    <n v="19"/>
    <n v="3.1666666666666665"/>
    <n v="1.5"/>
    <x v="2"/>
    <x v="0"/>
  </r>
  <r>
    <x v="41"/>
    <x v="1"/>
    <x v="2"/>
    <x v="4"/>
    <n v="61"/>
    <n v="444"/>
    <n v="2788"/>
    <n v="6.2792792792792795"/>
    <n v="7.278688524590164"/>
    <x v="2"/>
    <x v="0"/>
  </r>
  <r>
    <x v="41"/>
    <x v="1"/>
    <x v="2"/>
    <x v="6"/>
    <n v="14"/>
    <n v="109"/>
    <n v="692"/>
    <n v="6.3486238532110093"/>
    <n v="7.7857142857142856"/>
    <x v="2"/>
    <x v="0"/>
  </r>
  <r>
    <x v="41"/>
    <x v="1"/>
    <x v="2"/>
    <x v="9"/>
    <n v="10"/>
    <n v="48"/>
    <n v="283"/>
    <n v="5.895833333333333"/>
    <n v="4.8"/>
    <x v="2"/>
    <x v="0"/>
  </r>
  <r>
    <x v="41"/>
    <x v="1"/>
    <x v="2"/>
    <x v="0"/>
    <n v="17"/>
    <n v="86"/>
    <n v="547"/>
    <n v="6.3604651162790695"/>
    <n v="5.0588235294117645"/>
    <x v="2"/>
    <x v="0"/>
  </r>
  <r>
    <x v="41"/>
    <x v="1"/>
    <x v="2"/>
    <x v="5"/>
    <n v="15"/>
    <n v="48"/>
    <n v="474"/>
    <n v="9.875"/>
    <n v="3.2"/>
    <x v="2"/>
    <x v="0"/>
  </r>
  <r>
    <x v="41"/>
    <x v="1"/>
    <x v="2"/>
    <x v="7"/>
    <n v="10"/>
    <n v="90"/>
    <n v="526"/>
    <n v="5.8444444444444441"/>
    <n v="9"/>
    <x v="2"/>
    <x v="0"/>
  </r>
  <r>
    <x v="41"/>
    <x v="1"/>
    <x v="2"/>
    <x v="8"/>
    <n v="1"/>
    <n v="1"/>
    <n v="1"/>
    <n v="1"/>
    <n v="1"/>
    <x v="2"/>
    <x v="0"/>
  </r>
  <r>
    <x v="42"/>
    <x v="1"/>
    <x v="2"/>
    <x v="6"/>
    <n v="25"/>
    <n v="231"/>
    <n v="761"/>
    <n v="3.2943722943722942"/>
    <n v="9.24"/>
    <x v="2"/>
    <x v="0"/>
  </r>
  <r>
    <x v="42"/>
    <x v="1"/>
    <x v="2"/>
    <x v="3"/>
    <n v="1"/>
    <n v="8"/>
    <n v="62"/>
    <n v="7.75"/>
    <n v="8"/>
    <x v="2"/>
    <x v="0"/>
  </r>
  <r>
    <x v="42"/>
    <x v="1"/>
    <x v="2"/>
    <x v="8"/>
    <n v="8"/>
    <n v="63"/>
    <n v="265"/>
    <n v="4.2063492063492065"/>
    <n v="7.875"/>
    <x v="2"/>
    <x v="0"/>
  </r>
  <r>
    <x v="41"/>
    <x v="1"/>
    <x v="2"/>
    <x v="3"/>
    <n v="50"/>
    <n v="324"/>
    <n v="2089"/>
    <n v="6.4475308641975309"/>
    <n v="6.48"/>
    <x v="2"/>
    <x v="0"/>
  </r>
  <r>
    <x v="43"/>
    <x v="1"/>
    <x v="3"/>
    <x v="4"/>
    <n v="47"/>
    <n v="215"/>
    <n v="1331"/>
    <n v="6.1906976744186046"/>
    <n v="4.5744680851063828"/>
    <x v="2"/>
    <x v="0"/>
  </r>
  <r>
    <x v="43"/>
    <x v="1"/>
    <x v="3"/>
    <x v="0"/>
    <n v="1"/>
    <n v="1"/>
    <n v="768"/>
    <n v="768"/>
    <n v="1"/>
    <x v="2"/>
    <x v="0"/>
  </r>
  <r>
    <x v="43"/>
    <x v="1"/>
    <x v="3"/>
    <x v="3"/>
    <n v="65"/>
    <n v="330"/>
    <n v="2660"/>
    <n v="8.0606060606060606"/>
    <n v="5.0769230769230766"/>
    <x v="2"/>
    <x v="0"/>
  </r>
  <r>
    <x v="43"/>
    <x v="1"/>
    <x v="3"/>
    <x v="5"/>
    <n v="13"/>
    <n v="73"/>
    <n v="3278"/>
    <n v="44.904109589041099"/>
    <n v="5.615384615384615"/>
    <x v="2"/>
    <x v="0"/>
  </r>
  <r>
    <x v="43"/>
    <x v="1"/>
    <x v="3"/>
    <x v="7"/>
    <n v="8"/>
    <n v="22"/>
    <n v="242"/>
    <n v="11"/>
    <n v="2.75"/>
    <x v="2"/>
    <x v="0"/>
  </r>
  <r>
    <x v="44"/>
    <x v="1"/>
    <x v="3"/>
    <x v="4"/>
    <n v="71"/>
    <n v="329"/>
    <n v="1737"/>
    <n v="5.2796352583586623"/>
    <n v="4.6338028169014081"/>
    <x v="2"/>
    <x v="0"/>
  </r>
  <r>
    <x v="44"/>
    <x v="1"/>
    <x v="3"/>
    <x v="0"/>
    <n v="6"/>
    <n v="24"/>
    <n v="173"/>
    <n v="7.208333333333333"/>
    <n v="4"/>
    <x v="2"/>
    <x v="0"/>
  </r>
  <r>
    <x v="44"/>
    <x v="1"/>
    <x v="3"/>
    <x v="3"/>
    <n v="55"/>
    <n v="381"/>
    <n v="2500"/>
    <n v="6.5616797900262469"/>
    <n v="6.9272727272727277"/>
    <x v="2"/>
    <x v="0"/>
  </r>
  <r>
    <x v="44"/>
    <x v="1"/>
    <x v="3"/>
    <x v="5"/>
    <n v="3"/>
    <n v="23"/>
    <n v="202"/>
    <n v="8.7826086956521738"/>
    <n v="7.666666666666667"/>
    <x v="2"/>
    <x v="0"/>
  </r>
  <r>
    <x v="44"/>
    <x v="1"/>
    <x v="3"/>
    <x v="8"/>
    <n v="2"/>
    <n v="10"/>
    <n v="19"/>
    <n v="1.9"/>
    <n v="5"/>
    <x v="2"/>
    <x v="0"/>
  </r>
  <r>
    <x v="45"/>
    <x v="1"/>
    <x v="3"/>
    <x v="4"/>
    <n v="48"/>
    <n v="279"/>
    <n v="2922"/>
    <n v="10.473118279569892"/>
    <n v="5.8125"/>
    <x v="2"/>
    <x v="0"/>
  </r>
  <r>
    <x v="45"/>
    <x v="1"/>
    <x v="3"/>
    <x v="0"/>
    <n v="9"/>
    <n v="23"/>
    <n v="473"/>
    <n v="20.565217391304348"/>
    <n v="2.5555555555555554"/>
    <x v="2"/>
    <x v="0"/>
  </r>
  <r>
    <x v="45"/>
    <x v="1"/>
    <x v="3"/>
    <x v="3"/>
    <n v="55"/>
    <n v="332"/>
    <n v="1612"/>
    <n v="4.8554216867469879"/>
    <n v="6.0363636363636362"/>
    <x v="2"/>
    <x v="0"/>
  </r>
  <r>
    <x v="45"/>
    <x v="1"/>
    <x v="3"/>
    <x v="5"/>
    <n v="8"/>
    <n v="28"/>
    <n v="811"/>
    <n v="28.964285714285715"/>
    <n v="3.5"/>
    <x v="2"/>
    <x v="0"/>
  </r>
  <r>
    <x v="46"/>
    <x v="1"/>
    <x v="3"/>
    <x v="4"/>
    <n v="43"/>
    <n v="283"/>
    <n v="1534"/>
    <n v="5.4204946996466434"/>
    <n v="6.5813953488372094"/>
    <x v="2"/>
    <x v="0"/>
  </r>
  <r>
    <x v="46"/>
    <x v="1"/>
    <x v="3"/>
    <x v="0"/>
    <n v="1"/>
    <n v="2"/>
    <n v="11"/>
    <n v="5.5"/>
    <n v="2"/>
    <x v="2"/>
    <x v="0"/>
  </r>
  <r>
    <x v="46"/>
    <x v="1"/>
    <x v="3"/>
    <x v="3"/>
    <n v="56"/>
    <n v="255"/>
    <n v="2054"/>
    <n v="8.0549019607843135"/>
    <n v="4.5535714285714288"/>
    <x v="2"/>
    <x v="0"/>
  </r>
  <r>
    <x v="46"/>
    <x v="1"/>
    <x v="3"/>
    <x v="5"/>
    <n v="1"/>
    <n v="1"/>
    <n v="1"/>
    <n v="1"/>
    <n v="1"/>
    <x v="2"/>
    <x v="0"/>
  </r>
  <r>
    <x v="46"/>
    <x v="1"/>
    <x v="3"/>
    <x v="8"/>
    <n v="4"/>
    <n v="15"/>
    <n v="89"/>
    <n v="5.9333333333333336"/>
    <n v="3.75"/>
    <x v="2"/>
    <x v="0"/>
  </r>
  <r>
    <x v="47"/>
    <x v="1"/>
    <x v="3"/>
    <x v="0"/>
    <n v="42"/>
    <n v="120"/>
    <n v="900"/>
    <n v="7.5"/>
    <n v="2.8571428571428572"/>
    <x v="2"/>
    <x v="0"/>
  </r>
  <r>
    <x v="47"/>
    <x v="1"/>
    <x v="3"/>
    <x v="10"/>
    <n v="2"/>
    <n v="13"/>
    <n v="34"/>
    <n v="2.6153846153846154"/>
    <n v="6.5"/>
    <x v="2"/>
    <x v="0"/>
  </r>
  <r>
    <x v="47"/>
    <x v="1"/>
    <x v="3"/>
    <x v="8"/>
    <n v="10"/>
    <n v="38"/>
    <n v="155"/>
    <n v="4.0789473684210522"/>
    <n v="3.8"/>
    <x v="2"/>
    <x v="0"/>
  </r>
  <r>
    <x v="47"/>
    <x v="1"/>
    <x v="3"/>
    <x v="3"/>
    <n v="120"/>
    <n v="829"/>
    <n v="5083"/>
    <n v="6.1314837153196624"/>
    <n v="6.9083333333333332"/>
    <x v="2"/>
    <x v="0"/>
  </r>
  <r>
    <x v="47"/>
    <x v="1"/>
    <x v="3"/>
    <x v="6"/>
    <n v="18"/>
    <n v="123"/>
    <n v="853"/>
    <n v="6.9349593495934956"/>
    <n v="6.833333333333333"/>
    <x v="2"/>
    <x v="0"/>
  </r>
  <r>
    <x v="47"/>
    <x v="1"/>
    <x v="3"/>
    <x v="5"/>
    <n v="40"/>
    <n v="231"/>
    <n v="1356"/>
    <n v="5.8701298701298699"/>
    <n v="5.7750000000000004"/>
    <x v="2"/>
    <x v="0"/>
  </r>
  <r>
    <x v="48"/>
    <x v="1"/>
    <x v="3"/>
    <x v="3"/>
    <n v="29"/>
    <n v="238"/>
    <n v="1045"/>
    <n v="4.3907563025210088"/>
    <n v="8.2068965517241388"/>
    <x v="2"/>
    <x v="0"/>
  </r>
  <r>
    <x v="48"/>
    <x v="1"/>
    <x v="3"/>
    <x v="6"/>
    <n v="18"/>
    <n v="123"/>
    <n v="853"/>
    <n v="6.9349593495934956"/>
    <n v="6.833333333333333"/>
    <x v="2"/>
    <x v="0"/>
  </r>
  <r>
    <x v="48"/>
    <x v="1"/>
    <x v="3"/>
    <x v="5"/>
    <n v="16"/>
    <n v="79"/>
    <n v="379"/>
    <n v="4.7974683544303796"/>
    <n v="4.9375"/>
    <x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m/>
    <x v="0"/>
    <m/>
    <m/>
    <m/>
  </r>
  <r>
    <x v="0"/>
    <x v="1"/>
    <m/>
    <x v="1"/>
    <m/>
    <m/>
    <m/>
  </r>
  <r>
    <x v="0"/>
    <x v="2"/>
    <m/>
    <x v="2"/>
    <m/>
    <m/>
    <m/>
  </r>
  <r>
    <x v="0"/>
    <x v="3"/>
    <m/>
    <x v="3"/>
    <m/>
    <m/>
    <m/>
  </r>
  <r>
    <x v="0"/>
    <x v="4"/>
    <m/>
    <x v="4"/>
    <m/>
    <m/>
    <m/>
  </r>
  <r>
    <x v="0"/>
    <x v="5"/>
    <m/>
    <x v="5"/>
    <m/>
    <m/>
    <m/>
  </r>
  <r>
    <x v="0"/>
    <x v="6"/>
    <m/>
    <x v="6"/>
    <m/>
    <m/>
    <m/>
  </r>
  <r>
    <x v="0"/>
    <x v="7"/>
    <m/>
    <x v="7"/>
    <m/>
    <m/>
    <m/>
  </r>
  <r>
    <x v="0"/>
    <x v="8"/>
    <m/>
    <x v="8"/>
    <m/>
    <m/>
    <m/>
  </r>
  <r>
    <x v="0"/>
    <x v="9"/>
    <m/>
    <x v="9"/>
    <m/>
    <m/>
    <m/>
  </r>
  <r>
    <x v="0"/>
    <x v="10"/>
    <m/>
    <x v="10"/>
    <m/>
    <m/>
    <m/>
  </r>
  <r>
    <x v="0"/>
    <x v="11"/>
    <m/>
    <x v="11"/>
    <m/>
    <m/>
    <m/>
  </r>
  <r>
    <x v="0"/>
    <x v="12"/>
    <m/>
    <x v="12"/>
    <m/>
    <m/>
    <m/>
  </r>
  <r>
    <x v="0"/>
    <x v="13"/>
    <m/>
    <x v="13"/>
    <m/>
    <m/>
    <m/>
  </r>
  <r>
    <x v="0"/>
    <x v="14"/>
    <m/>
    <x v="9"/>
    <m/>
    <m/>
    <m/>
  </r>
  <r>
    <x v="0"/>
    <x v="15"/>
    <m/>
    <x v="14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63415.37"/>
    <n v="69097.539999999994"/>
    <n v="8.9602410267416097E-2"/>
  </r>
  <r>
    <x v="1"/>
    <n v="151948.82999999999"/>
    <n v="198386.32"/>
    <n v="0.30561268553367621"/>
  </r>
  <r>
    <x v="2"/>
    <n v="43400.49"/>
    <n v="90578.53"/>
    <n v="1.0870393398784208"/>
  </r>
  <r>
    <x v="3"/>
    <n v="4466.9799999999996"/>
    <n v="7893.42"/>
    <n v="0.76705962417561768"/>
  </r>
  <r>
    <x v="4"/>
    <n v="621582.89"/>
    <n v="611361.09"/>
    <n v="-1.6444789849347441E-2"/>
  </r>
  <r>
    <x v="5"/>
    <n v="11530.23"/>
    <n v="13773.95"/>
    <n v="0.19459455709036172"/>
  </r>
  <r>
    <x v="6"/>
    <n v="8399.56"/>
    <n v="34742.370000000003"/>
    <n v="3.1362130873521954"/>
  </r>
  <r>
    <x v="7"/>
    <n v="27967.200000000001"/>
    <n v="67412.41"/>
    <n v="1.4104096942132214"/>
  </r>
  <r>
    <x v="8"/>
    <n v="219146.11"/>
    <n v="178980.94"/>
    <n v="-0.18328032379858344"/>
  </r>
  <r>
    <x v="9"/>
    <n v="25523.71"/>
    <n v="38237.519999999997"/>
    <n v="0.49811763258554492"/>
  </r>
  <r>
    <x v="10"/>
    <n v="231307.25"/>
    <n v="283757.82"/>
    <n v="0.22675713796260172"/>
  </r>
  <r>
    <x v="11"/>
    <n v="153205.51999999999"/>
    <n v="178716.43"/>
    <n v="0.16651430052911936"/>
  </r>
  <r>
    <x v="12"/>
    <n v="6174.53"/>
    <n v="12194.51"/>
    <n v="0.9749697547829552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n v="219146.11"/>
    <n v="2"/>
    <n v="2"/>
    <n v="1"/>
  </r>
  <r>
    <x v="0"/>
    <x v="0"/>
    <x v="1"/>
    <n v="151948.82999999999"/>
    <n v="5"/>
    <n v="1"/>
    <n v="0.2"/>
  </r>
  <r>
    <x v="0"/>
    <x v="0"/>
    <x v="2"/>
    <n v="63415.37"/>
    <n v="3"/>
    <n v="3"/>
    <n v="1"/>
  </r>
  <r>
    <x v="0"/>
    <x v="0"/>
    <x v="3"/>
    <n v="25523.71"/>
    <n v="3"/>
    <n v="0"/>
    <n v="0"/>
  </r>
  <r>
    <x v="0"/>
    <x v="0"/>
    <x v="4"/>
    <n v="27967.200000000001"/>
    <n v="11"/>
    <n v="9"/>
    <n v="0.81818181818181823"/>
  </r>
  <r>
    <x v="0"/>
    <x v="0"/>
    <x v="5"/>
    <n v="4466.9799999999996"/>
    <n v="4"/>
    <n v="3"/>
    <n v="0.75"/>
  </r>
  <r>
    <x v="1"/>
    <x v="0"/>
    <x v="6"/>
    <n v="153205.51999999999"/>
    <n v="0"/>
    <n v="0"/>
    <n v="0"/>
  </r>
  <r>
    <x v="1"/>
    <x v="0"/>
    <x v="7"/>
    <n v="231307.25"/>
    <n v="2"/>
    <n v="2"/>
    <n v="1"/>
  </r>
  <r>
    <x v="2"/>
    <x v="0"/>
    <x v="8"/>
    <n v="43400.49"/>
    <n v="0"/>
    <n v="0"/>
    <n v="0"/>
  </r>
  <r>
    <x v="0"/>
    <x v="0"/>
    <x v="9"/>
    <n v="6174.53"/>
    <n v="7"/>
    <n v="3"/>
    <n v="0.42857142857142855"/>
  </r>
  <r>
    <x v="0"/>
    <x v="0"/>
    <x v="10"/>
    <n v="11530.23"/>
    <n v="0"/>
    <n v="0"/>
    <n v="0"/>
  </r>
  <r>
    <x v="3"/>
    <x v="0"/>
    <x v="11"/>
    <n v="621582.89"/>
    <n v="0"/>
    <n v="0"/>
    <n v="0"/>
  </r>
  <r>
    <x v="0"/>
    <x v="0"/>
    <x v="12"/>
    <n v="8399.56"/>
    <n v="0"/>
    <n v="0"/>
    <n v="0"/>
  </r>
  <r>
    <x v="0"/>
    <x v="1"/>
    <x v="0"/>
    <n v="178980.94"/>
    <n v="0"/>
    <n v="0"/>
    <n v="0"/>
  </r>
  <r>
    <x v="0"/>
    <x v="1"/>
    <x v="1"/>
    <n v="198386.32"/>
    <n v="0"/>
    <n v="0"/>
    <n v="0"/>
  </r>
  <r>
    <x v="0"/>
    <x v="1"/>
    <x v="2"/>
    <n v="69097.539999999994"/>
    <n v="4"/>
    <n v="4"/>
    <n v="1"/>
  </r>
  <r>
    <x v="0"/>
    <x v="1"/>
    <x v="3"/>
    <n v="38237.519999999997"/>
    <n v="8"/>
    <n v="1"/>
    <n v="0.125"/>
  </r>
  <r>
    <x v="0"/>
    <x v="1"/>
    <x v="4"/>
    <n v="67412.41"/>
    <n v="8"/>
    <n v="4"/>
    <n v="0.5"/>
  </r>
  <r>
    <x v="0"/>
    <x v="1"/>
    <x v="5"/>
    <n v="7893.42"/>
    <n v="0"/>
    <n v="0"/>
    <n v="0"/>
  </r>
  <r>
    <x v="1"/>
    <x v="1"/>
    <x v="6"/>
    <n v="178716.43"/>
    <n v="2"/>
    <n v="1"/>
    <n v="0.5"/>
  </r>
  <r>
    <x v="1"/>
    <x v="1"/>
    <x v="7"/>
    <n v="283757.82"/>
    <n v="5"/>
    <n v="2"/>
    <n v="0.4"/>
  </r>
  <r>
    <x v="2"/>
    <x v="1"/>
    <x v="8"/>
    <n v="90578.53"/>
    <n v="0"/>
    <n v="0"/>
    <n v="0"/>
  </r>
  <r>
    <x v="0"/>
    <x v="1"/>
    <x v="9"/>
    <n v="12194.51"/>
    <n v="8"/>
    <n v="3"/>
    <n v="0.375"/>
  </r>
  <r>
    <x v="0"/>
    <x v="1"/>
    <x v="10"/>
    <n v="13773.95"/>
    <n v="0"/>
    <n v="0"/>
    <n v="0"/>
  </r>
  <r>
    <x v="3"/>
    <x v="1"/>
    <x v="11"/>
    <n v="611361.09"/>
    <n v="0"/>
    <n v="0"/>
    <n v="0"/>
  </r>
  <r>
    <x v="0"/>
    <x v="1"/>
    <x v="12"/>
    <n v="34742.370000000003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28239.54"/>
    <n v="99628.87"/>
    <n v="0.77689665761433646"/>
  </r>
  <r>
    <x v="0"/>
    <x v="1"/>
    <n v="1578340.8"/>
    <n v="1796497.92"/>
    <n v="1.1382192743164212"/>
  </r>
  <r>
    <x v="0"/>
    <x v="2"/>
    <n v="1556560.83"/>
    <n v="1503391.04"/>
    <n v="0.96584149557457388"/>
  </r>
  <r>
    <x v="0"/>
    <x v="3"/>
    <n v="1519361.88"/>
    <n v="1301864.8799999999"/>
    <n v="0.85684977169494336"/>
  </r>
  <r>
    <x v="0"/>
    <x v="4"/>
    <n v="75657.88"/>
    <n v="22416.49"/>
    <n v="0.2962875777116673"/>
  </r>
  <r>
    <x v="0"/>
    <x v="5"/>
    <n v="1667339.8"/>
    <n v="1606536.6"/>
    <n v="0.96353280836935584"/>
  </r>
  <r>
    <x v="0"/>
    <x v="6"/>
    <n v="530375.25"/>
    <n v="288855.31"/>
    <n v="0.54462441450652155"/>
  </r>
  <r>
    <x v="0"/>
    <x v="7"/>
    <n v="391586.47"/>
    <n v="162745.32"/>
    <n v="0.41560506418927096"/>
  </r>
  <r>
    <x v="0"/>
    <x v="8"/>
    <n v="76509.75"/>
    <n v="56091.59"/>
    <n v="0.73312996056058211"/>
  </r>
  <r>
    <x v="0"/>
    <x v="9"/>
    <n v="169456.11"/>
    <n v="152553.56"/>
    <n v="0.90025411299716496"/>
  </r>
  <r>
    <x v="0"/>
    <x v="10"/>
    <n v="39811.19"/>
    <n v="33949.54"/>
    <n v="0.85276375812930982"/>
  </r>
  <r>
    <x v="0"/>
    <x v="11"/>
    <n v="331808.28999999998"/>
    <n v="455960.81"/>
    <n v="1.374169433801669"/>
  </r>
  <r>
    <x v="0"/>
    <x v="12"/>
    <n v="0"/>
    <n v="1356858.97"/>
    <n v="0"/>
  </r>
  <r>
    <x v="0"/>
    <x v="12"/>
    <n v="0"/>
    <n v="1273982.51"/>
    <n v="0"/>
  </r>
  <r>
    <x v="0"/>
    <x v="12"/>
    <n v="0"/>
    <n v="40632.07"/>
    <n v="0"/>
  </r>
  <r>
    <x v="1"/>
    <x v="0"/>
    <m/>
    <m/>
    <n v="0"/>
  </r>
  <r>
    <x v="1"/>
    <x v="1"/>
    <m/>
    <m/>
    <n v="0"/>
  </r>
  <r>
    <x v="1"/>
    <x v="2"/>
    <m/>
    <m/>
    <n v="0"/>
  </r>
  <r>
    <x v="1"/>
    <x v="3"/>
    <m/>
    <m/>
    <n v="0"/>
  </r>
  <r>
    <x v="1"/>
    <x v="4"/>
    <m/>
    <m/>
    <n v="0"/>
  </r>
  <r>
    <x v="1"/>
    <x v="5"/>
    <m/>
    <m/>
    <n v="0"/>
  </r>
  <r>
    <x v="1"/>
    <x v="6"/>
    <m/>
    <m/>
    <n v="0"/>
  </r>
  <r>
    <x v="1"/>
    <x v="7"/>
    <m/>
    <m/>
    <n v="0"/>
  </r>
  <r>
    <x v="1"/>
    <x v="8"/>
    <m/>
    <m/>
    <n v="0"/>
  </r>
  <r>
    <x v="1"/>
    <x v="9"/>
    <m/>
    <m/>
    <n v="0"/>
  </r>
  <r>
    <x v="1"/>
    <x v="10"/>
    <m/>
    <m/>
    <n v="0"/>
  </r>
  <r>
    <x v="1"/>
    <x v="11"/>
    <m/>
    <m/>
    <n v="0"/>
  </r>
  <r>
    <x v="1"/>
    <x v="12"/>
    <m/>
    <m/>
    <n v="0"/>
  </r>
  <r>
    <x v="1"/>
    <x v="12"/>
    <m/>
    <m/>
    <n v="0"/>
  </r>
  <r>
    <x v="1"/>
    <x v="12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45BE1-5E2D-45E6-A607-B5C0C2F0C3DB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A3:B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dataField="1" numFmtId="167" showAll="0"/>
    <pivotField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FATURAMENTO" fld="3" baseField="0" baseItem="0" numFmtId="167"/>
  </dataFields>
  <formats count="1">
    <format dxfId="28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13EB-814A-44A5-AAFF-4E4B82B8162D}" name="Tabela dinâ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H3:I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numFmtId="1" showAll="0"/>
    <pivotField dataField="1"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POSITIVADOS " fld="5" baseField="0" baseItem="0" numFmtId="1"/>
  </dataFields>
  <formats count="1">
    <format dxfId="28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92A9D-CA72-4D03-BB86-96E8FC35850E}" name="Tabela dinâmica8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19:Q33" firstHeaderRow="1" firstDataRow="1" firstDataCol="1"/>
  <pivotFields count="4">
    <pivotField axis="axisRow" showAll="0" sortType="descending">
      <items count="15">
        <item x="0"/>
        <item x="1"/>
        <item x="2"/>
        <item x="3"/>
        <item m="1" x="13"/>
        <item x="8"/>
        <item x="9"/>
        <item x="10"/>
        <item x="11"/>
        <item x="12"/>
        <item x="7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dataField="1" numFmtId="10" showAll="0"/>
  </pivotFields>
  <rowFields count="1">
    <field x="0"/>
  </rowFields>
  <rowItems count="14">
    <i>
      <x v="13"/>
    </i>
    <i>
      <x v="10"/>
    </i>
    <i>
      <x v="2"/>
    </i>
    <i>
      <x v="9"/>
    </i>
    <i>
      <x v="3"/>
    </i>
    <i>
      <x v="6"/>
    </i>
    <i>
      <x v="1"/>
    </i>
    <i>
      <x v="7"/>
    </i>
    <i>
      <x v="12"/>
    </i>
    <i>
      <x v="8"/>
    </i>
    <i>
      <x/>
    </i>
    <i>
      <x v="11"/>
    </i>
    <i>
      <x v="5"/>
    </i>
    <i t="grand">
      <x/>
    </i>
  </rowItems>
  <colItems count="1">
    <i/>
  </colItems>
  <dataFields count="1">
    <dataField name="Soma de CRESCIMENTO" fld="3" baseField="0" baseItem="0"/>
  </dataFields>
  <formats count="2">
    <format dxfId="288">
      <pivotArea outline="0" collapsedLevelsAreSubtotals="1" fieldPosition="0"/>
    </format>
    <format dxfId="287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0108-49EE-44B5-B129-8A21310F941F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E3:F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dataField="1"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NOVOS CADASTROS " fld="4" baseField="0" baseItem="0" numFmtId="1"/>
  </dataFields>
  <formats count="1">
    <format dxfId="2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28BB-F3D7-4693-9CC0-CD9C6734C588}" name="Tabela dinâ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L3:M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4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13">
      <pivotArea outline="0" collapsedLevelsAreSubtotals="1" fieldPosition="0"/>
    </format>
    <format dxfId="2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D8324-5CF0-40E3-AE2A-FA8AD2B277C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Z3:AB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x="0"/>
        <item h="1" x="3"/>
        <item h="1" x="12"/>
        <item h="1" x="2"/>
        <item h="1" x="1"/>
        <item h="1"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1" type="button" dataOnly="0" labelOnly="1" outline="0" axis="axisRow" fieldPosition="0"/>
    </format>
    <format dxfId="216">
      <pivotArea dataOnly="0" labelOnly="1" fieldPosition="0">
        <references count="1">
          <reference field="1" count="0"/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90E7A-CC99-41C0-9243-6197350E83A5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B21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x="4"/>
        <item x="15"/>
        <item x="11"/>
        <item x="10"/>
        <item x="13"/>
        <item x="12"/>
        <item x="9"/>
        <item x="0"/>
        <item x="14"/>
        <item x="5"/>
        <item x="6"/>
        <item x="7"/>
        <item x="3"/>
        <item x="8"/>
        <item x="2"/>
        <item x="1"/>
        <item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21">
      <pivotArea outline="0" collapsedLevelsAreSubtotals="1" fieldPosition="0"/>
    </format>
    <format dxfId="2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C8E5B-A788-49AF-B9C5-B2563E2576EF}" name="Tabela dinâ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P3:AR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dataOnly="0" labelOnly="1" fieldPosition="0">
        <references count="1">
          <reference field="1" count="0"/>
        </references>
      </pivotArea>
    </format>
    <format dxfId="223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9B29B-8D22-452A-B238-F51D27FFD221}" name="Tabela dinâmica10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4">
  <location ref="P3:Q6" firstHeaderRow="1" firstDataRow="1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2">
    <field x="1"/>
    <field x="0"/>
  </rowFields>
  <rowItems count="3">
    <i>
      <x v="3"/>
    </i>
    <i r="1">
      <x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29">
      <pivotArea outline="0" collapsedLevelsAreSubtotals="1" fieldPosition="0"/>
    </format>
    <format dxfId="22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93CD0-763C-4014-AF56-0CCEF204A3B7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L3:AN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h="1" x="6"/>
        <item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1" type="button" dataOnly="0" labelOnly="1" outline="0" axis="axisRow" fieldPosition="0"/>
    </format>
    <format dxfId="232">
      <pivotArea dataOnly="0" labelOnly="1" fieldPosition="0">
        <references count="1">
          <reference field="1" count="0"/>
        </references>
      </pivotArea>
    </format>
    <format dxfId="231">
      <pivotArea dataOnly="0" labelOnly="1" grandRow="1" outline="0" fieldPosition="0"/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07E2D-6432-4A94-979F-732B057B6F0E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H3:AJ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1" type="button" dataOnly="0" labelOnly="1" outline="0" axis="axisRow" fieldPosition="0"/>
    </format>
    <format dxfId="238">
      <pivotArea dataOnly="0" labelOnly="1" fieldPosition="0">
        <references count="1">
          <reference field="1" count="0"/>
        </references>
      </pivotArea>
    </format>
    <format dxfId="237">
      <pivotArea dataOnly="0" labelOnly="1" grandRow="1" outline="0" fieldPosition="0"/>
    </format>
    <format dxfId="2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53B1F-3A19-4628-97CD-9AC2C1E814F6}" name="Tabela dinâ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D3:E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5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43">
      <pivotArea outline="0" collapsedLevelsAreSubtotals="1" fieldPosition="0"/>
    </format>
    <format dxfId="2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AED70-B457-4457-97C8-00857C7043ED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D3:AF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1" type="button" dataOnly="0" labelOnly="1" outline="0" axis="axisRow" fieldPosition="0"/>
    </format>
    <format dxfId="246">
      <pivotArea dataOnly="0" labelOnly="1" fieldPosition="0">
        <references count="1">
          <reference field="1" count="0"/>
        </references>
      </pivotArea>
    </format>
    <format dxfId="245">
      <pivotArea dataOnly="0" labelOnly="1" grandRow="1" outline="0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F60C0-D1A2-4B7E-A3E3-90F7FC81A004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H3:I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2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51">
      <pivotArea outline="0" collapsedLevelsAreSubtotals="1" fieldPosition="0"/>
    </format>
    <format dxfId="2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09B43-3CFE-4895-B4C5-13F7662CC7E8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>
  <location ref="E212:F224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3"/>
    </i>
    <i>
      <x v="19"/>
    </i>
    <i>
      <x v="20"/>
    </i>
    <i>
      <x v="17"/>
    </i>
    <i>
      <x v="12"/>
    </i>
    <i>
      <x v="14"/>
    </i>
    <i>
      <x/>
    </i>
    <i>
      <x v="5"/>
    </i>
    <i>
      <x v="15"/>
    </i>
    <i>
      <x v="22"/>
    </i>
    <i>
      <x v="31"/>
    </i>
    <i t="grand">
      <x/>
    </i>
  </rowItems>
  <colItems count="1">
    <i/>
  </colItems>
  <dataFields count="1">
    <dataField name="Soma de ITENS SEPARADOS" fld="6" baseField="0" baseItem="0"/>
  </dataFields>
  <formats count="30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3" type="button" dataOnly="0" labelOnly="1" outline="0" axis="axisRow" fieldPosition="0"/>
    </format>
    <format dxfId="135">
      <pivotArea dataOnly="0" labelOnly="1" fieldPosition="0">
        <references count="1">
          <reference field="3" count="0"/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field="3" type="button" dataOnly="0" labelOnly="1" outline="0" axis="axisRow" fieldPosition="0"/>
    </format>
    <format dxfId="124">
      <pivotArea dataOnly="0" labelOnly="1" fieldPosition="0">
        <references count="1">
          <reference field="3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 axis="axisRow" fieldPosition="0"/>
    </format>
    <format dxfId="117">
      <pivotArea dataOnly="0" labelOnly="1" fieldPosition="0">
        <references count="1">
          <reference field="3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collapsedLevelsAreSubtotals="1" fieldPosition="0">
        <references count="1">
          <reference field="3" count="2">
            <x v="2"/>
            <x v="5"/>
          </reference>
        </references>
      </pivotArea>
    </format>
    <format dxfId="113">
      <pivotArea dataOnly="0" labelOnly="1" fieldPosition="0">
        <references count="1">
          <reference field="3" count="2">
            <x v="2"/>
            <x v="5"/>
          </reference>
        </references>
      </pivotArea>
    </format>
    <format dxfId="112">
      <pivotArea collapsedLevelsAreSubtotals="1" fieldPosition="0">
        <references count="1">
          <reference field="3" count="8">
            <x v="0"/>
            <x v="5"/>
            <x v="12"/>
            <x v="13"/>
            <x v="14"/>
            <x v="17"/>
            <x v="19"/>
            <x v="20"/>
          </reference>
        </references>
      </pivotArea>
    </format>
    <format dxfId="111">
      <pivotArea grandRow="1" outline="0" collapsedLevelsAreSubtotals="1" fieldPosition="0"/>
    </format>
    <format dxfId="110">
      <pivotArea collapsedLevelsAreSubtotals="1" fieldPosition="0">
        <references count="1">
          <reference field="3" count="1">
            <x v="22"/>
          </reference>
        </references>
      </pivotArea>
    </format>
    <format dxfId="109">
      <pivotArea dataOnly="0" labelOnly="1" fieldPosition="0">
        <references count="1">
          <reference field="3" count="1"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0A7C5-543A-4B4B-95D7-C2ED82AC1344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4">
  <location ref="E187:F19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formats count="27">
    <format dxfId="165">
      <pivotArea collapsedLevelsAreSubtotals="1" fieldPosition="0">
        <references count="1">
          <reference field="3" count="0"/>
        </references>
      </pivotArea>
    </format>
    <format dxfId="164">
      <pivotArea field="3" type="button" dataOnly="0" labelOnly="1" outline="0" axis="axisRow" fieldPosition="0"/>
    </format>
    <format dxfId="163">
      <pivotArea dataOnly="0" labelOnly="1" outline="0" axis="axisValues" fieldPosition="0"/>
    </format>
    <format dxfId="162">
      <pivotArea field="3" type="button" dataOnly="0" labelOnly="1" outline="0" axis="axisRow" fieldPosition="0"/>
    </format>
    <format dxfId="161">
      <pivotArea dataOnly="0" labelOnly="1" outline="0" axis="axisValues" fieldPosition="0"/>
    </format>
    <format dxfId="160">
      <pivotArea outline="0" collapsedLevelsAreSubtotals="1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3" type="button" dataOnly="0" labelOnly="1" outline="0" axis="axisRow" fieldPosition="0"/>
    </format>
    <format dxfId="156">
      <pivotArea dataOnly="0" labelOnly="1" fieldPosition="0">
        <references count="1">
          <reference field="3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collapsedLevelsAreSubtotals="1" fieldPosition="0">
        <references count="1">
          <reference field="3" count="0"/>
        </references>
      </pivotArea>
    </format>
    <format dxfId="146">
      <pivotArea collapsedLevelsAreSubtotals="1" fieldPosition="0">
        <references count="1">
          <reference field="3" count="7">
            <x v="0"/>
            <x v="5"/>
            <x v="6"/>
            <x v="9"/>
            <x v="10"/>
            <x v="11"/>
            <x v="12"/>
          </reference>
        </references>
      </pivotArea>
    </format>
    <format dxfId="145">
      <pivotArea grandRow="1" outline="0" collapsedLevelsAreSubtotals="1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3" type="button" dataOnly="0" labelOnly="1" outline="0" axis="axisRow" fieldPosition="0"/>
    </format>
    <format dxfId="141">
      <pivotArea dataOnly="0" labelOnly="1" fieldPosition="0">
        <references count="1">
          <reference field="3" count="0"/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</formats>
  <chartFormats count="2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219-0E21-44E3-A5D6-A0E8DCFAE627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E160:F17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3">
        <item x="0"/>
        <item m="1" x="18"/>
        <item m="1" x="25"/>
        <item m="1" x="23"/>
        <item m="1" x="14"/>
        <item m="1" x="11"/>
        <item m="1" x="16"/>
        <item m="1" x="17"/>
        <item m="1" x="13"/>
        <item m="1" x="26"/>
        <item x="6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</pivotField>
    <pivotField showAll="0"/>
    <pivotField showAll="0"/>
    <pivotField showAll="0"/>
    <pivotField showAll="0"/>
    <pivotField numFmtId="1" showAll="0"/>
    <pivotField dataField="1"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/>
    </i>
    <i>
      <x v="10"/>
    </i>
    <i>
      <x v="12"/>
    </i>
    <i>
      <x v="13"/>
    </i>
    <i>
      <x v="14"/>
    </i>
    <i>
      <x v="15"/>
    </i>
    <i>
      <x v="17"/>
    </i>
    <i>
      <x v="19"/>
    </i>
    <i>
      <x v="20"/>
    </i>
    <i>
      <x v="22"/>
    </i>
    <i>
      <x v="31"/>
    </i>
    <i t="grand">
      <x/>
    </i>
  </rowItems>
  <colItems count="1">
    <i/>
  </colItems>
  <dataFields count="1">
    <dataField name="Média de DESEMPENHO  %" fld="9" subtotal="average" baseField="1" baseItem="2"/>
  </dataFields>
  <formats count="13">
    <format dxfId="178">
      <pivotArea grandRow="1" outline="0" collapsedLevelsAreSubtotals="1" fieldPosition="0"/>
    </format>
    <format dxfId="177">
      <pivotArea outline="0" collapsedLevelsAreSubtotals="1" fieldPosition="0"/>
    </format>
    <format dxfId="176">
      <pivotArea collapsedLevelsAreSubtotals="1" fieldPosition="0">
        <references count="1">
          <reference field="3" count="0"/>
        </references>
      </pivotArea>
    </format>
    <format dxfId="175">
      <pivotArea collapsedLevelsAreSubtotals="1" fieldPosition="0">
        <references count="1">
          <reference field="3" count="0"/>
        </references>
      </pivotArea>
    </format>
    <format dxfId="174">
      <pivotArea grandRow="1"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fieldPosition="0">
        <references count="1">
          <reference field="3" count="0"/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  <format dxfId="167">
      <pivotArea collapsedLevelsAreSubtotals="1" fieldPosition="0">
        <references count="1">
          <reference field="3" count="0"/>
        </references>
      </pivotArea>
    </format>
    <format dxfId="16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C469A-6EA9-42F7-9D41-126FC8F18EC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9" rowHeaderCaption="DATA">
  <location ref="L151:L153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4">
        <item sd="0" x="1"/>
        <item x="0"/>
        <item x="2"/>
        <item t="default"/>
      </items>
    </pivotField>
  </pivotFields>
  <rowFields count="2">
    <field x="12"/>
    <field x="11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EE7D4-5550-4357-9543-A5C528FE25DD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E240:F25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4">
    <format dxfId="202">
      <pivotArea outline="0" collapsedLevelsAreSubtotals="1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3" type="button" dataOnly="0" labelOnly="1" outline="0" axis="axisRow" fieldPosition="0"/>
    </format>
    <format dxfId="198">
      <pivotArea dataOnly="0" labelOnly="1" fieldPosition="0">
        <references count="1">
          <reference field="3" count="0"/>
        </references>
      </pivotArea>
    </format>
    <format dxfId="197">
      <pivotArea dataOnly="0" labelOnly="1" grandRow="1" outline="0" fieldPosition="0"/>
    </format>
    <format dxfId="196">
      <pivotArea dataOnly="0" labelOnly="1" outline="0" axis="axisValues" fieldPosition="0"/>
    </format>
    <format dxfId="195">
      <pivotArea collapsedLevelsAreSubtotals="1" fieldPosition="0">
        <references count="1">
          <reference field="3" count="0"/>
        </references>
      </pivotArea>
    </format>
    <format dxfId="194">
      <pivotArea grandRow="1" outline="0" collapsedLevelsAreSubtotals="1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3" type="button" dataOnly="0" labelOnly="1" outline="0" axis="axisRow" fieldPosition="0"/>
    </format>
    <format dxfId="190">
      <pivotArea dataOnly="0" labelOnly="1" fieldPosition="0">
        <references count="1">
          <reference field="3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grandRow="1" outline="0" collapsedLevelsAreSubtotals="1" fieldPosition="0"/>
    </format>
    <format dxfId="180">
      <pivotArea collapsedLevelsAreSubtotals="1" fieldPosition="0">
        <references count="1">
          <reference field="3" count="1">
            <x v="5"/>
          </reference>
        </references>
      </pivotArea>
    </format>
    <format dxfId="179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04655-2A2D-4255-ABBA-D56FDAFDF1F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1">
  <location ref="A129:B141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chartFormats count="7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A692A-08F8-4054-B54C-EC0D206CEE42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Y6:Z9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9" showAll="0"/>
    <pivotField showAll="0"/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3">
        <item sd="0" x="0"/>
        <item sd="0" x="1"/>
        <item x="2"/>
      </items>
    </pivotField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édia de DESEMPENHO  %" fld="9" subtotal="average" baseField="0" baseItem="1" numFmtId="10"/>
  </dataFields>
  <formats count="1">
    <format dxfId="2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34F0-015B-47C2-86C2-D2E54A28C06D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2">
  <location ref="A90:B10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/>
    </i>
    <i>
      <x v="14"/>
    </i>
    <i>
      <x v="12"/>
    </i>
    <i>
      <x v="17"/>
    </i>
    <i>
      <x v="20"/>
    </i>
    <i>
      <x v="19"/>
    </i>
    <i>
      <x v="13"/>
    </i>
    <i t="grand">
      <x/>
    </i>
  </rowItems>
  <colItems count="1">
    <i/>
  </colItems>
  <dataFields count="1">
    <dataField name="Soma de ITENS SEPARADOS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82F6-99C8-4A77-8242-88798389AB72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B47:C5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204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6AB4-36F6-4A06-BD3D-CF07A502A0EE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A159:A162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numFmtId="1"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sd="0" x="0"/>
        <item x="5"/>
        <item t="default" sd="0"/>
      </items>
    </pivotField>
    <pivotField axis="axisRow" showAll="0">
      <items count="4">
        <item x="1"/>
        <item x="0"/>
        <item x="2"/>
        <item t="default"/>
      </items>
    </pivotField>
  </pivotFields>
  <rowFields count="3">
    <field x="12"/>
    <field x="11"/>
    <field x="0"/>
  </rowFields>
  <rowItems count="3">
    <i>
      <x/>
    </i>
    <i r="1">
      <x/>
    </i>
    <i t="grand">
      <x/>
    </i>
  </rowItems>
  <colItems count="1">
    <i/>
  </colItems>
  <formats count="7">
    <format dxfId="211">
      <pivotArea grandRow="1" outline="0" collapsedLevelsAreSubtotals="1" fieldPosition="0"/>
    </format>
    <format dxfId="210">
      <pivotArea grandRow="1" outline="0" collapsedLevelsAreSubtotals="1" fieldPosition="0"/>
    </format>
    <format dxfId="209">
      <pivotArea outline="0" collapsedLevelsAreSubtotals="1" fieldPosition="0"/>
    </format>
    <format dxfId="208">
      <pivotArea type="all" dataOnly="0" outline="0" fieldPosition="0"/>
    </format>
    <format dxfId="207">
      <pivotArea field="0" type="button" dataOnly="0" labelOnly="1" outline="0" axis="axisRow" fieldPosition="2"/>
    </format>
    <format dxfId="206">
      <pivotArea dataOnly="0" labelOnly="1" fieldPosition="0">
        <references count="1">
          <reference field="0" count="0"/>
        </references>
      </pivotArea>
    </format>
    <format dxfId="20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6035A-0295-4992-AEA5-F8756EAE3C7F}" name="Tabela dinâ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8" rowHeaderCaption="DATA">
  <location ref="A182:B19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8BCC5-D2A2-4C87-AEC0-A5F2CDCF55AF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6">
  <location ref="A110:B12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oma de ITENS SEPARADOS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216E5-A58E-4025-9FE3-22BC1AEA4F6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9" rowHeaderCaption="DATA">
  <location ref="A29:B79" firstHeaderRow="1" firstDataRow="1" firstDataCol="1"/>
  <pivotFields count="11">
    <pivotField axis="axisRow"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7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2">
        <item x="0"/>
        <item m="1" x="27"/>
        <item m="1" x="25"/>
        <item m="1" x="18"/>
        <item m="1" x="28"/>
        <item m="1" x="21"/>
        <item m="1" x="26"/>
        <item x="1"/>
        <item x="10"/>
        <item x="4"/>
        <item x="8"/>
        <item m="1" x="15"/>
        <item x="2"/>
        <item m="1" x="17"/>
        <item m="1" x="14"/>
        <item m="1" x="12"/>
        <item m="1" x="13"/>
        <item m="1" x="20"/>
        <item m="1" x="22"/>
        <item x="3"/>
        <item x="7"/>
        <item m="1" x="24"/>
        <item m="1" x="23"/>
        <item x="6"/>
        <item m="1" x="16"/>
        <item m="1" x="19"/>
        <item m="1" x="29"/>
        <item x="9"/>
        <item x="5"/>
        <item m="1" x="30"/>
        <item m="1"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0"/>
  </rowFields>
  <rowItems count="50"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3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3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3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3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3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3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3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3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3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3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3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3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3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3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3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3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3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3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3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3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3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3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3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3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3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3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3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3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3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3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3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3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3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3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1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1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1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3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3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3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3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3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3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3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3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3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3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3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3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3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3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1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1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1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1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1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1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1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1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1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1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1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1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1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1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1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1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1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1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1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1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1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1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1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1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1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1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1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1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1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1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1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1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1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1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1" format="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1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1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1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1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1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1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1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1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1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1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1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1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1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1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1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1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1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1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1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1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1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1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1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1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1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1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1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1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1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1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1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1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1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1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1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1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1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1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1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1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1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1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1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1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B5F1C-072C-49BF-B753-AA177B4FF57C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 rowHeaderCaption="OPERADORES">
  <location ref="D220:E23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QUANTIDADE DE UNIDADES" fld="6" baseField="0" baseItem="0"/>
  </dataFields>
  <formats count="18">
    <format dxfId="31">
      <pivotArea type="all" dataOnly="0" outline="0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dataOnly="0" grandRow="1" axis="axisRow" fieldPosition="0"/>
    </format>
    <format dxfId="15">
      <pivotArea collapsedLevelsAreSubtotals="1" fieldPosition="0">
        <references count="1">
          <reference field="3" count="1">
            <x v="20"/>
          </reference>
        </references>
      </pivotArea>
    </format>
    <format dxfId="14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85170-D657-438E-8157-546738ADED5C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4" rowHeaderCaption="OPERADORES">
  <location ref="D190:E20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30"/>
    </i>
    <i>
      <x v="29"/>
    </i>
    <i>
      <x v="27"/>
    </i>
    <i>
      <x v="28"/>
    </i>
    <i>
      <x v="24"/>
    </i>
    <i>
      <x v="20"/>
    </i>
    <i>
      <x v="25"/>
    </i>
    <i>
      <x v="12"/>
    </i>
    <i>
      <x v="23"/>
    </i>
    <i>
      <x v="26"/>
    </i>
    <i>
      <x v="21"/>
    </i>
    <i t="grand">
      <x/>
    </i>
  </rowItems>
  <colItems count="1">
    <i/>
  </colItems>
  <dataFields count="1">
    <dataField name=" QUANTIDADE DE  PEDIDOS" fld="4" baseField="0" baseItem="0"/>
  </dataFields>
  <formats count="25">
    <format dxfId="56">
      <pivotArea type="all" dataOnly="0" outline="0" fieldPosition="0"/>
    </format>
    <format dxfId="55">
      <pivotArea dataOnly="0" labelOnly="1" outline="0" axis="axisValues" fieldPosition="0"/>
    </format>
    <format dxfId="54">
      <pivotArea dataOnly="0" outline="0" axis="axisValues" fieldPosition="0"/>
    </format>
    <format dxfId="53">
      <pivotArea collapsedLevelsAreSubtotals="1" fieldPosition="0">
        <references count="1">
          <reference field="3" count="0"/>
        </references>
      </pivotArea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grandRow="1" outline="0" collapsedLevelsAreSubtotals="1" fieldPosition="0"/>
    </format>
  </formats>
  <chartFormats count="4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BB30C-2382-4944-87F7-C94506DBE3BA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3">
  <location ref="G92:H10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30"/>
    </i>
    <i>
      <x v="21"/>
    </i>
    <i>
      <x v="23"/>
    </i>
    <i>
      <x v="26"/>
    </i>
    <i>
      <x v="27"/>
    </i>
    <i>
      <x v="25"/>
    </i>
    <i>
      <x v="24"/>
    </i>
    <i>
      <x v="29"/>
    </i>
    <i>
      <x v="28"/>
    </i>
    <i>
      <x v="12"/>
    </i>
    <i>
      <x v="2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57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87254-E67E-41AE-A9D0-9DFA35BB636F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 rowHeaderCaption="OPERADORES">
  <location ref="D252:E26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20"/>
    </i>
    <i>
      <x v="12"/>
    </i>
    <i>
      <x v="28"/>
    </i>
    <i>
      <x v="29"/>
    </i>
    <i>
      <x v="24"/>
    </i>
    <i>
      <x v="25"/>
    </i>
    <i>
      <x v="27"/>
    </i>
    <i>
      <x v="26"/>
    </i>
    <i>
      <x v="23"/>
    </i>
    <i>
      <x v="21"/>
    </i>
    <i>
      <x v="3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6"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collapsedLevelsAreSubtotals="1" fieldPosition="0">
        <references count="1">
          <reference field="3" count="2">
            <x v="21"/>
            <x v="26"/>
          </reference>
        </references>
      </pivotArea>
    </format>
    <format dxfId="58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2EC5-6159-4144-93F6-D23F0F79B326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8" rowHeaderCaption="COLABORADOR">
  <location ref="D281:E293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25">
    <format dxfId="1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" type="button" dataOnly="0" labelOnly="1" outline="0" axis="axisRow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dataOnly="0" labelOnly="1" outline="0" axis="axisValues" fieldPosition="0"/>
    </format>
    <format dxfId="94">
      <pivotArea collapsedLevelsAreSubtotals="1" fieldPosition="0">
        <references count="1">
          <reference field="3" count="3">
            <x v="18"/>
            <x v="21"/>
            <x v="22"/>
          </reference>
        </references>
      </pivotArea>
    </format>
    <format dxfId="93">
      <pivotArea grandRow="1" outline="0" collapsedLevelsAreSubtotals="1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 axis="axisRow" fieldPosition="0"/>
    </format>
    <format dxfId="89">
      <pivotArea dataOnly="0" labelOnly="1" fieldPosition="0">
        <references count="1">
          <reference field="3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grandRow="1" outline="0" collapsedLevelsAreSubtotals="1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3926D-965F-4294-8E9A-FC631D3C2D8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2">
  <location ref="A149:B161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8"/>
    </i>
    <i>
      <x v="27"/>
    </i>
    <i>
      <x v="29"/>
    </i>
    <i>
      <x v="30"/>
    </i>
    <i t="grand">
      <x/>
    </i>
  </rowItems>
  <colItems count="1">
    <i/>
  </colItems>
  <dataFields count="1">
    <dataField name="Soma de QTD PEDIDOS" fld="4" baseField="0" baseItem="0"/>
  </dataFields>
  <chartFormats count="8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6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C9F94-5652-4440-A1C4-473E7086951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J83:K386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axis="axisRow" dataField="1" showAll="0">
      <items count="303">
        <item x="4"/>
        <item x="3"/>
        <item x="90"/>
        <item x="18"/>
        <item x="44"/>
        <item x="7"/>
        <item x="12"/>
        <item x="8"/>
        <item x="1"/>
        <item x="15"/>
        <item x="13"/>
        <item x="11"/>
        <item x="6"/>
        <item x="23"/>
        <item x="5"/>
        <item x="14"/>
        <item x="24"/>
        <item x="41"/>
        <item x="33"/>
        <item x="0"/>
        <item x="47"/>
        <item x="16"/>
        <item x="10"/>
        <item x="9"/>
        <item x="2"/>
        <item x="26"/>
        <item x="27"/>
        <item x="25"/>
        <item x="45"/>
        <item x="19"/>
        <item x="36"/>
        <item x="17"/>
        <item x="22"/>
        <item x="21"/>
        <item x="48"/>
        <item x="38"/>
        <item x="20"/>
        <item x="29"/>
        <item x="37"/>
        <item x="50"/>
        <item x="28"/>
        <item x="39"/>
        <item x="31"/>
        <item x="30"/>
        <item x="51"/>
        <item x="82"/>
        <item x="34"/>
        <item x="35"/>
        <item x="32"/>
        <item x="49"/>
        <item x="46"/>
        <item x="40"/>
        <item x="43"/>
        <item x="54"/>
        <item x="42"/>
        <item x="52"/>
        <item x="53"/>
        <item x="58"/>
        <item x="56"/>
        <item x="85"/>
        <item x="59"/>
        <item x="57"/>
        <item x="92"/>
        <item x="89"/>
        <item x="93"/>
        <item x="60"/>
        <item x="84"/>
        <item x="87"/>
        <item x="88"/>
        <item x="91"/>
        <item x="76"/>
        <item x="77"/>
        <item x="78"/>
        <item x="81"/>
        <item x="86"/>
        <item x="95"/>
        <item x="94"/>
        <item x="61"/>
        <item x="75"/>
        <item x="65"/>
        <item x="69"/>
        <item x="80"/>
        <item x="55"/>
        <item x="73"/>
        <item x="74"/>
        <item x="83"/>
        <item x="63"/>
        <item x="66"/>
        <item x="68"/>
        <item x="64"/>
        <item x="67"/>
        <item x="62"/>
        <item x="79"/>
        <item x="71"/>
        <item x="70"/>
        <item x="72"/>
        <item x="155"/>
        <item x="146"/>
        <item x="96"/>
        <item x="102"/>
        <item x="158"/>
        <item x="156"/>
        <item x="152"/>
        <item x="105"/>
        <item x="103"/>
        <item x="107"/>
        <item x="99"/>
        <item x="97"/>
        <item x="104"/>
        <item x="100"/>
        <item x="160"/>
        <item x="162"/>
        <item x="161"/>
        <item x="98"/>
        <item x="140"/>
        <item x="106"/>
        <item x="101"/>
        <item x="154"/>
        <item x="157"/>
        <item x="150"/>
        <item x="151"/>
        <item x="134"/>
        <item x="141"/>
        <item x="159"/>
        <item x="147"/>
        <item x="142"/>
        <item x="145"/>
        <item x="148"/>
        <item x="108"/>
        <item x="163"/>
        <item x="130"/>
        <item x="135"/>
        <item x="149"/>
        <item x="153"/>
        <item x="143"/>
        <item x="131"/>
        <item x="129"/>
        <item x="133"/>
        <item x="132"/>
        <item x="136"/>
        <item x="139"/>
        <item x="117"/>
        <item x="138"/>
        <item x="207"/>
        <item x="119"/>
        <item x="200"/>
        <item x="128"/>
        <item x="144"/>
        <item x="137"/>
        <item x="126"/>
        <item x="118"/>
        <item x="112"/>
        <item x="124"/>
        <item x="116"/>
        <item x="120"/>
        <item x="197"/>
        <item x="115"/>
        <item x="127"/>
        <item x="178"/>
        <item x="122"/>
        <item x="167"/>
        <item x="123"/>
        <item x="121"/>
        <item x="110"/>
        <item x="166"/>
        <item x="125"/>
        <item x="113"/>
        <item x="171"/>
        <item x="114"/>
        <item x="168"/>
        <item x="169"/>
        <item x="202"/>
        <item x="177"/>
        <item x="173"/>
        <item x="174"/>
        <item x="164"/>
        <item x="165"/>
        <item x="111"/>
        <item x="109"/>
        <item x="170"/>
        <item x="172"/>
        <item x="184"/>
        <item x="188"/>
        <item x="180"/>
        <item x="186"/>
        <item x="185"/>
        <item x="182"/>
        <item x="176"/>
        <item x="175"/>
        <item x="183"/>
        <item x="189"/>
        <item x="210"/>
        <item x="204"/>
        <item x="181"/>
        <item x="196"/>
        <item x="212"/>
        <item x="179"/>
        <item x="194"/>
        <item x="192"/>
        <item x="195"/>
        <item x="208"/>
        <item x="199"/>
        <item x="187"/>
        <item x="190"/>
        <item x="206"/>
        <item x="191"/>
        <item x="193"/>
        <item x="203"/>
        <item x="198"/>
        <item x="209"/>
        <item x="211"/>
        <item x="201"/>
        <item x="205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 t="grand">
      <x/>
    </i>
  </rowItems>
  <colItems count="1">
    <i/>
  </colItems>
  <dataFields count="1">
    <dataField name="Contagem de N° PEDIDO COMPRA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275A3-AC87-4C54-8211-7F8315E2D455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C98:D158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0">
    <i>
      <x v="38"/>
    </i>
    <i>
      <x v="39"/>
    </i>
    <i>
      <x v="40"/>
    </i>
    <i>
      <x v="41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70"/>
    </i>
    <i>
      <x v="72"/>
    </i>
    <i>
      <x v="74"/>
    </i>
    <i>
      <x v="76"/>
    </i>
    <i>
      <x v="77"/>
    </i>
    <i>
      <x v="78"/>
    </i>
    <i>
      <x v="80"/>
    </i>
    <i>
      <x v="81"/>
    </i>
    <i>
      <x v="82"/>
    </i>
    <i>
      <x v="84"/>
    </i>
    <i>
      <x v="86"/>
    </i>
    <i>
      <x v="87"/>
    </i>
    <i>
      <x v="89"/>
    </i>
    <i>
      <x v="90"/>
    </i>
    <i>
      <x v="91"/>
    </i>
    <i>
      <x v="92"/>
    </i>
    <i>
      <x v="93"/>
    </i>
    <i>
      <x v="95"/>
    </i>
    <i>
      <x v="99"/>
    </i>
    <i>
      <x v="100"/>
    </i>
    <i>
      <x v="103"/>
    </i>
    <i>
      <x v="104"/>
    </i>
    <i>
      <x v="106"/>
    </i>
    <i>
      <x v="107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Média de LEAD TIME DISPONIBILIZACAO" fld="10" subtotal="average" baseField="4" baseItem="47"/>
  </dataFields>
  <formats count="3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219B-CF68-41D2-B459-A4F7338B53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L1:M38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numFmtId="9" showAll="0"/>
    <pivotField showAll="0"/>
    <pivotField showAll="0"/>
  </pivotFields>
  <rowFields count="1">
    <field x="4"/>
  </rowFields>
  <rowItems count="37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ACURA.CONF" fld="20" subtotal="average" baseField="3" baseItem="0" numFmtId="9"/>
  </dataFields>
  <formats count="2">
    <format dxfId="8">
      <pivotArea outline="0" collapsedLevelsAreSubtotals="1" fieldPosition="0"/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BC165-9E1F-4377-91F1-15A4C60232E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69:A196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x="55"/>
        <item m="1" x="96"/>
        <item m="1" x="80"/>
        <item m="1" x="90"/>
        <item m="1" x="62"/>
        <item x="44"/>
        <item m="1" x="101"/>
        <item x="49"/>
        <item x="38"/>
        <item m="1" x="117"/>
        <item x="18"/>
        <item x="0"/>
        <item x="10"/>
        <item m="1" x="63"/>
        <item x="16"/>
        <item m="1" x="97"/>
        <item m="1" x="94"/>
        <item m="1" x="69"/>
        <item m="1" x="85"/>
        <item m="1" x="109"/>
        <item m="1" x="120"/>
        <item m="1" x="102"/>
        <item x="14"/>
        <item x="57"/>
        <item m="1" x="75"/>
        <item x="23"/>
        <item m="1" x="114"/>
        <item x="47"/>
        <item m="1" x="67"/>
        <item x="3"/>
        <item m="1" x="86"/>
        <item m="1" x="88"/>
        <item m="1" x="92"/>
        <item x="21"/>
        <item m="1" x="118"/>
        <item x="19"/>
        <item m="1" x="73"/>
        <item x="36"/>
        <item m="1" x="115"/>
        <item m="1" x="105"/>
        <item m="1" x="116"/>
        <item m="1" x="111"/>
        <item x="32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28"/>
        <item m="1" x="110"/>
        <item x="12"/>
        <item m="1" x="98"/>
        <item m="1" x="107"/>
        <item x="22"/>
        <item m="1" x="99"/>
        <item m="1" x="66"/>
        <item m="1" x="77"/>
        <item x="37"/>
        <item m="1" x="84"/>
        <item x="51"/>
        <item m="1" x="113"/>
        <item m="1" x="71"/>
        <item x="5"/>
        <item x="13"/>
        <item m="1" x="81"/>
        <item x="1"/>
        <item m="1" x="79"/>
        <item m="1" x="83"/>
        <item m="1" x="106"/>
        <item x="39"/>
        <item m="1" x="119"/>
        <item x="11"/>
        <item m="1" x="93"/>
        <item x="20"/>
        <item m="1" x="104"/>
        <item m="1" x="70"/>
        <item x="4"/>
        <item x="27"/>
        <item x="41"/>
        <item m="1" x="78"/>
        <item x="17"/>
        <item m="1" x="61"/>
        <item x="25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axis="axisRow" showAll="0">
      <items count="12">
        <item x="2"/>
        <item x="1"/>
        <item x="5"/>
        <item h="1" x="0"/>
        <item x="3"/>
        <item m="1" x="9"/>
        <item h="1" m="1" x="8"/>
        <item h="1" m="1" x="10"/>
        <item h="1" m="1" x="7"/>
        <item h="1"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numFmtId="9" showAll="0"/>
    <pivotField showAll="0"/>
    <pivotField showAll="0"/>
  </pivotFields>
  <rowFields count="2">
    <field x="5"/>
    <field x="8"/>
  </rowFields>
  <rowItems count="27">
    <i>
      <x v="11"/>
    </i>
    <i r="1">
      <x/>
    </i>
    <i r="1">
      <x v="1"/>
    </i>
    <i r="1">
      <x v="4"/>
    </i>
    <i>
      <x v="14"/>
    </i>
    <i r="1">
      <x v="1"/>
    </i>
    <i>
      <x v="33"/>
    </i>
    <i r="1">
      <x/>
    </i>
    <i>
      <x v="35"/>
    </i>
    <i r="1">
      <x/>
    </i>
    <i>
      <x v="46"/>
    </i>
    <i r="1">
      <x/>
    </i>
    <i>
      <x v="56"/>
    </i>
    <i r="1">
      <x v="1"/>
    </i>
    <i>
      <x v="59"/>
    </i>
    <i r="1">
      <x v="1"/>
    </i>
    <i>
      <x v="71"/>
    </i>
    <i r="1">
      <x/>
    </i>
    <i>
      <x v="77"/>
    </i>
    <i r="1">
      <x/>
    </i>
    <i>
      <x v="88"/>
    </i>
    <i r="1">
      <x v="2"/>
    </i>
    <i>
      <x v="95"/>
    </i>
    <i r="1">
      <x v="1"/>
    </i>
    <i>
      <x v="104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CB3E-6F43-4468-BEA3-D0035DFF493D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M83:M84" firstHeaderRow="1" firstDataRow="1" firstDataCol="0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APURACAO LT D+0" fld="13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54746-8DC0-4D95-B1ED-80683A73253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4">
  <location ref="I1:J38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7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% SLA CONFORMIDADES" fld="16" subtotal="average" baseField="0" baseItem="175" numFmtId="9"/>
  </dataFields>
  <formats count="2">
    <format dxfId="11">
      <pivotArea outline="0" collapsedLevelsAreSubtotals="1" fieldPosition="0"/>
    </format>
    <format dxfId="10">
      <pivotArea grandRow="1"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A7F5E-1DE9-4106-B43F-C06A753C6FB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4">
  <location ref="A1:B38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 sortType="ascending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7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Soma de VOLUMES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58155-FBC4-4569-9194-4F7F0391DA7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>
  <location ref="E1:F61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dataField="1" showAll="0" countASubtotal="1"/>
    <pivotField numFmtId="14" showAll="0"/>
    <pivotField axis="axisRow" showAll="0" sortType="ascending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0">
    <i>
      <x v="77"/>
    </i>
    <i>
      <x v="78"/>
    </i>
    <i>
      <x v="84"/>
    </i>
    <i>
      <x v="92"/>
    </i>
    <i>
      <x v="93"/>
    </i>
    <i>
      <x v="63"/>
    </i>
    <i>
      <x v="89"/>
    </i>
    <i>
      <x v="90"/>
    </i>
    <i>
      <x v="76"/>
    </i>
    <i>
      <x v="118"/>
    </i>
    <i>
      <x v="41"/>
    </i>
    <i>
      <x v="100"/>
    </i>
    <i>
      <x v="87"/>
    </i>
    <i>
      <x v="106"/>
    </i>
    <i>
      <x v="120"/>
    </i>
    <i>
      <x v="107"/>
    </i>
    <i>
      <x v="117"/>
    </i>
    <i>
      <x v="111"/>
    </i>
    <i>
      <x v="86"/>
    </i>
    <i>
      <x v="115"/>
    </i>
    <i>
      <x v="95"/>
    </i>
    <i>
      <x v="112"/>
    </i>
    <i>
      <x v="113"/>
    </i>
    <i>
      <x v="74"/>
    </i>
    <i>
      <x v="81"/>
    </i>
    <i>
      <x v="65"/>
    </i>
    <i>
      <x v="116"/>
    </i>
    <i>
      <x v="99"/>
    </i>
    <i>
      <x v="104"/>
    </i>
    <i>
      <x v="119"/>
    </i>
    <i>
      <x v="56"/>
    </i>
    <i>
      <x v="82"/>
    </i>
    <i>
      <x v="103"/>
    </i>
    <i>
      <x v="58"/>
    </i>
    <i>
      <x v="91"/>
    </i>
    <i>
      <x v="64"/>
    </i>
    <i>
      <x v="114"/>
    </i>
    <i>
      <x v="72"/>
    </i>
    <i>
      <x v="60"/>
    </i>
    <i>
      <x v="52"/>
    </i>
    <i>
      <x v="59"/>
    </i>
    <i>
      <x v="62"/>
    </i>
    <i>
      <x v="43"/>
    </i>
    <i>
      <x v="47"/>
    </i>
    <i>
      <x v="70"/>
    </i>
    <i>
      <x v="61"/>
    </i>
    <i>
      <x v="66"/>
    </i>
    <i>
      <x v="80"/>
    </i>
    <i>
      <x v="49"/>
    </i>
    <i>
      <x v="40"/>
    </i>
    <i>
      <x v="39"/>
    </i>
    <i>
      <x v="57"/>
    </i>
    <i>
      <x v="48"/>
    </i>
    <i>
      <x v="46"/>
    </i>
    <i>
      <x v="55"/>
    </i>
    <i>
      <x v="38"/>
    </i>
    <i>
      <x v="51"/>
    </i>
    <i>
      <x v="45"/>
    </i>
    <i>
      <x v="50"/>
    </i>
    <i t="grand">
      <x/>
    </i>
  </rowItems>
  <colItems count="1">
    <i/>
  </colItems>
  <dataFields count="1">
    <dataField name="Contagem de N° PEDIDO COMPRA" fld="3" subtotal="count" baseField="1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FC71E652-A016-46F9-9B60-FFCB298BAD1A}" sourceName="MÊS">
  <pivotTables>
    <pivotTable tabId="16" name="Tabela dinâmica4"/>
    <pivotTable tabId="16" name="Tabela dinâmica3"/>
    <pivotTable tabId="16" name="Tabela dinâmica1"/>
    <pivotTable tabId="16" name="Tabela dinâmica10"/>
    <pivotTable tabId="16" name="Tabela dinâmica2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14">
        <i x="1" s="1"/>
        <i x="0" s="1"/>
        <i x="3" s="1" nd="1"/>
        <i x="13" s="1" nd="1"/>
        <i x="4" s="1" nd="1"/>
        <i x="10" s="1" nd="1"/>
        <i x="8" s="1" nd="1"/>
        <i x="5" s="1" nd="1"/>
        <i x="12" s="1" nd="1"/>
        <i x="9" s="1" nd="1"/>
        <i x="7" s="1" nd="1"/>
        <i x="11" s="1" nd="1"/>
        <i x="6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C30AC4B8-2BF2-4D01-9F57-DF0799755612}" sourceName="DATA">
  <pivotTables>
    <pivotTable tabId="16" name="Tabela dinâmica4"/>
    <pivotTable tabId="16" name="Tabela dinâmica1"/>
    <pivotTable tabId="16" name="Tabela dinâmica2"/>
    <pivotTable tabId="16" name="Tabela dinâmica3"/>
    <pivotTable tabId="16" name="Tabela dinâmica8"/>
    <pivotTable tabId="16" name="Tabela dinâmica5"/>
    <pivotTable tabId="16" name="Tabela dinâmica6"/>
    <pivotTable tabId="16" name="Tabela dinâmica7"/>
    <pivotTable tabId="16" name="Tabela dinâmica9"/>
  </pivotTables>
  <data>
    <tabular pivotCacheId="1966611143">
      <items count="14"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1" xr10:uid="{DAD7781A-4F82-4B96-93AF-B4C13919EE67}" sourceName="COLABORADOR">
  <pivotTables>
    <pivotTable tabId="18" name="Tabela dinâmica9"/>
    <pivotTable tabId="18" name="Tabela dinâmica8"/>
    <pivotTable tabId="18" name="Tabela dinâmica7"/>
    <pivotTable tabId="18" name="Tabela dinâmica6"/>
    <pivotTable tabId="18" name="Tabela dinâmica5"/>
    <pivotTable tabId="18" name="Tabela dinâmica4"/>
    <pivotTable tabId="18" name="Tabela dinâmica3"/>
    <pivotTable tabId="18" name="Tabela dinâmica1"/>
    <pivotTable tabId="18" name="Tabela dinâmica2"/>
  </pivotTables>
  <data>
    <tabular pivotCacheId="433932675">
      <items count="31">
        <i x="0" s="1"/>
        <i x="1" s="1"/>
        <i x="10" s="1"/>
        <i x="4" s="1"/>
        <i x="8" s="1"/>
        <i x="2" s="1"/>
        <i x="3" s="1"/>
        <i x="7" s="1"/>
        <i x="6" s="1"/>
        <i x="9" s="1"/>
        <i x="5" s="1"/>
        <i x="27" s="1" nd="1"/>
        <i x="25" s="1" nd="1"/>
        <i x="18" s="1" nd="1"/>
        <i x="28" s="1" nd="1"/>
        <i x="21" s="1" nd="1"/>
        <i x="26" s="1" nd="1"/>
        <i x="15" s="1" nd="1"/>
        <i x="17" s="1" nd="1"/>
        <i x="14" s="1" nd="1"/>
        <i x="12" s="1" nd="1"/>
        <i x="13" s="1" nd="1"/>
        <i x="20" s="1" nd="1"/>
        <i x="22" s="1" nd="1"/>
        <i x="24" s="1" nd="1"/>
        <i x="23" s="1" nd="1"/>
        <i x="16" s="1" nd="1"/>
        <i x="19" s="1" nd="1"/>
        <i x="29" s="1" nd="1"/>
        <i x="30" s="1" nd="1"/>
        <i x="1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1" xr10:uid="{4CEF8B81-C984-46CA-A3CA-CF11C62AA274}" sourceName="DATA">
  <pivotTables>
    <pivotTable tabId="18" name="Tabela dinâmica4"/>
    <pivotTable tabId="18" name="Tabela dinâmica1"/>
    <pivotTable tabId="18" name="Tabela dinâmica2"/>
    <pivotTable tabId="18" name="Tabela dinâmica3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19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188" s="1" nd="1"/>
        <i x="149" s="1" nd="1"/>
        <i x="112" s="1" nd="1"/>
        <i x="74" s="1" nd="1"/>
        <i x="183" s="1" nd="1"/>
        <i x="146" s="1" nd="1"/>
        <i x="70" s="1" nd="1"/>
        <i x="180" s="1" nd="1"/>
        <i x="142" s="1" nd="1"/>
        <i x="106" s="1" nd="1"/>
        <i x="66" s="1" nd="1"/>
        <i x="177" s="1" nd="1"/>
        <i x="103" s="1" nd="1"/>
        <i x="64" s="1" nd="1"/>
        <i x="173" s="1" nd="1"/>
        <i x="137" s="1" nd="1"/>
        <i x="99" s="1" nd="1"/>
        <i x="61" s="1" nd="1"/>
        <i x="134" s="1" nd="1"/>
        <i x="96" s="1" nd="1"/>
        <i x="127" s="1" nd="1"/>
        <i x="91" s="1" nd="1"/>
        <i x="164" s="1" nd="1"/>
        <i x="124" s="1" nd="1"/>
        <i x="88" s="1" nd="1"/>
        <i x="52" s="1" nd="1"/>
        <i x="161" s="1" nd="1"/>
        <i x="122" s="1" nd="1"/>
        <i x="49" s="1" nd="1"/>
        <i x="158" s="1" nd="1"/>
        <i x="120" s="1" nd="1"/>
        <i x="84" s="1" nd="1"/>
        <i x="195" s="1" nd="1"/>
        <i x="156" s="1" nd="1"/>
        <i x="81" s="1" nd="1"/>
        <i x="192" s="1" nd="1"/>
        <i x="152" s="1" nd="1"/>
        <i x="116" s="1" nd="1"/>
        <i x="77" s="1" nd="1"/>
        <i x="187" s="1" nd="1"/>
        <i x="111" s="1" nd="1"/>
        <i x="73" s="1" nd="1"/>
        <i x="182" s="1" nd="1"/>
        <i x="145" s="1" nd="1"/>
        <i x="108" s="1" nd="1"/>
        <i x="69" s="1" nd="1"/>
        <i x="154" s="1" nd="1"/>
        <i x="117" s="1" nd="1"/>
        <i x="79" s="1" nd="1"/>
        <i x="190" s="1" nd="1"/>
        <i x="151" s="1" nd="1"/>
        <i x="114" s="1" nd="1"/>
        <i x="185" s="1" nd="1"/>
        <i x="147" s="1" nd="1"/>
        <i x="109" s="1" nd="1"/>
        <i x="71" s="1" nd="1"/>
        <i x="181" s="1" nd="1"/>
        <i x="143" s="1" nd="1"/>
        <i x="67" s="1" nd="1"/>
        <i x="178" s="1" nd="1"/>
        <i x="140" s="1" nd="1"/>
        <i x="104" s="1" nd="1"/>
        <i x="65" s="1" nd="1"/>
        <i x="174" s="1" nd="1"/>
        <i x="100" s="1" nd="1"/>
        <i x="62" s="1" nd="1"/>
        <i x="171" s="1" nd="1"/>
        <i x="135" s="1" nd="1"/>
        <i x="97" s="1" nd="1"/>
        <i x="58" s="1" nd="1"/>
        <i x="131" s="1" nd="1"/>
        <i x="94" s="1" nd="1"/>
        <i x="176" s="1" nd="1"/>
        <i x="139" s="1" nd="1"/>
        <i x="102" s="1" nd="1"/>
        <i x="63" s="1" nd="1"/>
        <i x="136" s="1" nd="1"/>
        <i x="98" s="1" nd="1"/>
        <i x="60" s="1" nd="1"/>
        <i x="170" s="1" nd="1"/>
        <i x="133" s="1" nd="1"/>
        <i x="95" s="1" nd="1"/>
        <i x="168" s="1" nd="1"/>
        <i x="130" s="1" nd="1"/>
        <i x="93" s="1" nd="1"/>
        <i x="57" s="1" nd="1"/>
        <i x="167" s="1" nd="1"/>
        <i x="129" s="1" nd="1"/>
        <i x="55" s="1" nd="1"/>
        <i x="166" s="1" nd="1"/>
        <i x="126" s="1" nd="1"/>
        <i x="90" s="1" nd="1"/>
        <i x="53" s="1" nd="1"/>
        <i x="163" s="1" nd="1"/>
        <i x="87" s="1" nd="1"/>
        <i x="51" s="1" nd="1"/>
        <i x="160" s="1" nd="1"/>
        <i x="121" s="1" nd="1"/>
        <i x="85" s="1" nd="1"/>
        <i x="56" s="1" nd="1"/>
        <i x="128" s="1" nd="1"/>
        <i x="92" s="1" nd="1"/>
        <i x="54" s="1" nd="1"/>
        <i x="165" s="1" nd="1"/>
        <i x="125" s="1" nd="1"/>
        <i x="89" s="1" nd="1"/>
        <i x="162" s="1" nd="1"/>
        <i x="123" s="1" nd="1"/>
        <i x="86" s="1" nd="1"/>
        <i x="50" s="1" nd="1"/>
        <i x="159" s="1" nd="1"/>
        <i x="196" s="1" nd="1"/>
        <i x="157" s="1" nd="1"/>
        <i x="119" s="1" nd="1"/>
        <i x="82" s="1" nd="1"/>
        <i x="193" s="1" nd="1"/>
        <i x="153" s="1" nd="1"/>
        <i x="78" s="1" nd="1"/>
        <i x="189" s="1" nd="1"/>
        <i x="150" s="1" nd="1"/>
        <i x="113" s="1" nd="1"/>
        <i x="75" s="1" nd="1"/>
        <i x="184" s="1" nd="1"/>
        <i x="83" s="1" nd="1"/>
        <i x="194" s="1" nd="1"/>
        <i x="155" s="1" nd="1"/>
        <i x="118" s="1" nd="1"/>
        <i x="80" s="1" nd="1"/>
        <i x="191" s="1" nd="1"/>
        <i x="115" s="1" nd="1"/>
        <i x="76" s="1" nd="1"/>
        <i x="186" s="1" nd="1"/>
        <i x="148" s="1" nd="1"/>
        <i x="110" s="1" nd="1"/>
        <i x="72" s="1" nd="1"/>
        <i x="144" s="1" nd="1"/>
        <i x="107" s="1" nd="1"/>
        <i x="68" s="1" nd="1"/>
        <i x="179" s="1" nd="1"/>
        <i x="141" s="1" nd="1"/>
        <i x="105" s="1" nd="1"/>
        <i x="175" s="1" nd="1"/>
        <i x="138" s="1" nd="1"/>
        <i x="101" s="1" nd="1"/>
        <i x="172" s="1" nd="1"/>
        <i x="59" s="1" nd="1"/>
        <i x="169" s="1" nd="1"/>
        <i x="13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T1" xr10:uid="{12B84F6F-25EF-451F-B0D2-81734B73E4CC}" sourceName="DEPT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CDE8D283-44F9-403F-B3FE-0C1AC6247880}" sourceName="VENDEDOR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 1" xr10:uid="{793B542D-CDB6-4AE6-AFC1-96C48F643E73}" cache="SegmentaçãodeDados_DEPT1" caption="DEP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C4833D97-513D-4A07-89E2-66BF6A1034CD}" cache="SegmentaçãodeDados_VENDEDOR1" caption="VENDEDOR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6793E43D-862B-452E-9308-D3B284635CD0}" cache="SegmentaçãodeDados_MÊS1" caption="MÊS" rowHeight="241300"/>
  <slicer name="DATA" xr10:uid="{B546EB57-968C-4CDF-B6C0-5D44B01148DB}" cache="SegmentaçãodeDados_DATA1" caption="DATA" rowHeight="241300"/>
  <slicer name="DATA 1" xr10:uid="{B6E06631-7667-435B-90F7-B72906B2BEB8}" cache="SegmentaçãodeDados_DATA1" caption="DATA" startItem="6" rowHeight="241300"/>
  <slicer name="DATA 2" xr10:uid="{E09015DB-E35A-4E7B-90BF-CFE7E8C56FAA}" cache="SegmentaçãodeDados_DATA1" caption="DATA" rowHeight="241300"/>
  <slicer name="DATA 4" xr10:uid="{D6E45902-513D-4972-9BDC-051CDFE8CB44}" cache="SegmentaçãodeDados_DATA1" caption="DATA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" xr10:uid="{0D15A1EE-2BAD-4C3B-92E6-A142F052FF44}" cache="SegmentaçãodeDados_COLABORADOR1" caption="COLABORADOR" rowHeight="241300"/>
  <slicer name="DATA 3" xr10:uid="{96CD559D-0966-4579-83DF-8869B25F6772}" cache="SegmentaçãodeDados_DATA11" caption="DATA" rowHeight="241300"/>
  <slicer name="DATA 5" xr10:uid="{220352A5-C687-4C4E-9D0E-B254DDF4F889}" cache="SegmentaçãodeDados_DATA11" caption="DATA" rowHeight="241300"/>
  <slicer name="DATA 6" xr10:uid="{D2EC0FDC-F6AE-4351-A6F0-F8FF3C8BAFC3}" cache="SegmentaçãodeDados_DATA11" caption="DATA" startItem="7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72BD62-67B1-46EF-8D41-30B25C68D619}" name="Tabela15" displayName="Tabela15" ref="A1:F93" totalsRowShown="0" headerRowDxfId="272">
  <autoFilter ref="A1:F93" xr:uid="{CE529D6A-F64B-4934-8B2D-9A3119A80EBE}"/>
  <tableColumns count="6">
    <tableColumn id="1" xr3:uid="{414A1A12-415A-4BD8-A221-DA99F54795CF}" name="DATA" dataDxfId="271">
      <calculatedColumnFormula>TODAY()</calculatedColumnFormula>
    </tableColumn>
    <tableColumn id="2" xr3:uid="{530DE679-C3E6-45BA-90CA-E7ED5E5F4108}" name="DEPT"/>
    <tableColumn id="3" xr3:uid="{E81ADEC4-C4C1-490C-8F52-0A5CEBE9E889}" name="INDICADOR"/>
    <tableColumn id="4" xr3:uid="{B283D73D-4059-4510-ABB5-99EF09426FCA}" name="PREVISTO" dataCellStyle="Moeda"/>
    <tableColumn id="5" xr3:uid="{05826AA9-EB07-4C5B-B90E-8B70B814D2B0}" name="REALIZADO" dataCellStyle="Moeda"/>
    <tableColumn id="6" xr3:uid="{34AA600C-560E-446F-A7BF-6C86AACA3675}" name="GRÁFICO"/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29D6A-F64B-4934-8B2D-9A3119A80EBE}" name="Tabela1" displayName="Tabela1" ref="A1:F66" totalsRowShown="0" headerRowDxfId="270">
  <autoFilter ref="A1:F66" xr:uid="{CE529D6A-F64B-4934-8B2D-9A3119A80EBE}"/>
  <tableColumns count="6">
    <tableColumn id="1" xr3:uid="{1472C027-46B8-4875-B5CF-A72A78F36004}" name="DATA" dataDxfId="269">
      <calculatedColumnFormula>TODAY()</calculatedColumnFormula>
    </tableColumn>
    <tableColumn id="2" xr3:uid="{F65C923B-BFC7-460A-8BB3-66891A81CEE7}" name="DEPT"/>
    <tableColumn id="3" xr3:uid="{9776FC98-3FAA-4066-A2EE-46140C9145AC}" name="INDICADOR"/>
    <tableColumn id="4" xr3:uid="{3601B753-A35C-41F2-A5BF-F3C8F0B24750}" name="PREVISTO" dataCellStyle="Moeda"/>
    <tableColumn id="5" xr3:uid="{676C8FA3-62AD-48B1-8B03-E698803139A9}" name="REALIZADO" dataCellStyle="Moeda"/>
    <tableColumn id="6" xr3:uid="{74FA7636-53C6-4950-A272-6E77F74B6AE7}" name="GRÁFICO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527755-2635-4D7E-AF4C-6664C4809656}" name="Tabela3" displayName="Tabela3" ref="A2:G39" totalsRowShown="0">
  <autoFilter ref="A2:G39" xr:uid="{A0527755-2635-4D7E-AF4C-6664C4809656}"/>
  <tableColumns count="7">
    <tableColumn id="1" xr3:uid="{91266F35-AED6-4409-A3F2-E80ACA4DA87F}" name="MÊS"/>
    <tableColumn id="2" xr3:uid="{EED4A517-C550-4184-A8E7-7CD9F8DB0D4E}" name="INDICADOR"/>
    <tableColumn id="3" xr3:uid="{C8C2FDA0-2AC4-4F32-8B0E-C9D6CD6B4A39}" name="META"/>
    <tableColumn id="4" xr3:uid="{1492A62E-4751-4F05-A845-69C618777A94}" name="VALOR" dataDxfId="268"/>
    <tableColumn id="5" xr3:uid="{82A4F420-6972-4AB3-B612-14EFD4CA8E9D}" name="REPRES."/>
    <tableColumn id="6" xr3:uid="{D55AB746-ADB9-4DD0-BBB9-25316C5BD0F6}" name="ATING %"/>
    <tableColumn id="7" xr3:uid="{E4F84247-D3D0-4789-8EE7-5280751480CD}" name="OBSERVACO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A89D9B-0D54-4EB4-B271-02E91842D529}" name="Tabela7" displayName="Tabela7" ref="U2:Y32" totalsRowShown="0" headerRowDxfId="267" tableBorderDxfId="266">
  <autoFilter ref="U2:Y32" xr:uid="{D8FD2139-1F62-45BE-AA9A-B97A51A81A33}"/>
  <tableColumns count="5">
    <tableColumn id="1" xr3:uid="{A02DCE80-25F9-4031-AF08-ED93B60B31F2}" name="MÊS" dataDxfId="265"/>
    <tableColumn id="2" xr3:uid="{C2137795-2A61-4217-9C9B-4B6F0765B9A5}" name="INDICADOR" dataDxfId="264"/>
    <tableColumn id="3" xr3:uid="{21418380-C15F-4F78-8A92-1587819AE5B6}" name="PREVISTO" dataDxfId="263" dataCellStyle="Moeda"/>
    <tableColumn id="4" xr3:uid="{43631A49-BF3E-4736-B0EF-CF644606D35D}" name="REALIZADO" dataDxfId="262" dataCellStyle="Moeda"/>
    <tableColumn id="5" xr3:uid="{6CD793D1-20D4-497C-8784-041B60AEE9CA}" name="PERCT %" dataDxfId="261">
      <calculatedColumnFormula>IFERROR(Tabela7[[#This Row],[REALIZADO]]/Tabela7[[#This Row],[PREVISTO]],0)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3D999B-997D-4909-9E09-51095B2C1304}" name="Tabela5" displayName="Tabela5" ref="P1:S14" totalsRowShown="0" headerRowDxfId="284" headerRowBorderDxfId="283" tableBorderDxfId="282" totalsRowBorderDxfId="281">
  <autoFilter ref="P1:S14" xr:uid="{287EC3E8-BBF0-4CCB-BE05-2CC598D0CC9C}"/>
  <tableColumns count="4">
    <tableColumn id="1" xr3:uid="{522B6685-53D6-4F3B-9ED4-CACF282B7E0F}" name="VENDEDOR" dataDxfId="280"/>
    <tableColumn id="2" xr3:uid="{2786EAC8-6316-4A30-AD34-40743B8CE0C9}" name="JANEIRO" dataDxfId="279"/>
    <tableColumn id="3" xr3:uid="{621F2FD1-E4D8-445A-B736-14F13431E0C0}" name="FEVEREIRO" dataDxfId="278"/>
    <tableColumn id="4" xr3:uid="{9A4648E3-6801-4DB2-BC2D-DC484EE2DAD6}" name="CRESCIMENTO" dataDxfId="277" dataCellStyle="Porcentagem">
      <calculatedColumnFormula>(R2-Q2)/Q2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74805B-6365-4A06-8BAA-04BF3C26BCAA}" name="Tabela6" displayName="Tabela6" ref="P36:S49" totalsRowShown="0">
  <autoFilter ref="P36:S49" xr:uid="{41EE3AB5-E324-4A0D-9427-32F176A427F5}"/>
  <sortState xmlns:xlrd2="http://schemas.microsoft.com/office/spreadsheetml/2017/richdata2" ref="P37:S49">
    <sortCondition descending="1" ref="S37"/>
  </sortState>
  <tableColumns count="4">
    <tableColumn id="1" xr3:uid="{1454DBA5-89D0-4C56-B7CB-84F957204289}" name="VENDEDOR" dataDxfId="276"/>
    <tableColumn id="2" xr3:uid="{0A0B82F6-D56F-43C9-8AF0-3A87630541BA}" name="JANEIRO" dataDxfId="275"/>
    <tableColumn id="3" xr3:uid="{ECB5B311-FB98-45C1-A6D1-7B29CE14F068}" name="FEVEREIRO" dataDxfId="274"/>
    <tableColumn id="4" xr3:uid="{1686C7F2-5164-4A3F-A50E-7F84195CDB6B}" name="CRESCIMENTO" dataDxfId="273" dataCellStyle="Porcentagem">
      <calculatedColumnFormula>IFERROR((Tabela6[[#This Row],[FEVEREIRO]]-Tabela6[[#This Row],[JANEIRO]])/Tabela6[[#This Row],[JANEIRO]],0)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046C8-FF57-4D00-897B-2490717F0131}" name="Tabela2" displayName="Tabela2" ref="A9:G35" totalsRowShown="0" headerRowDxfId="260" tableBorderDxfId="259">
  <autoFilter ref="A9:G35" xr:uid="{9295021C-149B-4EAD-8F9F-1B658D86C76E}">
    <filterColumn colId="2">
      <filters>
        <filter val="AMANDA"/>
      </filters>
    </filterColumn>
  </autoFilter>
  <tableColumns count="7">
    <tableColumn id="10" xr3:uid="{8DB56866-D5E3-4E78-A3EB-84C835A163E6}" name="EQUIPE" dataDxfId="258"/>
    <tableColumn id="1" xr3:uid="{C4F8A1C4-C26E-4433-A943-E4AB13639A59}" name="MÊS" dataDxfId="257"/>
    <tableColumn id="2" xr3:uid="{290F651F-8EA9-4EEF-8A8B-9BE808F2A8FB}" name="VENDEDOR" dataDxfId="256"/>
    <tableColumn id="3" xr3:uid="{DB4A8C62-D86C-4330-B7C8-9FE8DAD6A6D9}" name="FATURAMENTO" dataDxfId="255"/>
    <tableColumn id="6" xr3:uid="{52B512C3-C06F-4DA9-BF92-03BC00A15F1C}" name="NOVOS CADASTROS " dataDxfId="254"/>
    <tableColumn id="7" xr3:uid="{2E112153-D2E8-4896-9216-D5998581C572}" name="POSITIVADOS " dataDxfId="253"/>
    <tableColumn id="8" xr3:uid="{1747499D-F8CB-4045-969E-AEF0D958725F}" name="% POSITIVACAO MÊS" dataDxfId="252">
      <calculatedColumnFormula>IFERROR(Tabela2[[#This Row],[POSITIVADOS ]]/Tabela2[[#This Row],[NOVOS CADASTROS 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13" Type="http://schemas.microsoft.com/office/2007/relationships/slicer" Target="../slicers/slicer3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9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12" Type="http://schemas.microsoft.com/office/2007/relationships/slicer" Target="../slicers/slicer4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drawing" Target="../drawings/drawing4.xml"/><Relationship Id="rId5" Type="http://schemas.openxmlformats.org/officeDocument/2006/relationships/pivotTable" Target="../pivotTables/pivotTable29.xml"/><Relationship Id="rId10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1.xml"/><Relationship Id="rId3" Type="http://schemas.openxmlformats.org/officeDocument/2006/relationships/pivotTable" Target="../pivotTables/pivotTable36.xml"/><Relationship Id="rId7" Type="http://schemas.openxmlformats.org/officeDocument/2006/relationships/pivotTable" Target="../pivotTables/pivotTable40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pivotTable" Target="../pivotTables/pivotTable39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0A69-F078-4BB6-B047-9C3682BA87CA}">
  <dimension ref="A1:F93"/>
  <sheetViews>
    <sheetView showGridLines="0" workbookViewId="0">
      <pane ySplit="1" topLeftCell="A68" activePane="bottomLeft" state="frozen"/>
      <selection activeCell="B85" sqref="B85"/>
      <selection pane="bottomLeft" activeCell="C84" sqref="C84"/>
    </sheetView>
  </sheetViews>
  <sheetFormatPr defaultRowHeight="14.3" x14ac:dyDescent="0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25">
      <c r="A2" s="1">
        <v>46071</v>
      </c>
      <c r="B2" t="s">
        <v>8</v>
      </c>
      <c r="C2" t="s">
        <v>6</v>
      </c>
      <c r="D2" s="2">
        <v>500000</v>
      </c>
      <c r="E2" s="2">
        <v>250000</v>
      </c>
      <c r="F2" t="s">
        <v>49</v>
      </c>
    </row>
    <row r="3" spans="1:6" x14ac:dyDescent="0.25">
      <c r="A3" s="1">
        <v>46071</v>
      </c>
      <c r="B3" t="s">
        <v>8</v>
      </c>
      <c r="C3" t="s">
        <v>13</v>
      </c>
      <c r="D3" s="2">
        <v>420000</v>
      </c>
      <c r="E3" s="2">
        <v>210000</v>
      </c>
      <c r="F3" t="s">
        <v>50</v>
      </c>
    </row>
    <row r="4" spans="1:6" x14ac:dyDescent="0.25">
      <c r="A4" s="1">
        <v>46071</v>
      </c>
      <c r="B4" t="s">
        <v>8</v>
      </c>
      <c r="C4" t="s">
        <v>14</v>
      </c>
      <c r="D4" s="2">
        <v>250000</v>
      </c>
      <c r="E4" s="2">
        <v>140000</v>
      </c>
      <c r="F4" t="s">
        <v>50</v>
      </c>
    </row>
    <row r="5" spans="1:6" x14ac:dyDescent="0.25">
      <c r="A5" s="1">
        <v>46071</v>
      </c>
      <c r="B5" t="s">
        <v>8</v>
      </c>
      <c r="C5" t="s">
        <v>15</v>
      </c>
      <c r="D5" s="2">
        <v>170000</v>
      </c>
      <c r="E5" s="2">
        <v>70000</v>
      </c>
      <c r="F5" t="s">
        <v>50</v>
      </c>
    </row>
    <row r="6" spans="1:6" x14ac:dyDescent="0.25">
      <c r="A6" s="1">
        <v>46071</v>
      </c>
      <c r="B6" t="s">
        <v>8</v>
      </c>
      <c r="C6" t="s">
        <v>16</v>
      </c>
      <c r="D6" s="2">
        <v>0.34</v>
      </c>
      <c r="E6" s="2">
        <v>0.28000000000000003</v>
      </c>
      <c r="F6" t="s">
        <v>51</v>
      </c>
    </row>
    <row r="7" spans="1:6" x14ac:dyDescent="0.25">
      <c r="A7" s="1">
        <v>46071</v>
      </c>
      <c r="B7" t="s">
        <v>8</v>
      </c>
      <c r="C7" t="s">
        <v>17</v>
      </c>
      <c r="D7" s="2">
        <v>90000</v>
      </c>
      <c r="E7" s="2">
        <v>35000</v>
      </c>
      <c r="F7" t="s">
        <v>50</v>
      </c>
    </row>
    <row r="8" spans="1:6" x14ac:dyDescent="0.25">
      <c r="A8" s="1">
        <v>46071</v>
      </c>
      <c r="B8" t="s">
        <v>8</v>
      </c>
      <c r="C8" t="s">
        <v>18</v>
      </c>
      <c r="D8" s="2">
        <v>60000</v>
      </c>
      <c r="E8" s="2">
        <v>22000</v>
      </c>
      <c r="F8" t="s">
        <v>50</v>
      </c>
    </row>
    <row r="9" spans="1:6" x14ac:dyDescent="0.25">
      <c r="A9" s="1">
        <v>46071</v>
      </c>
      <c r="B9" t="s">
        <v>8</v>
      </c>
      <c r="C9" t="s">
        <v>19</v>
      </c>
      <c r="D9" s="2">
        <v>0.12</v>
      </c>
      <c r="E9" s="2">
        <v>0.09</v>
      </c>
      <c r="F9" t="s">
        <v>52</v>
      </c>
    </row>
    <row r="10" spans="1:6" x14ac:dyDescent="0.25">
      <c r="A10" s="1">
        <v>46071</v>
      </c>
      <c r="B10" t="s">
        <v>8</v>
      </c>
      <c r="C10" t="s">
        <v>20</v>
      </c>
      <c r="D10" s="2">
        <v>300000</v>
      </c>
      <c r="E10" s="2">
        <v>310000</v>
      </c>
      <c r="F10" t="s">
        <v>53</v>
      </c>
    </row>
    <row r="11" spans="1:6" x14ac:dyDescent="0.25">
      <c r="A11" s="1">
        <v>46071</v>
      </c>
      <c r="B11" t="s">
        <v>8</v>
      </c>
      <c r="C11" t="s">
        <v>21</v>
      </c>
      <c r="D11" s="2">
        <v>0.45</v>
      </c>
      <c r="E11" s="2">
        <v>0.41</v>
      </c>
      <c r="F11" t="s">
        <v>52</v>
      </c>
    </row>
    <row r="12" spans="1:6" x14ac:dyDescent="0.25">
      <c r="A12" s="1">
        <v>46071</v>
      </c>
      <c r="B12" t="s">
        <v>8</v>
      </c>
      <c r="C12" t="s">
        <v>22</v>
      </c>
      <c r="D12" s="2">
        <v>18</v>
      </c>
      <c r="E12" s="2">
        <v>14.5</v>
      </c>
      <c r="F12" t="s">
        <v>50</v>
      </c>
    </row>
    <row r="13" spans="1:6" x14ac:dyDescent="0.25">
      <c r="A13" s="1">
        <v>46071</v>
      </c>
      <c r="B13" t="s">
        <v>8</v>
      </c>
      <c r="C13" t="s">
        <v>23</v>
      </c>
      <c r="D13" s="2">
        <v>1.8</v>
      </c>
      <c r="E13" s="2">
        <v>1.5</v>
      </c>
      <c r="F13" t="s">
        <v>7</v>
      </c>
    </row>
    <row r="14" spans="1:6" x14ac:dyDescent="0.25">
      <c r="A14" s="1">
        <v>46071</v>
      </c>
      <c r="B14" t="s">
        <v>8</v>
      </c>
      <c r="C14" t="s">
        <v>24</v>
      </c>
      <c r="D14" s="2">
        <v>1.2</v>
      </c>
      <c r="E14" s="2">
        <v>1</v>
      </c>
      <c r="F14" t="s">
        <v>7</v>
      </c>
    </row>
    <row r="15" spans="1:6" x14ac:dyDescent="0.25">
      <c r="A15" s="1">
        <v>46071</v>
      </c>
      <c r="B15" t="s">
        <v>8</v>
      </c>
      <c r="C15" t="s">
        <v>25</v>
      </c>
      <c r="D15" s="2">
        <v>0.45</v>
      </c>
      <c r="E15" s="2">
        <v>0.38</v>
      </c>
      <c r="F15" t="s">
        <v>7</v>
      </c>
    </row>
    <row r="16" spans="1:6" x14ac:dyDescent="0.25">
      <c r="A16" s="1">
        <v>46071</v>
      </c>
      <c r="B16" t="s">
        <v>8</v>
      </c>
      <c r="C16" t="s">
        <v>26</v>
      </c>
      <c r="D16" s="2">
        <v>0.55000000000000004</v>
      </c>
      <c r="E16" s="2">
        <v>0.6</v>
      </c>
      <c r="F16" t="s">
        <v>52</v>
      </c>
    </row>
    <row r="17" spans="1:6" x14ac:dyDescent="0.25">
      <c r="A17" s="1">
        <v>46071</v>
      </c>
      <c r="B17" t="s">
        <v>8</v>
      </c>
      <c r="C17" t="s">
        <v>27</v>
      </c>
      <c r="D17" s="2" t="s">
        <v>54</v>
      </c>
      <c r="E17" s="2" t="s">
        <v>55</v>
      </c>
      <c r="F17" t="s">
        <v>56</v>
      </c>
    </row>
    <row r="18" spans="1:6" x14ac:dyDescent="0.25">
      <c r="A18" s="1">
        <v>46071</v>
      </c>
      <c r="B18" t="s">
        <v>8</v>
      </c>
      <c r="C18" t="s">
        <v>28</v>
      </c>
      <c r="D18" s="2">
        <v>2.1</v>
      </c>
      <c r="E18" s="2">
        <v>2.4</v>
      </c>
      <c r="F18" t="s">
        <v>53</v>
      </c>
    </row>
    <row r="19" spans="1:6" x14ac:dyDescent="0.25">
      <c r="A19" s="1">
        <v>46071</v>
      </c>
      <c r="B19" t="s">
        <v>8</v>
      </c>
      <c r="C19" t="s">
        <v>29</v>
      </c>
      <c r="D19" s="2" t="s">
        <v>57</v>
      </c>
      <c r="E19" s="2" t="s">
        <v>58</v>
      </c>
      <c r="F19" t="s">
        <v>53</v>
      </c>
    </row>
    <row r="20" spans="1:6" x14ac:dyDescent="0.25">
      <c r="A20" s="1">
        <v>46071</v>
      </c>
      <c r="B20" t="s">
        <v>8</v>
      </c>
      <c r="C20" t="s">
        <v>30</v>
      </c>
      <c r="D20" s="2" t="s">
        <v>59</v>
      </c>
      <c r="E20" s="2" t="s">
        <v>60</v>
      </c>
      <c r="F20" t="s">
        <v>53</v>
      </c>
    </row>
    <row r="21" spans="1:6" x14ac:dyDescent="0.25">
      <c r="A21" s="1">
        <v>46071</v>
      </c>
      <c r="B21" t="s">
        <v>8</v>
      </c>
      <c r="C21" t="s">
        <v>31</v>
      </c>
      <c r="D21" s="2">
        <v>4.5</v>
      </c>
      <c r="E21" s="2">
        <v>4.0999999999999996</v>
      </c>
      <c r="F21" t="s">
        <v>50</v>
      </c>
    </row>
    <row r="22" spans="1:6" x14ac:dyDescent="0.25">
      <c r="A22" s="1">
        <v>46071</v>
      </c>
      <c r="B22" t="s">
        <v>8</v>
      </c>
      <c r="C22" t="s">
        <v>32</v>
      </c>
      <c r="D22" s="2" t="s">
        <v>61</v>
      </c>
      <c r="E22" s="2" t="s">
        <v>62</v>
      </c>
      <c r="F22" t="s">
        <v>53</v>
      </c>
    </row>
    <row r="23" spans="1:6" x14ac:dyDescent="0.25">
      <c r="A23" s="1">
        <v>46071</v>
      </c>
      <c r="B23" t="s">
        <v>8</v>
      </c>
      <c r="C23" t="s">
        <v>33</v>
      </c>
      <c r="D23" s="2" t="s">
        <v>63</v>
      </c>
      <c r="E23" s="2" t="s">
        <v>64</v>
      </c>
      <c r="F23" t="s">
        <v>53</v>
      </c>
    </row>
    <row r="24" spans="1:6" x14ac:dyDescent="0.25">
      <c r="A24" s="1">
        <v>46071</v>
      </c>
      <c r="B24" t="s">
        <v>8</v>
      </c>
      <c r="C24" t="s">
        <v>34</v>
      </c>
      <c r="D24" s="2">
        <v>120000</v>
      </c>
      <c r="E24" s="2">
        <v>145000</v>
      </c>
      <c r="F24" t="s">
        <v>50</v>
      </c>
    </row>
    <row r="25" spans="1:6" x14ac:dyDescent="0.25">
      <c r="A25" s="1">
        <v>46071</v>
      </c>
      <c r="B25" t="s">
        <v>8</v>
      </c>
      <c r="C25" t="s">
        <v>65</v>
      </c>
      <c r="D25" s="2">
        <v>1</v>
      </c>
      <c r="E25" s="2">
        <v>0.78</v>
      </c>
      <c r="F25" t="s">
        <v>52</v>
      </c>
    </row>
    <row r="26" spans="1:6" x14ac:dyDescent="0.25">
      <c r="A26" s="1">
        <v>46071</v>
      </c>
      <c r="B26" t="s">
        <v>8</v>
      </c>
      <c r="C26" t="s">
        <v>35</v>
      </c>
      <c r="D26" s="2">
        <v>0</v>
      </c>
      <c r="E26" s="2">
        <v>-110000</v>
      </c>
      <c r="F26" t="s">
        <v>50</v>
      </c>
    </row>
    <row r="27" spans="1:6" x14ac:dyDescent="0.25">
      <c r="A27" s="1">
        <v>46071</v>
      </c>
      <c r="B27" t="s">
        <v>8</v>
      </c>
      <c r="C27" t="s">
        <v>36</v>
      </c>
      <c r="D27" s="2">
        <v>0</v>
      </c>
      <c r="E27" s="2">
        <v>-0.22</v>
      </c>
      <c r="F27" t="s">
        <v>52</v>
      </c>
    </row>
    <row r="28" spans="1:6" x14ac:dyDescent="0.25">
      <c r="A28" s="1">
        <v>46071</v>
      </c>
      <c r="B28" t="s">
        <v>8</v>
      </c>
      <c r="C28" t="s">
        <v>37</v>
      </c>
      <c r="D28" s="2">
        <v>3.2</v>
      </c>
      <c r="E28" s="2">
        <v>2.4</v>
      </c>
      <c r="F28" t="s">
        <v>7</v>
      </c>
    </row>
    <row r="29" spans="1:6" x14ac:dyDescent="0.25">
      <c r="A29" s="1">
        <v>46071</v>
      </c>
      <c r="B29" t="s">
        <v>8</v>
      </c>
      <c r="C29" t="s">
        <v>38</v>
      </c>
      <c r="D29" s="2">
        <v>80000</v>
      </c>
      <c r="E29" s="2">
        <v>62000</v>
      </c>
      <c r="F29" t="s">
        <v>50</v>
      </c>
    </row>
    <row r="30" spans="1:6" x14ac:dyDescent="0.25">
      <c r="A30" s="1">
        <v>46071</v>
      </c>
      <c r="B30" t="s">
        <v>8</v>
      </c>
      <c r="C30" t="s">
        <v>39</v>
      </c>
      <c r="D30" s="2">
        <v>110000</v>
      </c>
      <c r="E30" s="2">
        <v>55000</v>
      </c>
      <c r="F30" t="s">
        <v>50</v>
      </c>
    </row>
    <row r="31" spans="1:6" x14ac:dyDescent="0.25">
      <c r="A31" s="1">
        <v>46071</v>
      </c>
      <c r="B31" t="s">
        <v>8</v>
      </c>
      <c r="C31" t="s">
        <v>40</v>
      </c>
      <c r="D31" s="2">
        <v>0.04</v>
      </c>
      <c r="E31" s="2">
        <v>7.0000000000000007E-2</v>
      </c>
      <c r="F31" t="s">
        <v>52</v>
      </c>
    </row>
    <row r="32" spans="1:6" x14ac:dyDescent="0.25">
      <c r="A32" s="1">
        <v>46071</v>
      </c>
      <c r="B32" t="s">
        <v>9</v>
      </c>
      <c r="C32" t="s">
        <v>66</v>
      </c>
      <c r="D32" s="2" t="s">
        <v>67</v>
      </c>
      <c r="E32" s="2" t="s">
        <v>68</v>
      </c>
      <c r="F32" t="s">
        <v>53</v>
      </c>
    </row>
    <row r="33" spans="1:6" x14ac:dyDescent="0.25">
      <c r="A33" s="1">
        <v>46071</v>
      </c>
      <c r="B33" t="s">
        <v>9</v>
      </c>
      <c r="C33" t="s">
        <v>41</v>
      </c>
      <c r="D33" s="2">
        <v>0.03</v>
      </c>
      <c r="E33" s="2">
        <v>0.05</v>
      </c>
      <c r="F33" t="s">
        <v>50</v>
      </c>
    </row>
    <row r="34" spans="1:6" x14ac:dyDescent="0.25">
      <c r="A34" s="1">
        <v>46071</v>
      </c>
      <c r="B34" t="s">
        <v>9</v>
      </c>
      <c r="C34" t="s">
        <v>42</v>
      </c>
      <c r="D34" s="2">
        <v>0.88</v>
      </c>
      <c r="E34" s="2">
        <v>0.82</v>
      </c>
      <c r="F34" t="s">
        <v>52</v>
      </c>
    </row>
    <row r="35" spans="1:6" x14ac:dyDescent="0.25">
      <c r="A35" s="1">
        <v>46071</v>
      </c>
      <c r="B35" t="s">
        <v>9</v>
      </c>
      <c r="C35" t="s">
        <v>43</v>
      </c>
      <c r="D35" s="2" t="s">
        <v>69</v>
      </c>
      <c r="E35" s="2" t="s">
        <v>70</v>
      </c>
      <c r="F35" t="s">
        <v>50</v>
      </c>
    </row>
    <row r="36" spans="1:6" x14ac:dyDescent="0.25">
      <c r="A36" s="1">
        <v>46071</v>
      </c>
      <c r="B36" t="s">
        <v>9</v>
      </c>
      <c r="C36" t="s">
        <v>71</v>
      </c>
      <c r="D36" s="2">
        <v>0.95</v>
      </c>
      <c r="E36" s="2">
        <v>0.9</v>
      </c>
      <c r="F36" t="s">
        <v>7</v>
      </c>
    </row>
    <row r="37" spans="1:6" x14ac:dyDescent="0.25">
      <c r="A37" s="1">
        <v>46071</v>
      </c>
      <c r="B37" t="s">
        <v>9</v>
      </c>
      <c r="C37" t="s">
        <v>72</v>
      </c>
      <c r="D37" s="2">
        <v>0.9</v>
      </c>
      <c r="E37" s="2">
        <v>0.85</v>
      </c>
      <c r="F37" t="s">
        <v>7</v>
      </c>
    </row>
    <row r="38" spans="1:6" x14ac:dyDescent="0.25">
      <c r="A38" s="1">
        <v>46071</v>
      </c>
      <c r="B38" t="s">
        <v>9</v>
      </c>
      <c r="C38" t="s">
        <v>73</v>
      </c>
      <c r="D38" s="2">
        <v>0.92</v>
      </c>
      <c r="E38" s="2">
        <v>0.87</v>
      </c>
      <c r="F38" t="s">
        <v>52</v>
      </c>
    </row>
    <row r="39" spans="1:6" x14ac:dyDescent="0.25">
      <c r="A39" s="1">
        <v>46071</v>
      </c>
      <c r="B39" t="s">
        <v>9</v>
      </c>
      <c r="C39" t="s">
        <v>74</v>
      </c>
      <c r="D39" s="2">
        <v>0.8</v>
      </c>
      <c r="E39" s="2">
        <v>0.7</v>
      </c>
      <c r="F39" t="s">
        <v>7</v>
      </c>
    </row>
    <row r="40" spans="1:6" x14ac:dyDescent="0.25">
      <c r="A40" s="1">
        <v>46071</v>
      </c>
      <c r="B40" t="s">
        <v>9</v>
      </c>
      <c r="C40" t="s">
        <v>75</v>
      </c>
      <c r="D40" s="2">
        <v>1</v>
      </c>
      <c r="E40" s="2">
        <v>0.95</v>
      </c>
      <c r="F40" t="s">
        <v>7</v>
      </c>
    </row>
    <row r="41" spans="1:6" x14ac:dyDescent="0.25">
      <c r="A41" s="1">
        <v>46071</v>
      </c>
      <c r="B41" t="s">
        <v>9</v>
      </c>
      <c r="C41" t="s">
        <v>44</v>
      </c>
      <c r="D41" s="2" t="s">
        <v>76</v>
      </c>
      <c r="E41" s="2" t="s">
        <v>77</v>
      </c>
      <c r="F41" t="s">
        <v>53</v>
      </c>
    </row>
    <row r="42" spans="1:6" x14ac:dyDescent="0.25">
      <c r="A42" s="1">
        <v>46071</v>
      </c>
      <c r="B42" t="s">
        <v>9</v>
      </c>
      <c r="C42" t="s">
        <v>78</v>
      </c>
      <c r="D42" s="2">
        <v>0.85</v>
      </c>
      <c r="E42" s="2">
        <v>0.72</v>
      </c>
      <c r="F42" t="s">
        <v>52</v>
      </c>
    </row>
    <row r="43" spans="1:6" x14ac:dyDescent="0.25">
      <c r="A43" s="1">
        <v>46071</v>
      </c>
      <c r="B43" t="s">
        <v>9</v>
      </c>
      <c r="C43" t="s">
        <v>79</v>
      </c>
      <c r="D43" s="2">
        <v>2</v>
      </c>
      <c r="E43" s="2">
        <v>1</v>
      </c>
      <c r="F43" t="s">
        <v>50</v>
      </c>
    </row>
    <row r="44" spans="1:6" x14ac:dyDescent="0.25">
      <c r="A44" s="1">
        <v>46071</v>
      </c>
      <c r="B44" t="s">
        <v>10</v>
      </c>
      <c r="C44" t="s">
        <v>80</v>
      </c>
      <c r="D44" s="2">
        <v>1</v>
      </c>
      <c r="E44" s="2">
        <v>0.92</v>
      </c>
      <c r="F44" t="s">
        <v>7</v>
      </c>
    </row>
    <row r="45" spans="1:6" x14ac:dyDescent="0.25">
      <c r="A45" s="1">
        <v>46071</v>
      </c>
      <c r="B45" t="s">
        <v>10</v>
      </c>
      <c r="C45" t="s">
        <v>81</v>
      </c>
      <c r="D45" s="2">
        <v>0.95</v>
      </c>
      <c r="E45" s="2">
        <v>0.88</v>
      </c>
      <c r="F45" t="s">
        <v>7</v>
      </c>
    </row>
    <row r="46" spans="1:6" x14ac:dyDescent="0.25">
      <c r="A46" s="1">
        <v>46071</v>
      </c>
      <c r="B46" t="s">
        <v>10</v>
      </c>
      <c r="C46" t="s">
        <v>82</v>
      </c>
      <c r="D46" s="2">
        <v>0.9</v>
      </c>
      <c r="E46" s="2">
        <v>0.8</v>
      </c>
      <c r="F46" t="s">
        <v>7</v>
      </c>
    </row>
    <row r="47" spans="1:6" x14ac:dyDescent="0.25">
      <c r="A47" s="1">
        <v>46071</v>
      </c>
      <c r="B47" t="s">
        <v>10</v>
      </c>
      <c r="C47" t="s">
        <v>83</v>
      </c>
      <c r="D47" s="2">
        <v>0.85</v>
      </c>
      <c r="E47" s="2">
        <v>0.78</v>
      </c>
      <c r="F47" t="s">
        <v>52</v>
      </c>
    </row>
    <row r="48" spans="1:6" x14ac:dyDescent="0.25">
      <c r="A48" s="1">
        <v>46071</v>
      </c>
      <c r="B48" t="s">
        <v>10</v>
      </c>
      <c r="C48" t="s">
        <v>84</v>
      </c>
      <c r="D48" s="2">
        <v>1</v>
      </c>
      <c r="E48" s="2">
        <v>0.94</v>
      </c>
      <c r="F48" t="s">
        <v>7</v>
      </c>
    </row>
    <row r="49" spans="1:6" x14ac:dyDescent="0.25">
      <c r="A49" s="1">
        <v>46071</v>
      </c>
      <c r="B49" t="s">
        <v>10</v>
      </c>
      <c r="C49" t="s">
        <v>85</v>
      </c>
      <c r="D49" s="2">
        <v>1</v>
      </c>
      <c r="E49" s="2">
        <v>0.97</v>
      </c>
      <c r="F49" t="s">
        <v>7</v>
      </c>
    </row>
    <row r="50" spans="1:6" x14ac:dyDescent="0.25">
      <c r="A50" s="1">
        <v>46071</v>
      </c>
      <c r="B50" t="s">
        <v>10</v>
      </c>
      <c r="C50" t="s">
        <v>86</v>
      </c>
      <c r="D50" s="2">
        <v>0.95</v>
      </c>
      <c r="E50" s="2">
        <v>0.89</v>
      </c>
      <c r="F50" t="s">
        <v>7</v>
      </c>
    </row>
    <row r="51" spans="1:6" x14ac:dyDescent="0.25">
      <c r="A51" s="1">
        <v>46071</v>
      </c>
      <c r="B51" t="s">
        <v>10</v>
      </c>
      <c r="C51" t="s">
        <v>87</v>
      </c>
      <c r="D51" s="2">
        <v>0.98</v>
      </c>
      <c r="E51" s="2">
        <v>0.93</v>
      </c>
      <c r="F51" t="s">
        <v>7</v>
      </c>
    </row>
    <row r="52" spans="1:6" x14ac:dyDescent="0.25">
      <c r="A52" s="1">
        <v>46071</v>
      </c>
      <c r="B52" t="s">
        <v>10</v>
      </c>
      <c r="C52" t="s">
        <v>88</v>
      </c>
      <c r="D52" s="2" t="s">
        <v>67</v>
      </c>
      <c r="E52" s="2" t="s">
        <v>68</v>
      </c>
      <c r="F52" t="s">
        <v>53</v>
      </c>
    </row>
    <row r="53" spans="1:6" x14ac:dyDescent="0.25">
      <c r="A53" s="1">
        <v>46071</v>
      </c>
      <c r="B53" t="s">
        <v>10</v>
      </c>
      <c r="C53" t="s">
        <v>89</v>
      </c>
      <c r="D53" s="2">
        <v>0.9</v>
      </c>
      <c r="E53" s="2">
        <v>0.75</v>
      </c>
      <c r="F53" t="s">
        <v>7</v>
      </c>
    </row>
    <row r="54" spans="1:6" x14ac:dyDescent="0.25">
      <c r="A54" s="1">
        <v>46071</v>
      </c>
      <c r="B54" t="s">
        <v>10</v>
      </c>
      <c r="C54" t="s">
        <v>90</v>
      </c>
      <c r="D54" s="2">
        <v>0.85</v>
      </c>
      <c r="E54" s="2">
        <v>0.7</v>
      </c>
      <c r="F54" t="s">
        <v>52</v>
      </c>
    </row>
    <row r="55" spans="1:6" x14ac:dyDescent="0.25">
      <c r="A55" s="1">
        <v>46071</v>
      </c>
      <c r="B55" t="s">
        <v>10</v>
      </c>
      <c r="C55" t="s">
        <v>91</v>
      </c>
      <c r="D55" s="2">
        <v>0.95</v>
      </c>
      <c r="E55" s="2">
        <v>0.88</v>
      </c>
      <c r="F55" t="s">
        <v>7</v>
      </c>
    </row>
    <row r="56" spans="1:6" x14ac:dyDescent="0.25">
      <c r="A56" s="1">
        <v>46071</v>
      </c>
      <c r="B56" t="s">
        <v>10</v>
      </c>
      <c r="C56" t="s">
        <v>92</v>
      </c>
      <c r="D56" s="2">
        <v>0.9</v>
      </c>
      <c r="E56" s="2">
        <v>0.72</v>
      </c>
      <c r="F56" t="s">
        <v>7</v>
      </c>
    </row>
    <row r="57" spans="1:6" x14ac:dyDescent="0.25">
      <c r="A57" s="1">
        <v>46071</v>
      </c>
      <c r="B57" t="s">
        <v>10</v>
      </c>
      <c r="C57" t="s">
        <v>93</v>
      </c>
      <c r="D57" s="2">
        <v>0.85</v>
      </c>
      <c r="E57" s="2">
        <v>0.78</v>
      </c>
      <c r="F57" t="s">
        <v>52</v>
      </c>
    </row>
    <row r="58" spans="1:6" x14ac:dyDescent="0.25">
      <c r="A58" s="1">
        <v>46071</v>
      </c>
      <c r="B58" t="s">
        <v>10</v>
      </c>
      <c r="C58" t="s">
        <v>94</v>
      </c>
      <c r="D58" s="2">
        <v>0.8</v>
      </c>
      <c r="E58" s="2">
        <v>0.65</v>
      </c>
      <c r="F58" t="s">
        <v>7</v>
      </c>
    </row>
    <row r="59" spans="1:6" x14ac:dyDescent="0.25">
      <c r="A59" s="1">
        <v>46071</v>
      </c>
      <c r="B59" t="s">
        <v>10</v>
      </c>
      <c r="C59" t="s">
        <v>95</v>
      </c>
      <c r="D59" s="2">
        <v>0.9</v>
      </c>
      <c r="E59" s="2">
        <v>0.76</v>
      </c>
      <c r="F59" t="s">
        <v>7</v>
      </c>
    </row>
    <row r="60" spans="1:6" x14ac:dyDescent="0.25">
      <c r="A60" s="1">
        <v>46071</v>
      </c>
      <c r="B60" t="s">
        <v>10</v>
      </c>
      <c r="C60" t="s">
        <v>96</v>
      </c>
      <c r="D60" s="2">
        <v>0.82</v>
      </c>
      <c r="E60" s="2">
        <v>0.75</v>
      </c>
      <c r="F60" t="s">
        <v>52</v>
      </c>
    </row>
    <row r="61" spans="1:6" x14ac:dyDescent="0.25">
      <c r="A61" s="1">
        <v>46071</v>
      </c>
      <c r="B61" t="s">
        <v>10</v>
      </c>
      <c r="C61" t="s">
        <v>45</v>
      </c>
      <c r="D61" s="2">
        <v>0.8</v>
      </c>
      <c r="E61" s="2">
        <v>0.7</v>
      </c>
      <c r="F61" t="s">
        <v>52</v>
      </c>
    </row>
    <row r="62" spans="1:6" x14ac:dyDescent="0.25">
      <c r="A62" s="1">
        <v>46071</v>
      </c>
      <c r="B62" t="s">
        <v>10</v>
      </c>
      <c r="C62" t="s">
        <v>46</v>
      </c>
      <c r="D62" s="2">
        <v>0.85</v>
      </c>
      <c r="E62" s="2">
        <v>0.78</v>
      </c>
      <c r="F62" t="s">
        <v>52</v>
      </c>
    </row>
    <row r="63" spans="1:6" x14ac:dyDescent="0.25">
      <c r="A63" s="1">
        <v>46071</v>
      </c>
      <c r="B63" t="s">
        <v>10</v>
      </c>
      <c r="C63" t="s">
        <v>97</v>
      </c>
      <c r="D63" s="2">
        <v>0.9</v>
      </c>
      <c r="E63" s="2">
        <v>0.82</v>
      </c>
      <c r="F63" t="s">
        <v>7</v>
      </c>
    </row>
    <row r="64" spans="1:6" x14ac:dyDescent="0.25">
      <c r="A64" s="1">
        <v>46071</v>
      </c>
      <c r="B64" t="s">
        <v>10</v>
      </c>
      <c r="C64" t="s">
        <v>98</v>
      </c>
      <c r="D64" s="2">
        <v>0.03</v>
      </c>
      <c r="E64" s="2">
        <v>0.05</v>
      </c>
      <c r="F64" t="s">
        <v>53</v>
      </c>
    </row>
    <row r="65" spans="1:6" x14ac:dyDescent="0.25">
      <c r="A65" s="1">
        <v>46071</v>
      </c>
      <c r="B65" t="s">
        <v>10</v>
      </c>
      <c r="C65" t="s">
        <v>99</v>
      </c>
      <c r="D65" s="2">
        <v>0.02</v>
      </c>
      <c r="E65" s="2">
        <v>3.5000000000000003E-2</v>
      </c>
      <c r="F65" t="s">
        <v>53</v>
      </c>
    </row>
    <row r="66" spans="1:6" x14ac:dyDescent="0.25">
      <c r="A66" s="1">
        <v>46071</v>
      </c>
      <c r="B66" t="s">
        <v>10</v>
      </c>
      <c r="C66" t="s">
        <v>100</v>
      </c>
      <c r="D66" s="2">
        <v>6500</v>
      </c>
      <c r="E66" s="2">
        <v>6900</v>
      </c>
      <c r="F66" t="s">
        <v>50</v>
      </c>
    </row>
    <row r="67" spans="1:6" x14ac:dyDescent="0.25">
      <c r="A67" s="1">
        <v>46071</v>
      </c>
      <c r="B67" t="s">
        <v>10</v>
      </c>
      <c r="C67" t="s">
        <v>101</v>
      </c>
      <c r="D67" s="2" t="s">
        <v>63</v>
      </c>
      <c r="E67" s="2" t="s">
        <v>102</v>
      </c>
      <c r="F67" t="s">
        <v>53</v>
      </c>
    </row>
    <row r="68" spans="1:6" x14ac:dyDescent="0.25">
      <c r="A68" s="1">
        <v>46071</v>
      </c>
      <c r="B68" t="s">
        <v>10</v>
      </c>
      <c r="C68" t="s">
        <v>103</v>
      </c>
      <c r="D68" s="2">
        <v>8</v>
      </c>
      <c r="E68" s="2">
        <v>10</v>
      </c>
      <c r="F68" t="s">
        <v>50</v>
      </c>
    </row>
    <row r="69" spans="1:6" x14ac:dyDescent="0.25">
      <c r="A69" s="1">
        <v>46071</v>
      </c>
      <c r="B69" t="s">
        <v>10</v>
      </c>
      <c r="C69" t="s">
        <v>104</v>
      </c>
      <c r="D69" s="2">
        <v>1</v>
      </c>
      <c r="E69" s="2">
        <v>0.92</v>
      </c>
      <c r="F69" t="s">
        <v>7</v>
      </c>
    </row>
    <row r="70" spans="1:6" x14ac:dyDescent="0.25">
      <c r="A70" s="1">
        <v>46071</v>
      </c>
      <c r="B70" t="s">
        <v>11</v>
      </c>
      <c r="C70" t="s">
        <v>47</v>
      </c>
      <c r="D70" s="2">
        <v>0.18</v>
      </c>
      <c r="E70" s="2">
        <v>0.14000000000000001</v>
      </c>
      <c r="F70" t="s">
        <v>52</v>
      </c>
    </row>
    <row r="71" spans="1:6" x14ac:dyDescent="0.25">
      <c r="A71" s="1">
        <v>46071</v>
      </c>
      <c r="B71" t="s">
        <v>11</v>
      </c>
      <c r="C71" t="s">
        <v>105</v>
      </c>
      <c r="D71" s="2">
        <v>0.25</v>
      </c>
      <c r="E71" s="2">
        <v>0.2</v>
      </c>
      <c r="F71" t="s">
        <v>7</v>
      </c>
    </row>
    <row r="72" spans="1:6" x14ac:dyDescent="0.25">
      <c r="A72" s="1">
        <v>46071</v>
      </c>
      <c r="B72" t="s">
        <v>11</v>
      </c>
      <c r="C72" t="s">
        <v>106</v>
      </c>
      <c r="D72" s="2" t="s">
        <v>107</v>
      </c>
      <c r="E72" s="2" t="s">
        <v>108</v>
      </c>
      <c r="F72" t="s">
        <v>53</v>
      </c>
    </row>
    <row r="73" spans="1:6" x14ac:dyDescent="0.25">
      <c r="A73" s="1">
        <v>46071</v>
      </c>
      <c r="B73" t="s">
        <v>11</v>
      </c>
      <c r="C73" t="s">
        <v>109</v>
      </c>
      <c r="D73" s="2">
        <v>850</v>
      </c>
      <c r="E73" s="2">
        <v>780</v>
      </c>
      <c r="F73" t="s">
        <v>50</v>
      </c>
    </row>
    <row r="74" spans="1:6" x14ac:dyDescent="0.25">
      <c r="A74" s="1">
        <v>46071</v>
      </c>
      <c r="B74" t="s">
        <v>11</v>
      </c>
      <c r="C74" t="s">
        <v>110</v>
      </c>
      <c r="D74" s="2">
        <v>180</v>
      </c>
      <c r="E74" s="2">
        <v>210</v>
      </c>
      <c r="F74" t="s">
        <v>50</v>
      </c>
    </row>
    <row r="75" spans="1:6" x14ac:dyDescent="0.25">
      <c r="A75" s="1">
        <v>46071</v>
      </c>
      <c r="B75" t="s">
        <v>11</v>
      </c>
      <c r="C75" t="s">
        <v>111</v>
      </c>
      <c r="D75" s="2">
        <v>0.88</v>
      </c>
      <c r="E75" s="2">
        <v>0.82</v>
      </c>
      <c r="F75" t="s">
        <v>52</v>
      </c>
    </row>
    <row r="76" spans="1:6" x14ac:dyDescent="0.25">
      <c r="A76" s="1">
        <v>46071</v>
      </c>
      <c r="B76" t="s">
        <v>11</v>
      </c>
      <c r="C76" t="s">
        <v>112</v>
      </c>
      <c r="D76" s="2">
        <v>0.9</v>
      </c>
      <c r="E76" s="2">
        <v>0.84</v>
      </c>
      <c r="F76" t="s">
        <v>52</v>
      </c>
    </row>
    <row r="77" spans="1:6" x14ac:dyDescent="0.25">
      <c r="A77" s="1">
        <v>46071</v>
      </c>
      <c r="B77" t="s">
        <v>11</v>
      </c>
      <c r="C77" t="s">
        <v>113</v>
      </c>
      <c r="D77" s="2">
        <v>65</v>
      </c>
      <c r="E77" s="2">
        <v>58</v>
      </c>
      <c r="F77" t="s">
        <v>52</v>
      </c>
    </row>
    <row r="78" spans="1:6" x14ac:dyDescent="0.25">
      <c r="A78" s="1">
        <v>46071</v>
      </c>
      <c r="B78" t="s">
        <v>11</v>
      </c>
      <c r="C78" t="s">
        <v>114</v>
      </c>
      <c r="D78" s="2">
        <v>3500</v>
      </c>
      <c r="E78" s="2">
        <v>3000</v>
      </c>
      <c r="F78" t="s">
        <v>50</v>
      </c>
    </row>
    <row r="79" spans="1:6" x14ac:dyDescent="0.25">
      <c r="A79" s="1">
        <v>46071</v>
      </c>
      <c r="B79" t="s">
        <v>11</v>
      </c>
      <c r="C79" t="s">
        <v>115</v>
      </c>
      <c r="D79" s="2">
        <v>2.5000000000000001E-2</v>
      </c>
      <c r="E79" s="2">
        <v>3.7999999999999999E-2</v>
      </c>
      <c r="F79" t="s">
        <v>53</v>
      </c>
    </row>
    <row r="80" spans="1:6" x14ac:dyDescent="0.25">
      <c r="A80" s="1">
        <v>46071</v>
      </c>
      <c r="B80" t="s">
        <v>11</v>
      </c>
      <c r="C80" t="s">
        <v>116</v>
      </c>
      <c r="D80" s="2">
        <v>0.12</v>
      </c>
      <c r="E80" s="2">
        <v>0.1</v>
      </c>
      <c r="F80" t="s">
        <v>50</v>
      </c>
    </row>
    <row r="81" spans="1:6" x14ac:dyDescent="0.25">
      <c r="A81" s="1">
        <v>46071</v>
      </c>
      <c r="B81" t="s">
        <v>11</v>
      </c>
      <c r="C81" t="s">
        <v>117</v>
      </c>
      <c r="D81" s="2">
        <v>1</v>
      </c>
      <c r="E81" s="2">
        <v>0.82</v>
      </c>
      <c r="F81" t="s">
        <v>52</v>
      </c>
    </row>
    <row r="82" spans="1:6" x14ac:dyDescent="0.25">
      <c r="A82" s="1">
        <v>46071</v>
      </c>
      <c r="B82" t="s">
        <v>11</v>
      </c>
      <c r="C82" t="s">
        <v>118</v>
      </c>
      <c r="D82" s="2">
        <v>0.12</v>
      </c>
      <c r="E82" s="2">
        <v>7.0000000000000007E-2</v>
      </c>
      <c r="F82" t="s">
        <v>53</v>
      </c>
    </row>
    <row r="83" spans="1:6" x14ac:dyDescent="0.25">
      <c r="A83" s="1">
        <v>46071</v>
      </c>
      <c r="B83" t="s">
        <v>11</v>
      </c>
      <c r="C83" t="s">
        <v>119</v>
      </c>
      <c r="D83" s="2" t="s">
        <v>120</v>
      </c>
      <c r="E83" s="2" t="s">
        <v>121</v>
      </c>
      <c r="F83" t="s">
        <v>56</v>
      </c>
    </row>
    <row r="84" spans="1:6" x14ac:dyDescent="0.25">
      <c r="A84" s="1">
        <v>46071</v>
      </c>
      <c r="B84" t="s">
        <v>11</v>
      </c>
      <c r="C84" t="s">
        <v>122</v>
      </c>
      <c r="D84" s="2">
        <v>45000</v>
      </c>
      <c r="E84" s="2">
        <v>38000</v>
      </c>
      <c r="F84" t="s">
        <v>50</v>
      </c>
    </row>
    <row r="85" spans="1:6" x14ac:dyDescent="0.25">
      <c r="A85" s="1">
        <v>46071</v>
      </c>
      <c r="B85" t="s">
        <v>12</v>
      </c>
      <c r="C85" t="s">
        <v>123</v>
      </c>
      <c r="D85" s="2">
        <v>0.95</v>
      </c>
      <c r="E85" s="2">
        <v>0.88</v>
      </c>
      <c r="F85" t="s">
        <v>7</v>
      </c>
    </row>
    <row r="86" spans="1:6" x14ac:dyDescent="0.25">
      <c r="A86" s="1">
        <v>46071</v>
      </c>
      <c r="B86" t="s">
        <v>12</v>
      </c>
      <c r="C86" t="s">
        <v>124</v>
      </c>
      <c r="D86" s="2" t="s">
        <v>125</v>
      </c>
      <c r="E86" s="2" t="s">
        <v>125</v>
      </c>
      <c r="F86" t="s">
        <v>126</v>
      </c>
    </row>
    <row r="87" spans="1:6" x14ac:dyDescent="0.25">
      <c r="A87" s="1">
        <v>46071</v>
      </c>
      <c r="B87" t="s">
        <v>12</v>
      </c>
      <c r="C87" t="s">
        <v>127</v>
      </c>
      <c r="D87" s="2">
        <v>0.12</v>
      </c>
      <c r="E87" s="2">
        <v>0.09</v>
      </c>
      <c r="F87" t="s">
        <v>53</v>
      </c>
    </row>
    <row r="88" spans="1:6" x14ac:dyDescent="0.25">
      <c r="A88" s="1">
        <v>46071</v>
      </c>
      <c r="B88" t="s">
        <v>12</v>
      </c>
      <c r="C88" t="s">
        <v>128</v>
      </c>
      <c r="D88" s="2">
        <v>10</v>
      </c>
      <c r="E88" s="2">
        <v>7</v>
      </c>
      <c r="F88" t="s">
        <v>50</v>
      </c>
    </row>
    <row r="89" spans="1:6" x14ac:dyDescent="0.25">
      <c r="A89" s="1">
        <v>46071</v>
      </c>
      <c r="B89" t="s">
        <v>12</v>
      </c>
      <c r="C89" t="s">
        <v>129</v>
      </c>
      <c r="D89" s="2">
        <v>6</v>
      </c>
      <c r="E89" s="2">
        <v>4</v>
      </c>
      <c r="F89" t="s">
        <v>50</v>
      </c>
    </row>
    <row r="90" spans="1:6" x14ac:dyDescent="0.25">
      <c r="A90" s="1">
        <v>46071</v>
      </c>
      <c r="B90" t="s">
        <v>12</v>
      </c>
      <c r="C90" t="s">
        <v>130</v>
      </c>
      <c r="D90" s="2">
        <v>1.4999999999999999E-2</v>
      </c>
      <c r="E90" s="2">
        <v>1.0999999999999999E-2</v>
      </c>
      <c r="F90" t="s">
        <v>50</v>
      </c>
    </row>
    <row r="91" spans="1:6" x14ac:dyDescent="0.25">
      <c r="A91" s="1">
        <v>46071</v>
      </c>
      <c r="B91" t="s">
        <v>12</v>
      </c>
      <c r="C91" t="s">
        <v>131</v>
      </c>
      <c r="D91" s="2">
        <v>4</v>
      </c>
      <c r="E91" s="2">
        <v>3</v>
      </c>
      <c r="F91" t="s">
        <v>52</v>
      </c>
    </row>
    <row r="92" spans="1:6" x14ac:dyDescent="0.25">
      <c r="A92" s="1">
        <v>46071</v>
      </c>
      <c r="B92" t="s">
        <v>12</v>
      </c>
      <c r="C92" t="s">
        <v>132</v>
      </c>
      <c r="D92" s="2">
        <v>12</v>
      </c>
      <c r="E92" s="2">
        <v>8</v>
      </c>
      <c r="F92" t="s">
        <v>50</v>
      </c>
    </row>
    <row r="93" spans="1:6" x14ac:dyDescent="0.25">
      <c r="A93" s="1">
        <f ca="1">TODAY()</f>
        <v>46099</v>
      </c>
      <c r="B93" t="s">
        <v>48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CA30-5B07-45C6-98A1-4BC0319502F8}">
  <dimension ref="A1:F66"/>
  <sheetViews>
    <sheetView showGridLines="0" workbookViewId="0">
      <pane ySplit="1" topLeftCell="A2" activePane="bottomLeft" state="frozen"/>
      <selection activeCell="B85" sqref="B85"/>
      <selection pane="bottomLeft" activeCell="C22" sqref="C22"/>
    </sheetView>
  </sheetViews>
  <sheetFormatPr defaultRowHeight="14.3" x14ac:dyDescent="0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25">
      <c r="A2" s="1">
        <v>46071</v>
      </c>
      <c r="B2" t="s">
        <v>365</v>
      </c>
      <c r="C2" t="s">
        <v>366</v>
      </c>
      <c r="D2" s="7" t="e">
        <f>D3/#REF!</f>
        <v>#REF!</v>
      </c>
      <c r="E2" s="7" t="e">
        <f>E3/#REF!</f>
        <v>#REF!</v>
      </c>
      <c r="F2" t="s">
        <v>374</v>
      </c>
    </row>
    <row r="3" spans="1:6" x14ac:dyDescent="0.25">
      <c r="A3" s="1">
        <v>46071</v>
      </c>
      <c r="B3" t="s">
        <v>365</v>
      </c>
      <c r="C3" t="s">
        <v>354</v>
      </c>
      <c r="D3" s="2">
        <v>71956.89</v>
      </c>
      <c r="E3" s="2">
        <v>60853.5</v>
      </c>
      <c r="F3" t="s">
        <v>374</v>
      </c>
    </row>
    <row r="4" spans="1:6" x14ac:dyDescent="0.25">
      <c r="A4" s="326">
        <v>46071</v>
      </c>
      <c r="B4" t="s">
        <v>365</v>
      </c>
      <c r="C4" t="s">
        <v>367</v>
      </c>
      <c r="D4" s="2">
        <v>32102.62</v>
      </c>
      <c r="E4" s="2">
        <v>29624.44</v>
      </c>
      <c r="F4" t="s">
        <v>374</v>
      </c>
    </row>
    <row r="5" spans="1:6" x14ac:dyDescent="0.25">
      <c r="A5" s="326">
        <v>46071</v>
      </c>
      <c r="B5" t="s">
        <v>365</v>
      </c>
      <c r="C5" t="s">
        <v>368</v>
      </c>
      <c r="D5" s="2">
        <v>12746.66</v>
      </c>
      <c r="E5" s="2">
        <v>12413.28</v>
      </c>
      <c r="F5" t="s">
        <v>374</v>
      </c>
    </row>
    <row r="6" spans="1:6" x14ac:dyDescent="0.25">
      <c r="A6" s="326">
        <v>46071</v>
      </c>
      <c r="B6" t="s">
        <v>365</v>
      </c>
      <c r="C6" t="s">
        <v>369</v>
      </c>
      <c r="D6" s="2">
        <v>3983.65</v>
      </c>
      <c r="E6" s="2">
        <v>5872.54</v>
      </c>
      <c r="F6" t="s">
        <v>374</v>
      </c>
    </row>
    <row r="7" spans="1:6" x14ac:dyDescent="0.25">
      <c r="A7" s="326">
        <v>46071</v>
      </c>
      <c r="B7" t="s">
        <v>365</v>
      </c>
      <c r="C7" t="s">
        <v>370</v>
      </c>
      <c r="D7" s="2">
        <v>4076.83</v>
      </c>
      <c r="F7" t="s">
        <v>374</v>
      </c>
    </row>
    <row r="8" spans="1:6" x14ac:dyDescent="0.25">
      <c r="A8" s="326">
        <v>46071</v>
      </c>
      <c r="B8" t="s">
        <v>365</v>
      </c>
      <c r="C8" t="s">
        <v>371</v>
      </c>
      <c r="D8" s="2">
        <v>2895.6</v>
      </c>
      <c r="E8" s="2">
        <v>929.53</v>
      </c>
      <c r="F8" t="s">
        <v>374</v>
      </c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phoneticPr fontId="1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9BB-66C1-4749-8C23-DF559032A5D4}">
  <sheetPr>
    <pageSetUpPr fitToPage="1"/>
  </sheetPr>
  <dimension ref="A1:Y38"/>
  <sheetViews>
    <sheetView showGridLines="0" workbookViewId="0">
      <selection activeCell="M5" sqref="M5"/>
    </sheetView>
  </sheetViews>
  <sheetFormatPr defaultRowHeight="14.3" x14ac:dyDescent="0.25"/>
  <cols>
    <col min="1" max="1" width="10.125" bestFit="1" customWidth="1"/>
    <col min="2" max="2" width="43.5" bestFit="1" customWidth="1"/>
    <col min="3" max="3" width="7.625" bestFit="1" customWidth="1"/>
    <col min="4" max="4" width="14.125" style="280" bestFit="1" customWidth="1"/>
    <col min="5" max="5" width="10.125" bestFit="1" customWidth="1"/>
    <col min="6" max="6" width="10" bestFit="1" customWidth="1"/>
    <col min="7" max="7" width="16" bestFit="1" customWidth="1"/>
    <col min="11" max="11" width="11.375" bestFit="1" customWidth="1"/>
    <col min="12" max="12" width="27.625" bestFit="1" customWidth="1"/>
    <col min="13" max="13" width="14.125" bestFit="1" customWidth="1"/>
    <col min="14" max="14" width="14.125" style="301" customWidth="1"/>
    <col min="15" max="15" width="11.375" bestFit="1" customWidth="1"/>
    <col min="16" max="16" width="32.375" bestFit="1" customWidth="1"/>
    <col min="17" max="17" width="13.125" bestFit="1" customWidth="1"/>
    <col min="21" max="21" width="11.5" bestFit="1" customWidth="1"/>
    <col min="22" max="22" width="40.5" bestFit="1" customWidth="1"/>
    <col min="23" max="24" width="15.625" bestFit="1" customWidth="1"/>
    <col min="25" max="25" width="13.5" bestFit="1" customWidth="1"/>
  </cols>
  <sheetData>
    <row r="1" spans="1:25" x14ac:dyDescent="0.25">
      <c r="A1" s="327" t="s">
        <v>337</v>
      </c>
      <c r="B1" s="327"/>
      <c r="C1" s="327"/>
      <c r="D1" s="327"/>
      <c r="E1" s="327"/>
      <c r="F1" s="327"/>
      <c r="G1" s="327"/>
    </row>
    <row r="2" spans="1:25" ht="22.45" customHeight="1" x14ac:dyDescent="0.25">
      <c r="A2" s="12" t="s">
        <v>290</v>
      </c>
      <c r="B2" s="12" t="s">
        <v>2</v>
      </c>
      <c r="C2" s="12" t="s">
        <v>338</v>
      </c>
      <c r="D2" s="285" t="s">
        <v>331</v>
      </c>
      <c r="E2" s="12" t="s">
        <v>339</v>
      </c>
      <c r="F2" s="12" t="s">
        <v>340</v>
      </c>
      <c r="G2" s="12" t="s">
        <v>341</v>
      </c>
      <c r="K2" s="328" t="s">
        <v>342</v>
      </c>
      <c r="L2" s="328"/>
      <c r="M2" s="328"/>
      <c r="N2" s="302"/>
      <c r="O2" s="328" t="s">
        <v>343</v>
      </c>
      <c r="P2" s="328"/>
      <c r="Q2" s="328"/>
      <c r="U2" s="317" t="s">
        <v>290</v>
      </c>
      <c r="V2" s="318" t="s">
        <v>2</v>
      </c>
      <c r="W2" s="319" t="s">
        <v>3</v>
      </c>
      <c r="X2" s="319" t="s">
        <v>4</v>
      </c>
      <c r="Y2" s="318" t="s">
        <v>380</v>
      </c>
    </row>
    <row r="3" spans="1:25" x14ac:dyDescent="0.25">
      <c r="A3" s="12" t="s">
        <v>292</v>
      </c>
      <c r="B3" s="299" t="s">
        <v>307</v>
      </c>
      <c r="C3" s="12"/>
      <c r="D3" s="297">
        <v>99628.87</v>
      </c>
      <c r="E3" s="12"/>
      <c r="F3" s="12"/>
      <c r="G3" s="12"/>
      <c r="K3" s="300" t="s">
        <v>290</v>
      </c>
      <c r="L3" s="294" t="s">
        <v>323</v>
      </c>
      <c r="M3" s="294" t="s">
        <v>324</v>
      </c>
      <c r="N3" s="302"/>
      <c r="O3" s="300" t="s">
        <v>290</v>
      </c>
      <c r="P3" s="294" t="s">
        <v>330</v>
      </c>
      <c r="Q3" s="294" t="s">
        <v>331</v>
      </c>
      <c r="U3" s="312" t="s">
        <v>292</v>
      </c>
      <c r="V3" s="313" t="s">
        <v>350</v>
      </c>
      <c r="W3" s="314">
        <v>128239.54</v>
      </c>
      <c r="X3" s="314">
        <v>99628.87</v>
      </c>
      <c r="Y3" s="320">
        <f>IFERROR(Tabela7[[#This Row],[REALIZADO]]/Tabela7[[#This Row],[PREVISTO]],0)</f>
        <v>0.77689665761433646</v>
      </c>
    </row>
    <row r="4" spans="1:25" x14ac:dyDescent="0.25">
      <c r="A4" s="12" t="s">
        <v>292</v>
      </c>
      <c r="B4" s="299" t="s">
        <v>308</v>
      </c>
      <c r="C4" s="12"/>
      <c r="D4" s="297">
        <v>1796497.92</v>
      </c>
      <c r="E4" s="12"/>
      <c r="F4" s="12"/>
      <c r="G4" s="12"/>
      <c r="K4" s="12" t="s">
        <v>292</v>
      </c>
      <c r="L4" s="12" t="s">
        <v>325</v>
      </c>
      <c r="M4" s="295">
        <v>24869.93</v>
      </c>
      <c r="N4" s="303"/>
      <c r="O4" s="12" t="s">
        <v>292</v>
      </c>
      <c r="P4" s="12" t="s">
        <v>332</v>
      </c>
      <c r="Q4" s="295">
        <v>2956.66</v>
      </c>
      <c r="U4" s="312" t="s">
        <v>292</v>
      </c>
      <c r="V4" s="313" t="s">
        <v>351</v>
      </c>
      <c r="W4" s="314">
        <v>1578340.8</v>
      </c>
      <c r="X4" s="314">
        <v>1796497.92</v>
      </c>
      <c r="Y4" s="320">
        <f>IFERROR(Tabela7[[#This Row],[REALIZADO]]/Tabela7[[#This Row],[PREVISTO]],0)</f>
        <v>1.1382192743164212</v>
      </c>
    </row>
    <row r="5" spans="1:25" x14ac:dyDescent="0.25">
      <c r="A5" s="12" t="s">
        <v>292</v>
      </c>
      <c r="B5" s="299" t="s">
        <v>309</v>
      </c>
      <c r="C5" s="12"/>
      <c r="D5" s="297">
        <v>1667393.65</v>
      </c>
      <c r="E5" s="12"/>
      <c r="F5" s="12"/>
      <c r="G5" s="12"/>
      <c r="K5" s="12" t="s">
        <v>292</v>
      </c>
      <c r="L5" s="12" t="s">
        <v>326</v>
      </c>
      <c r="M5" s="295">
        <v>25303.09</v>
      </c>
      <c r="N5" s="303"/>
      <c r="O5" s="12" t="s">
        <v>292</v>
      </c>
      <c r="P5" s="12" t="s">
        <v>333</v>
      </c>
      <c r="Q5" s="295">
        <v>4794</v>
      </c>
      <c r="U5" s="312" t="s">
        <v>292</v>
      </c>
      <c r="V5" s="313" t="s">
        <v>352</v>
      </c>
      <c r="W5" s="314">
        <v>1556560.83</v>
      </c>
      <c r="X5" s="314">
        <v>1503391.04</v>
      </c>
      <c r="Y5" s="320">
        <f>IFERROR(Tabela7[[#This Row],[REALIZADO]]/Tabela7[[#This Row],[PREVISTO]],0)</f>
        <v>0.96584149557457388</v>
      </c>
    </row>
    <row r="6" spans="1:25" x14ac:dyDescent="0.25">
      <c r="A6" s="12" t="s">
        <v>292</v>
      </c>
      <c r="B6" s="299" t="s">
        <v>310</v>
      </c>
      <c r="C6" s="12"/>
      <c r="D6" s="297">
        <v>1301864.8799999999</v>
      </c>
      <c r="E6" s="12"/>
      <c r="F6" s="12"/>
      <c r="G6" s="12"/>
      <c r="K6" s="12" t="s">
        <v>292</v>
      </c>
      <c r="L6" s="12" t="s">
        <v>327</v>
      </c>
      <c r="M6" s="295">
        <v>30121</v>
      </c>
      <c r="N6" s="303"/>
      <c r="O6" s="12" t="s">
        <v>292</v>
      </c>
      <c r="P6" s="12" t="s">
        <v>334</v>
      </c>
      <c r="Q6" s="295">
        <v>5694.2</v>
      </c>
      <c r="U6" s="312" t="s">
        <v>292</v>
      </c>
      <c r="V6" s="313" t="s">
        <v>353</v>
      </c>
      <c r="W6" s="314">
        <v>1519361.88</v>
      </c>
      <c r="X6" s="314">
        <v>1301864.8799999999</v>
      </c>
      <c r="Y6" s="320">
        <f>IFERROR(Tabela7[[#This Row],[REALIZADO]]/Tabela7[[#This Row],[PREVISTO]],0)</f>
        <v>0.85684977169494336</v>
      </c>
    </row>
    <row r="7" spans="1:25" x14ac:dyDescent="0.25">
      <c r="A7" s="12" t="s">
        <v>292</v>
      </c>
      <c r="B7" s="299" t="s">
        <v>311</v>
      </c>
      <c r="C7" s="12"/>
      <c r="D7" s="297">
        <v>59923.97</v>
      </c>
      <c r="E7" s="12"/>
      <c r="F7" s="12"/>
      <c r="G7" s="12"/>
      <c r="K7" s="12" t="s">
        <v>292</v>
      </c>
      <c r="L7" s="12" t="s">
        <v>328</v>
      </c>
      <c r="M7" s="295">
        <v>31797.84</v>
      </c>
      <c r="N7" s="303"/>
      <c r="O7" s="12" t="s">
        <v>292</v>
      </c>
      <c r="P7" s="12" t="s">
        <v>335</v>
      </c>
      <c r="Q7" s="295">
        <v>8400.02</v>
      </c>
      <c r="U7" s="312" t="s">
        <v>292</v>
      </c>
      <c r="V7" s="313" t="s">
        <v>355</v>
      </c>
      <c r="W7" s="314">
        <v>75657.88</v>
      </c>
      <c r="X7" s="314">
        <v>22416.49</v>
      </c>
      <c r="Y7" s="320">
        <f>IFERROR(Tabela7[[#This Row],[REALIZADO]]/Tabela7[[#This Row],[PREVISTO]],0)</f>
        <v>0.2962875777116673</v>
      </c>
    </row>
    <row r="8" spans="1:25" x14ac:dyDescent="0.25">
      <c r="A8" s="12" t="s">
        <v>292</v>
      </c>
      <c r="B8" s="299" t="s">
        <v>314</v>
      </c>
      <c r="C8" s="12"/>
      <c r="D8" s="297">
        <v>22416.49</v>
      </c>
      <c r="E8" s="12"/>
      <c r="F8" s="12"/>
      <c r="G8" s="12"/>
      <c r="K8" s="12" t="s">
        <v>292</v>
      </c>
      <c r="L8" s="12" t="s">
        <v>329</v>
      </c>
      <c r="M8" s="295">
        <v>40461.699999999997</v>
      </c>
      <c r="N8" s="303"/>
      <c r="O8" s="12" t="s">
        <v>292</v>
      </c>
      <c r="P8" s="12" t="s">
        <v>336</v>
      </c>
      <c r="Q8" s="295">
        <v>12104.66</v>
      </c>
      <c r="U8" s="312" t="s">
        <v>292</v>
      </c>
      <c r="V8" s="313" t="s">
        <v>356</v>
      </c>
      <c r="W8" s="314">
        <v>1667339.8</v>
      </c>
      <c r="X8" s="314">
        <v>1606536.6</v>
      </c>
      <c r="Y8" s="320">
        <f>IFERROR(Tabela7[[#This Row],[REALIZADO]]/Tabela7[[#This Row],[PREVISTO]],0)</f>
        <v>0.96353280836935584</v>
      </c>
    </row>
    <row r="9" spans="1:25" x14ac:dyDescent="0.25">
      <c r="A9" s="12" t="s">
        <v>292</v>
      </c>
      <c r="B9" s="299" t="s">
        <v>315</v>
      </c>
      <c r="C9" s="12"/>
      <c r="D9" s="297">
        <v>1606536.6</v>
      </c>
      <c r="E9" s="12"/>
      <c r="F9" s="12"/>
      <c r="G9" s="12"/>
      <c r="M9" s="296"/>
      <c r="N9" s="304"/>
      <c r="U9" s="312" t="s">
        <v>292</v>
      </c>
      <c r="V9" s="313" t="s">
        <v>357</v>
      </c>
      <c r="W9" s="314">
        <v>530375.25</v>
      </c>
      <c r="X9" s="314">
        <v>288855.31</v>
      </c>
      <c r="Y9" s="320">
        <f>IFERROR(Tabela7[[#This Row],[REALIZADO]]/Tabela7[[#This Row],[PREVISTO]],0)</f>
        <v>0.54462441450652155</v>
      </c>
    </row>
    <row r="10" spans="1:25" ht="28.55" x14ac:dyDescent="0.25">
      <c r="A10" s="12" t="s">
        <v>292</v>
      </c>
      <c r="B10" s="299" t="s">
        <v>316</v>
      </c>
      <c r="C10" s="12"/>
      <c r="D10" s="297"/>
      <c r="E10" s="12"/>
      <c r="F10" s="12"/>
      <c r="G10" s="12"/>
      <c r="U10" s="312" t="s">
        <v>292</v>
      </c>
      <c r="V10" s="313" t="s">
        <v>358</v>
      </c>
      <c r="W10" s="314">
        <v>391586.47</v>
      </c>
      <c r="X10" s="314">
        <v>162745.32</v>
      </c>
      <c r="Y10" s="320">
        <f>IFERROR(Tabela7[[#This Row],[REALIZADO]]/Tabela7[[#This Row],[PREVISTO]],0)</f>
        <v>0.41560506418927096</v>
      </c>
    </row>
    <row r="11" spans="1:25" ht="28.55" x14ac:dyDescent="0.25">
      <c r="A11" s="12" t="s">
        <v>292</v>
      </c>
      <c r="B11" s="299" t="s">
        <v>317</v>
      </c>
      <c r="C11" s="12"/>
      <c r="D11" s="297">
        <v>326747.93</v>
      </c>
      <c r="E11" s="12"/>
      <c r="F11" s="12"/>
      <c r="G11" s="12"/>
      <c r="U11" s="312" t="s">
        <v>292</v>
      </c>
      <c r="V11" s="313" t="s">
        <v>359</v>
      </c>
      <c r="W11" s="314">
        <v>76509.75</v>
      </c>
      <c r="X11" s="314">
        <v>56091.59</v>
      </c>
      <c r="Y11" s="320">
        <f>IFERROR(Tabela7[[#This Row],[REALIZADO]]/Tabela7[[#This Row],[PREVISTO]],0)</f>
        <v>0.73312996056058211</v>
      </c>
    </row>
    <row r="12" spans="1:25" x14ac:dyDescent="0.25">
      <c r="A12" s="12" t="s">
        <v>292</v>
      </c>
      <c r="B12" s="299" t="s">
        <v>318</v>
      </c>
      <c r="C12" s="12"/>
      <c r="D12" s="297">
        <v>56091.59</v>
      </c>
      <c r="E12" s="12"/>
      <c r="F12" s="12"/>
      <c r="G12" s="12"/>
      <c r="U12" s="312" t="s">
        <v>292</v>
      </c>
      <c r="V12" s="313" t="s">
        <v>360</v>
      </c>
      <c r="W12" s="314">
        <v>169456.11</v>
      </c>
      <c r="X12" s="314">
        <v>152553.56</v>
      </c>
      <c r="Y12" s="320">
        <f>IFERROR(Tabela7[[#This Row],[REALIZADO]]/Tabela7[[#This Row],[PREVISTO]],0)</f>
        <v>0.90025411299716496</v>
      </c>
    </row>
    <row r="13" spans="1:25" x14ac:dyDescent="0.25">
      <c r="A13" s="12" t="s">
        <v>292</v>
      </c>
      <c r="B13" s="299" t="s">
        <v>319</v>
      </c>
      <c r="C13" s="12"/>
      <c r="D13" s="298">
        <v>152553.56</v>
      </c>
      <c r="E13" s="12"/>
      <c r="F13" s="12"/>
      <c r="G13" s="12"/>
      <c r="U13" s="312" t="s">
        <v>292</v>
      </c>
      <c r="V13" s="313" t="s">
        <v>361</v>
      </c>
      <c r="W13" s="314">
        <v>39811.19</v>
      </c>
      <c r="X13" s="314">
        <v>33949.54</v>
      </c>
      <c r="Y13" s="320">
        <f>IFERROR(Tabela7[[#This Row],[REALIZADO]]/Tabela7[[#This Row],[PREVISTO]],0)</f>
        <v>0.85276375812930982</v>
      </c>
    </row>
    <row r="14" spans="1:25" x14ac:dyDescent="0.25">
      <c r="A14" s="12" t="s">
        <v>292</v>
      </c>
      <c r="B14" s="299" t="s">
        <v>320</v>
      </c>
      <c r="C14" s="12"/>
      <c r="D14" s="297">
        <v>33949.54</v>
      </c>
      <c r="E14" s="12"/>
      <c r="F14" s="12"/>
      <c r="G14" s="12"/>
      <c r="U14" s="312" t="s">
        <v>292</v>
      </c>
      <c r="V14" s="313" t="s">
        <v>362</v>
      </c>
      <c r="W14" s="314">
        <v>331808.28999999998</v>
      </c>
      <c r="X14" s="314">
        <v>455960.81</v>
      </c>
      <c r="Y14" s="320">
        <f>IFERROR(Tabela7[[#This Row],[REALIZADO]]/Tabela7[[#This Row],[PREVISTO]],0)</f>
        <v>1.374169433801669</v>
      </c>
    </row>
    <row r="15" spans="1:25" x14ac:dyDescent="0.25">
      <c r="A15" s="12" t="s">
        <v>292</v>
      </c>
      <c r="B15" s="299" t="s">
        <v>321</v>
      </c>
      <c r="C15" s="12"/>
      <c r="D15" s="297"/>
      <c r="E15" s="12"/>
      <c r="F15" s="12"/>
      <c r="G15" s="12"/>
      <c r="U15" s="312" t="s">
        <v>292</v>
      </c>
      <c r="V15" s="313" t="s">
        <v>363</v>
      </c>
      <c r="W15" s="314">
        <v>0</v>
      </c>
      <c r="X15" s="314">
        <v>1356858.97</v>
      </c>
      <c r="Y15" s="320">
        <f>IFERROR(Tabela7[[#This Row],[REALIZADO]]/Tabela7[[#This Row],[PREVISTO]],0)</f>
        <v>0</v>
      </c>
    </row>
    <row r="16" spans="1:25" x14ac:dyDescent="0.25">
      <c r="A16" s="12" t="s">
        <v>292</v>
      </c>
      <c r="B16" s="299" t="s">
        <v>322</v>
      </c>
      <c r="C16" s="12"/>
      <c r="D16" s="297" t="s">
        <v>270</v>
      </c>
      <c r="E16" s="12"/>
      <c r="F16" s="12"/>
      <c r="G16" s="12"/>
      <c r="U16" s="312" t="s">
        <v>292</v>
      </c>
      <c r="V16" s="313" t="s">
        <v>363</v>
      </c>
      <c r="W16" s="314">
        <v>0</v>
      </c>
      <c r="X16" s="314">
        <v>1273982.51</v>
      </c>
      <c r="Y16" s="320">
        <f>IFERROR(Tabela7[[#This Row],[REALIZADO]]/Tabela7[[#This Row],[PREVISTO]],0)</f>
        <v>0</v>
      </c>
    </row>
    <row r="17" spans="1:25" x14ac:dyDescent="0.25">
      <c r="A17" s="12"/>
      <c r="B17" s="12"/>
      <c r="C17" s="12"/>
      <c r="D17" s="285"/>
      <c r="E17" s="12"/>
      <c r="F17" s="12"/>
      <c r="G17" s="12"/>
      <c r="U17" s="312" t="s">
        <v>292</v>
      </c>
      <c r="V17" s="313" t="s">
        <v>363</v>
      </c>
      <c r="W17" s="314">
        <v>0</v>
      </c>
      <c r="X17" s="314">
        <v>40632.07</v>
      </c>
      <c r="Y17" s="320">
        <f>IFERROR(Tabela7[[#This Row],[REALIZADO]]/Tabela7[[#This Row],[PREVISTO]],0)</f>
        <v>0</v>
      </c>
    </row>
    <row r="18" spans="1:25" x14ac:dyDescent="0.25">
      <c r="A18" s="12"/>
      <c r="B18" s="12"/>
      <c r="C18" s="12"/>
      <c r="D18" s="285"/>
      <c r="E18" s="12"/>
      <c r="F18" s="12"/>
      <c r="G18" s="12"/>
      <c r="U18" s="316" t="s">
        <v>381</v>
      </c>
      <c r="V18" s="315" t="s">
        <v>350</v>
      </c>
      <c r="W18" s="314"/>
      <c r="X18" s="314"/>
      <c r="Y18" s="320">
        <f>IFERROR(Tabela7[[#This Row],[REALIZADO]]/Tabela7[[#This Row],[PREVISTO]],0)</f>
        <v>0</v>
      </c>
    </row>
    <row r="19" spans="1:25" x14ac:dyDescent="0.25">
      <c r="A19" s="12"/>
      <c r="B19" s="12"/>
      <c r="C19" s="12"/>
      <c r="D19" s="285"/>
      <c r="E19" s="12"/>
      <c r="F19" s="12"/>
      <c r="G19" s="12"/>
      <c r="U19" s="316" t="s">
        <v>381</v>
      </c>
      <c r="V19" s="315" t="s">
        <v>351</v>
      </c>
      <c r="W19" s="314"/>
      <c r="X19" s="314"/>
      <c r="Y19" s="320">
        <f>IFERROR(Tabela7[[#This Row],[REALIZADO]]/Tabela7[[#This Row],[PREVISTO]],0)</f>
        <v>0</v>
      </c>
    </row>
    <row r="20" spans="1:25" x14ac:dyDescent="0.25">
      <c r="A20" s="12"/>
      <c r="B20" s="12"/>
      <c r="C20" s="12"/>
      <c r="D20" s="285"/>
      <c r="E20" s="12"/>
      <c r="F20" s="12"/>
      <c r="G20" s="12"/>
      <c r="U20" s="316" t="s">
        <v>381</v>
      </c>
      <c r="V20" s="315" t="s">
        <v>352</v>
      </c>
      <c r="W20" s="314"/>
      <c r="X20" s="314"/>
      <c r="Y20" s="320">
        <f>IFERROR(Tabela7[[#This Row],[REALIZADO]]/Tabela7[[#This Row],[PREVISTO]],0)</f>
        <v>0</v>
      </c>
    </row>
    <row r="21" spans="1:25" x14ac:dyDescent="0.25">
      <c r="A21" s="12"/>
      <c r="B21" s="12"/>
      <c r="C21" s="12"/>
      <c r="D21" s="285"/>
      <c r="E21" s="12"/>
      <c r="F21" s="12"/>
      <c r="G21" s="12"/>
      <c r="U21" s="316" t="s">
        <v>381</v>
      </c>
      <c r="V21" s="315" t="s">
        <v>353</v>
      </c>
      <c r="W21" s="314"/>
      <c r="X21" s="314"/>
      <c r="Y21" s="320">
        <f>IFERROR(Tabela7[[#This Row],[REALIZADO]]/Tabela7[[#This Row],[PREVISTO]],0)</f>
        <v>0</v>
      </c>
    </row>
    <row r="22" spans="1:25" x14ac:dyDescent="0.25">
      <c r="A22" s="12"/>
      <c r="B22" s="12"/>
      <c r="C22" s="12"/>
      <c r="D22" s="285"/>
      <c r="E22" s="12"/>
      <c r="F22" s="12"/>
      <c r="G22" s="12"/>
      <c r="U22" s="316" t="s">
        <v>381</v>
      </c>
      <c r="V22" s="315" t="s">
        <v>355</v>
      </c>
      <c r="W22" s="314"/>
      <c r="X22" s="314"/>
      <c r="Y22" s="320">
        <f>IFERROR(Tabela7[[#This Row],[REALIZADO]]/Tabela7[[#This Row],[PREVISTO]],0)</f>
        <v>0</v>
      </c>
    </row>
    <row r="23" spans="1:25" x14ac:dyDescent="0.25">
      <c r="A23" s="12"/>
      <c r="B23" s="12"/>
      <c r="C23" s="12"/>
      <c r="D23" s="285"/>
      <c r="E23" s="12"/>
      <c r="F23" s="12"/>
      <c r="G23" s="12"/>
      <c r="U23" s="316" t="s">
        <v>381</v>
      </c>
      <c r="V23" s="315" t="s">
        <v>356</v>
      </c>
      <c r="W23" s="314"/>
      <c r="X23" s="314"/>
      <c r="Y23" s="320">
        <f>IFERROR(Tabela7[[#This Row],[REALIZADO]]/Tabela7[[#This Row],[PREVISTO]],0)</f>
        <v>0</v>
      </c>
    </row>
    <row r="24" spans="1:25" x14ac:dyDescent="0.25">
      <c r="A24" s="12"/>
      <c r="B24" s="12"/>
      <c r="C24" s="12"/>
      <c r="D24" s="285"/>
      <c r="E24" s="12"/>
      <c r="F24" s="12"/>
      <c r="G24" s="12"/>
      <c r="U24" s="316" t="s">
        <v>381</v>
      </c>
      <c r="V24" s="315" t="s">
        <v>357</v>
      </c>
      <c r="W24" s="314"/>
      <c r="X24" s="314"/>
      <c r="Y24" s="320">
        <f>IFERROR(Tabela7[[#This Row],[REALIZADO]]/Tabela7[[#This Row],[PREVISTO]],0)</f>
        <v>0</v>
      </c>
    </row>
    <row r="25" spans="1:25" x14ac:dyDescent="0.25">
      <c r="A25" s="12"/>
      <c r="B25" s="12"/>
      <c r="C25" s="12"/>
      <c r="D25" s="285"/>
      <c r="E25" s="12"/>
      <c r="F25" s="12"/>
      <c r="G25" s="12"/>
      <c r="U25" s="316" t="s">
        <v>381</v>
      </c>
      <c r="V25" s="315" t="s">
        <v>358</v>
      </c>
      <c r="W25" s="314"/>
      <c r="X25" s="314"/>
      <c r="Y25" s="320">
        <f>IFERROR(Tabela7[[#This Row],[REALIZADO]]/Tabela7[[#This Row],[PREVISTO]],0)</f>
        <v>0</v>
      </c>
    </row>
    <row r="26" spans="1:25" x14ac:dyDescent="0.25">
      <c r="A26" s="12"/>
      <c r="B26" s="12"/>
      <c r="C26" s="12"/>
      <c r="D26" s="285"/>
      <c r="E26" s="12"/>
      <c r="F26" s="12"/>
      <c r="G26" s="12"/>
      <c r="U26" s="316" t="s">
        <v>381</v>
      </c>
      <c r="V26" s="315" t="s">
        <v>359</v>
      </c>
      <c r="W26" s="314"/>
      <c r="X26" s="314"/>
      <c r="Y26" s="320">
        <f>IFERROR(Tabela7[[#This Row],[REALIZADO]]/Tabela7[[#This Row],[PREVISTO]],0)</f>
        <v>0</v>
      </c>
    </row>
    <row r="27" spans="1:25" x14ac:dyDescent="0.25">
      <c r="A27" s="12"/>
      <c r="B27" s="12"/>
      <c r="C27" s="12"/>
      <c r="D27" s="285"/>
      <c r="E27" s="12"/>
      <c r="F27" s="12"/>
      <c r="G27" s="12"/>
      <c r="U27" s="316" t="s">
        <v>381</v>
      </c>
      <c r="V27" s="315" t="s">
        <v>360</v>
      </c>
      <c r="W27" s="314"/>
      <c r="X27" s="314"/>
      <c r="Y27" s="320">
        <f>IFERROR(Tabela7[[#This Row],[REALIZADO]]/Tabela7[[#This Row],[PREVISTO]],0)</f>
        <v>0</v>
      </c>
    </row>
    <row r="28" spans="1:25" x14ac:dyDescent="0.25">
      <c r="A28" s="12"/>
      <c r="B28" s="12"/>
      <c r="C28" s="12"/>
      <c r="D28" s="285"/>
      <c r="E28" s="12"/>
      <c r="F28" s="12"/>
      <c r="G28" s="12"/>
      <c r="U28" s="316" t="s">
        <v>381</v>
      </c>
      <c r="V28" s="315" t="s">
        <v>361</v>
      </c>
      <c r="W28" s="314"/>
      <c r="X28" s="314"/>
      <c r="Y28" s="320">
        <f>IFERROR(Tabela7[[#This Row],[REALIZADO]]/Tabela7[[#This Row],[PREVISTO]],0)</f>
        <v>0</v>
      </c>
    </row>
    <row r="29" spans="1:25" x14ac:dyDescent="0.25">
      <c r="A29" s="12"/>
      <c r="B29" s="12"/>
      <c r="C29" s="12"/>
      <c r="D29" s="285"/>
      <c r="E29" s="12"/>
      <c r="F29" s="12"/>
      <c r="G29" s="12"/>
      <c r="U29" s="316" t="s">
        <v>381</v>
      </c>
      <c r="V29" s="315" t="s">
        <v>362</v>
      </c>
      <c r="W29" s="314"/>
      <c r="X29" s="314"/>
      <c r="Y29" s="320">
        <f>IFERROR(Tabela7[[#This Row],[REALIZADO]]/Tabela7[[#This Row],[PREVISTO]],0)</f>
        <v>0</v>
      </c>
    </row>
    <row r="30" spans="1:25" x14ac:dyDescent="0.25">
      <c r="A30" s="12"/>
      <c r="B30" s="12"/>
      <c r="C30" s="12"/>
      <c r="D30" s="285"/>
      <c r="E30" s="12"/>
      <c r="F30" s="12"/>
      <c r="G30" s="12"/>
      <c r="U30" s="316" t="s">
        <v>381</v>
      </c>
      <c r="V30" s="315" t="s">
        <v>363</v>
      </c>
      <c r="W30" s="314"/>
      <c r="X30" s="314"/>
      <c r="Y30" s="320">
        <f>IFERROR(Tabela7[[#This Row],[REALIZADO]]/Tabela7[[#This Row],[PREVISTO]],0)</f>
        <v>0</v>
      </c>
    </row>
    <row r="31" spans="1:25" x14ac:dyDescent="0.25">
      <c r="A31" s="12"/>
      <c r="B31" s="12"/>
      <c r="C31" s="12"/>
      <c r="D31" s="285"/>
      <c r="E31" s="12"/>
      <c r="F31" s="12"/>
      <c r="G31" s="12"/>
      <c r="U31" s="316" t="s">
        <v>381</v>
      </c>
      <c r="V31" s="315" t="s">
        <v>363</v>
      </c>
      <c r="W31" s="314"/>
      <c r="X31" s="314"/>
      <c r="Y31" s="320">
        <f>IFERROR(Tabela7[[#This Row],[REALIZADO]]/Tabela7[[#This Row],[PREVISTO]],0)</f>
        <v>0</v>
      </c>
    </row>
    <row r="32" spans="1:25" x14ac:dyDescent="0.25">
      <c r="A32" s="12"/>
      <c r="B32" s="12"/>
      <c r="C32" s="12"/>
      <c r="D32" s="285"/>
      <c r="E32" s="12"/>
      <c r="F32" s="12"/>
      <c r="G32" s="12"/>
      <c r="U32" s="316" t="s">
        <v>381</v>
      </c>
      <c r="V32" s="315" t="s">
        <v>363</v>
      </c>
      <c r="W32" s="314"/>
      <c r="X32" s="314"/>
      <c r="Y32" s="320">
        <f>IFERROR(Tabela7[[#This Row],[REALIZADO]]/Tabela7[[#This Row],[PREVISTO]],0)</f>
        <v>0</v>
      </c>
    </row>
    <row r="33" spans="1:7" x14ac:dyDescent="0.25">
      <c r="A33" s="12"/>
      <c r="B33" s="12"/>
      <c r="C33" s="12"/>
      <c r="D33" s="285"/>
      <c r="E33" s="12"/>
      <c r="F33" s="12"/>
      <c r="G33" s="12"/>
    </row>
    <row r="34" spans="1:7" x14ac:dyDescent="0.25">
      <c r="A34" s="12"/>
      <c r="B34" s="12"/>
      <c r="C34" s="12"/>
      <c r="D34" s="285"/>
      <c r="E34" s="12"/>
      <c r="F34" s="12"/>
      <c r="G34" s="12"/>
    </row>
    <row r="35" spans="1:7" x14ac:dyDescent="0.25">
      <c r="A35" s="12"/>
      <c r="B35" s="12"/>
      <c r="C35" s="12"/>
      <c r="D35" s="285"/>
      <c r="E35" s="12"/>
      <c r="F35" s="12"/>
      <c r="G35" s="12"/>
    </row>
    <row r="36" spans="1:7" x14ac:dyDescent="0.25">
      <c r="A36" s="12"/>
      <c r="B36" s="12"/>
      <c r="C36" s="12"/>
      <c r="D36" s="285"/>
      <c r="E36" s="12"/>
      <c r="F36" s="12"/>
      <c r="G36" s="12"/>
    </row>
    <row r="37" spans="1:7" x14ac:dyDescent="0.25">
      <c r="A37" s="12"/>
      <c r="B37" s="12"/>
      <c r="C37" s="12"/>
      <c r="D37" s="285"/>
      <c r="E37" s="12"/>
      <c r="F37" s="12"/>
      <c r="G37" s="12"/>
    </row>
    <row r="38" spans="1:7" x14ac:dyDescent="0.25">
      <c r="A38" s="12"/>
      <c r="B38" s="12"/>
      <c r="C38" s="12"/>
      <c r="D38" s="285"/>
      <c r="E38" s="12"/>
      <c r="F38" s="12"/>
      <c r="G38" s="12"/>
    </row>
  </sheetData>
  <mergeCells count="3">
    <mergeCell ref="A1:G1"/>
    <mergeCell ref="K2:M2"/>
    <mergeCell ref="O2:Q2"/>
  </mergeCells>
  <phoneticPr fontId="11" type="noConversion"/>
  <pageMargins left="0.7" right="0.7" top="0.75" bottom="0.75" header="0.3" footer="0.3"/>
  <pageSetup paperSize="9" scale="66" fitToHeight="0" orientation="landscape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624A-231E-4F57-86B7-B7EAD2415CCF}">
  <dimension ref="A1:S50"/>
  <sheetViews>
    <sheetView showGridLines="0" tabSelected="1" topLeftCell="I1" workbookViewId="0">
      <selection activeCell="Q3" sqref="Q3"/>
    </sheetView>
  </sheetViews>
  <sheetFormatPr defaultRowHeight="14.3" x14ac:dyDescent="0.25"/>
  <cols>
    <col min="1" max="1" width="16.5" bestFit="1" customWidth="1"/>
    <col min="2" max="2" width="21.25" bestFit="1" customWidth="1"/>
    <col min="3" max="3" width="14.375" bestFit="1" customWidth="1"/>
    <col min="4" max="4" width="10.875" bestFit="1" customWidth="1"/>
    <col min="5" max="5" width="16.5" bestFit="1" customWidth="1"/>
    <col min="6" max="6" width="26.25" bestFit="1" customWidth="1"/>
    <col min="7" max="7" width="4.25" customWidth="1"/>
    <col min="8" max="8" width="16.5" bestFit="1" customWidth="1"/>
    <col min="9" max="9" width="20.5" bestFit="1" customWidth="1"/>
    <col min="12" max="12" width="18.375" bestFit="1" customWidth="1"/>
    <col min="13" max="13" width="28.625" bestFit="1" customWidth="1"/>
    <col min="16" max="16" width="18" bestFit="1" customWidth="1"/>
    <col min="17" max="17" width="23.5" bestFit="1" customWidth="1"/>
    <col min="18" max="18" width="13.375" customWidth="1"/>
    <col min="19" max="19" width="20.875" bestFit="1" customWidth="1"/>
  </cols>
  <sheetData>
    <row r="1" spans="1:19" x14ac:dyDescent="0.25">
      <c r="P1" s="288" t="s">
        <v>289</v>
      </c>
      <c r="Q1" s="289" t="s">
        <v>278</v>
      </c>
      <c r="R1" s="289" t="s">
        <v>292</v>
      </c>
      <c r="S1" s="267" t="s">
        <v>303</v>
      </c>
    </row>
    <row r="2" spans="1:19" x14ac:dyDescent="0.25">
      <c r="B2" s="280">
        <f>GETPIVOTDATA("FATURAMENTO",$A$3)</f>
        <v>3353201.52</v>
      </c>
      <c r="F2">
        <f>GETPIVOTDATA("NOVOS CADASTROS ",$E$3)</f>
        <v>72</v>
      </c>
      <c r="I2">
        <f>GETPIVOTDATA("POSITIVADOS ",$H$3)</f>
        <v>38</v>
      </c>
      <c r="M2" s="7">
        <f>IFERROR(I2/F2, 0)</f>
        <v>0.52777777777777779</v>
      </c>
      <c r="P2" s="286" t="s">
        <v>281</v>
      </c>
      <c r="Q2" s="285">
        <v>63415.37</v>
      </c>
      <c r="R2" s="285">
        <v>69097.539999999994</v>
      </c>
      <c r="S2" s="287">
        <f>(R2-Q2)/Q2</f>
        <v>8.9602410267416097E-2</v>
      </c>
    </row>
    <row r="3" spans="1:19" x14ac:dyDescent="0.25">
      <c r="A3" s="18" t="s">
        <v>133</v>
      </c>
      <c r="B3" t="s">
        <v>297</v>
      </c>
      <c r="E3" s="18" t="s">
        <v>133</v>
      </c>
      <c r="F3" t="s">
        <v>364</v>
      </c>
      <c r="H3" s="18" t="s">
        <v>133</v>
      </c>
      <c r="I3" t="s">
        <v>298</v>
      </c>
      <c r="P3" s="286" t="s">
        <v>280</v>
      </c>
      <c r="Q3" s="285">
        <v>151948.82999999999</v>
      </c>
      <c r="R3" s="285">
        <v>198386.32</v>
      </c>
      <c r="S3" s="287">
        <f t="shared" ref="S3:S14" si="0">(R3-Q3)/Q3</f>
        <v>0.30561268553367621</v>
      </c>
    </row>
    <row r="4" spans="1:19" x14ac:dyDescent="0.25">
      <c r="A4" s="9" t="s">
        <v>278</v>
      </c>
      <c r="B4" s="280">
        <v>1568068.67</v>
      </c>
      <c r="E4" s="9" t="s">
        <v>278</v>
      </c>
      <c r="F4" s="14">
        <v>37</v>
      </c>
      <c r="G4" s="14"/>
      <c r="H4" s="9" t="s">
        <v>278</v>
      </c>
      <c r="I4" s="14">
        <v>23</v>
      </c>
      <c r="L4" s="12" t="s">
        <v>278</v>
      </c>
      <c r="M4" s="305">
        <f>I4/F4</f>
        <v>0.6216216216216216</v>
      </c>
      <c r="P4" s="286" t="s">
        <v>287</v>
      </c>
      <c r="Q4" s="285">
        <v>43400.49</v>
      </c>
      <c r="R4" s="285">
        <v>90578.53</v>
      </c>
      <c r="S4" s="287">
        <f t="shared" si="0"/>
        <v>1.0870393398784208</v>
      </c>
    </row>
    <row r="5" spans="1:19" x14ac:dyDescent="0.25">
      <c r="A5" s="9" t="s">
        <v>292</v>
      </c>
      <c r="B5" s="280">
        <v>1785132.85</v>
      </c>
      <c r="E5" s="9" t="s">
        <v>292</v>
      </c>
      <c r="F5" s="14">
        <v>35</v>
      </c>
      <c r="G5" s="14"/>
      <c r="H5" s="9" t="s">
        <v>292</v>
      </c>
      <c r="I5" s="14">
        <v>15</v>
      </c>
      <c r="L5" s="12" t="s">
        <v>292</v>
      </c>
      <c r="M5" s="305">
        <f>I5/F5</f>
        <v>0.42857142857142855</v>
      </c>
      <c r="P5" s="286" t="s">
        <v>284</v>
      </c>
      <c r="Q5" s="285">
        <v>4466.9799999999996</v>
      </c>
      <c r="R5" s="285">
        <v>7893.42</v>
      </c>
      <c r="S5" s="287">
        <f t="shared" si="0"/>
        <v>0.76705962417561768</v>
      </c>
    </row>
    <row r="6" spans="1:19" x14ac:dyDescent="0.25">
      <c r="A6" s="9" t="s">
        <v>160</v>
      </c>
      <c r="B6" s="280">
        <v>3353201.52</v>
      </c>
      <c r="C6" s="280"/>
      <c r="E6" s="9" t="s">
        <v>160</v>
      </c>
      <c r="F6" s="14">
        <v>72</v>
      </c>
      <c r="G6" s="14"/>
      <c r="H6" s="9" t="s">
        <v>160</v>
      </c>
      <c r="I6" s="14">
        <v>38</v>
      </c>
      <c r="P6" s="286" t="s">
        <v>377</v>
      </c>
      <c r="Q6" s="285">
        <v>621582.89</v>
      </c>
      <c r="R6" s="285">
        <v>611361.09</v>
      </c>
      <c r="S6" s="287">
        <f>(R6-Q6)/Q6</f>
        <v>-1.6444789849347441E-2</v>
      </c>
    </row>
    <row r="7" spans="1:19" x14ac:dyDescent="0.25">
      <c r="P7" s="286" t="s">
        <v>376</v>
      </c>
      <c r="Q7" s="285">
        <v>11530.23</v>
      </c>
      <c r="R7" s="285">
        <v>13773.95</v>
      </c>
      <c r="S7" s="287">
        <f>(R7-Q7)/Q7</f>
        <v>0.19459455709036172</v>
      </c>
    </row>
    <row r="8" spans="1:19" x14ac:dyDescent="0.25">
      <c r="P8" s="286" t="s">
        <v>378</v>
      </c>
      <c r="Q8" s="285">
        <v>8399.56</v>
      </c>
      <c r="R8" s="285">
        <v>34742.370000000003</v>
      </c>
      <c r="S8" s="287">
        <f>(R8-Q8)/Q8</f>
        <v>3.1362130873521954</v>
      </c>
    </row>
    <row r="9" spans="1:19" x14ac:dyDescent="0.25">
      <c r="P9" s="286" t="s">
        <v>305</v>
      </c>
      <c r="Q9" s="285">
        <v>27967.200000000001</v>
      </c>
      <c r="R9" s="285">
        <v>67412.41</v>
      </c>
      <c r="S9" s="287">
        <f t="shared" si="0"/>
        <v>1.4104096942132214</v>
      </c>
    </row>
    <row r="10" spans="1:19" x14ac:dyDescent="0.25">
      <c r="P10" s="286" t="s">
        <v>279</v>
      </c>
      <c r="Q10" s="285">
        <v>219146.11</v>
      </c>
      <c r="R10" s="285">
        <v>178980.94</v>
      </c>
      <c r="S10" s="287">
        <f t="shared" si="0"/>
        <v>-0.18328032379858344</v>
      </c>
    </row>
    <row r="11" spans="1:19" x14ac:dyDescent="0.25">
      <c r="A11" s="311" t="s">
        <v>379</v>
      </c>
      <c r="P11" s="286" t="s">
        <v>282</v>
      </c>
      <c r="Q11" s="285">
        <v>25523.71</v>
      </c>
      <c r="R11" s="285">
        <v>38237.519999999997</v>
      </c>
      <c r="S11" s="287">
        <f t="shared" si="0"/>
        <v>0.49811763258554492</v>
      </c>
    </row>
    <row r="12" spans="1:19" x14ac:dyDescent="0.25">
      <c r="A12" s="310">
        <f>GETPIVOTDATA("FATURAMENTO",$A$3,"MÊS","FEVEREIRO")
-GETPIVOTDATA("FATURAMENTO",$A$3,"MÊS","JANEIRO")</f>
        <v>217064.18000000017</v>
      </c>
      <c r="P12" s="286" t="s">
        <v>286</v>
      </c>
      <c r="Q12" s="285">
        <v>231307.25</v>
      </c>
      <c r="R12" s="285">
        <v>283757.82</v>
      </c>
      <c r="S12" s="287">
        <f t="shared" si="0"/>
        <v>0.22675713796260172</v>
      </c>
    </row>
    <row r="13" spans="1:19" x14ac:dyDescent="0.25">
      <c r="P13" s="286" t="s">
        <v>285</v>
      </c>
      <c r="Q13" s="285">
        <v>153205.51999999999</v>
      </c>
      <c r="R13" s="285">
        <v>178716.43</v>
      </c>
      <c r="S13" s="287">
        <f t="shared" si="0"/>
        <v>0.16651430052911936</v>
      </c>
    </row>
    <row r="14" spans="1:19" x14ac:dyDescent="0.25">
      <c r="A14" s="7">
        <f>IFERROR(A12 / GETPIVOTDATA("FATURAMENTO", $A$3, "MÊS", "JANEIRO"), 0)</f>
        <v>0.13842772587249014</v>
      </c>
      <c r="P14" s="290" t="s">
        <v>288</v>
      </c>
      <c r="Q14" s="291">
        <v>6174.53</v>
      </c>
      <c r="R14" s="291">
        <v>12194.51</v>
      </c>
      <c r="S14" s="292">
        <f t="shared" si="0"/>
        <v>0.97496975478295522</v>
      </c>
    </row>
    <row r="17" spans="16:17" x14ac:dyDescent="0.25">
      <c r="Q17" t="s">
        <v>306</v>
      </c>
    </row>
    <row r="18" spans="16:17" x14ac:dyDescent="0.25">
      <c r="Q18" s="3" t="str">
        <f>P20</f>
        <v>KARINY</v>
      </c>
    </row>
    <row r="19" spans="16:17" x14ac:dyDescent="0.25">
      <c r="P19" s="18" t="s">
        <v>133</v>
      </c>
      <c r="Q19" t="s">
        <v>304</v>
      </c>
    </row>
    <row r="20" spans="16:17" x14ac:dyDescent="0.25">
      <c r="P20" s="9" t="s">
        <v>378</v>
      </c>
      <c r="Q20" s="5">
        <v>3.1362130873521954</v>
      </c>
    </row>
    <row r="21" spans="16:17" x14ac:dyDescent="0.25">
      <c r="P21" s="9" t="s">
        <v>305</v>
      </c>
      <c r="Q21" s="5">
        <v>1.4104096942132214</v>
      </c>
    </row>
    <row r="22" spans="16:17" x14ac:dyDescent="0.25">
      <c r="P22" s="9" t="s">
        <v>287</v>
      </c>
      <c r="Q22" s="5">
        <v>1.0870393398784208</v>
      </c>
    </row>
    <row r="23" spans="16:17" x14ac:dyDescent="0.25">
      <c r="P23" s="9" t="s">
        <v>288</v>
      </c>
      <c r="Q23" s="5">
        <v>0.97496975478295522</v>
      </c>
    </row>
    <row r="24" spans="16:17" x14ac:dyDescent="0.25">
      <c r="P24" s="9" t="s">
        <v>284</v>
      </c>
      <c r="Q24" s="5">
        <v>0.76705962417561768</v>
      </c>
    </row>
    <row r="25" spans="16:17" x14ac:dyDescent="0.25">
      <c r="P25" s="9" t="s">
        <v>282</v>
      </c>
      <c r="Q25" s="5">
        <v>0.49811763258554492</v>
      </c>
    </row>
    <row r="26" spans="16:17" x14ac:dyDescent="0.25">
      <c r="P26" s="9" t="s">
        <v>280</v>
      </c>
      <c r="Q26" s="5">
        <v>0.30561268553367621</v>
      </c>
    </row>
    <row r="27" spans="16:17" x14ac:dyDescent="0.25">
      <c r="P27" s="9" t="s">
        <v>286</v>
      </c>
      <c r="Q27" s="5">
        <v>0.22675713796260172</v>
      </c>
    </row>
    <row r="28" spans="16:17" x14ac:dyDescent="0.25">
      <c r="P28" s="9" t="s">
        <v>376</v>
      </c>
      <c r="Q28" s="5">
        <v>0.19459455709036172</v>
      </c>
    </row>
    <row r="29" spans="16:17" x14ac:dyDescent="0.25">
      <c r="P29" s="9" t="s">
        <v>285</v>
      </c>
      <c r="Q29" s="5">
        <v>0.16651430052911936</v>
      </c>
    </row>
    <row r="30" spans="16:17" x14ac:dyDescent="0.25">
      <c r="P30" s="9" t="s">
        <v>281</v>
      </c>
      <c r="Q30" s="5">
        <v>8.9602410267416097E-2</v>
      </c>
    </row>
    <row r="31" spans="16:17" x14ac:dyDescent="0.25">
      <c r="P31" s="9" t="s">
        <v>377</v>
      </c>
      <c r="Q31" s="5">
        <v>-1.6444789849347441E-2</v>
      </c>
    </row>
    <row r="32" spans="16:17" x14ac:dyDescent="0.25">
      <c r="P32" s="9" t="s">
        <v>279</v>
      </c>
      <c r="Q32" s="5">
        <v>-0.18328032379858344</v>
      </c>
    </row>
    <row r="33" spans="16:19" x14ac:dyDescent="0.25">
      <c r="P33" s="9" t="s">
        <v>160</v>
      </c>
      <c r="Q33" s="10">
        <v>8.6571651107231986</v>
      </c>
      <c r="S33" t="s">
        <v>306</v>
      </c>
    </row>
    <row r="34" spans="16:19" x14ac:dyDescent="0.25">
      <c r="S34" t="str">
        <f>P37</f>
        <v>AMANDA</v>
      </c>
    </row>
    <row r="36" spans="16:19" x14ac:dyDescent="0.25">
      <c r="P36" t="s">
        <v>289</v>
      </c>
      <c r="Q36" t="s">
        <v>278</v>
      </c>
      <c r="R36" t="s">
        <v>292</v>
      </c>
      <c r="S36" t="s">
        <v>303</v>
      </c>
    </row>
    <row r="37" spans="16:19" x14ac:dyDescent="0.25">
      <c r="P37" s="9" t="s">
        <v>281</v>
      </c>
      <c r="Q37" s="263">
        <v>3</v>
      </c>
      <c r="R37" s="263">
        <v>4</v>
      </c>
      <c r="S37" s="293">
        <f>IFERROR((Tabela6[[#This Row],[FEVEREIRO]]-Tabela6[[#This Row],[JANEIRO]])/Tabela6[[#This Row],[JANEIRO]],0)</f>
        <v>0.33333333333333331</v>
      </c>
    </row>
    <row r="38" spans="16:19" x14ac:dyDescent="0.25">
      <c r="P38" s="9" t="s">
        <v>287</v>
      </c>
      <c r="Q38" s="263">
        <v>0</v>
      </c>
      <c r="R38" s="263">
        <v>0</v>
      </c>
      <c r="S38" s="293">
        <f>IFERROR((Tabela6[[#This Row],[FEVEREIRO]]-Tabela6[[#This Row],[JANEIRO]])/Tabela6[[#This Row],[JANEIRO]],0)</f>
        <v>0</v>
      </c>
    </row>
    <row r="39" spans="16:19" x14ac:dyDescent="0.25">
      <c r="P39" s="9" t="s">
        <v>282</v>
      </c>
      <c r="Q39" s="263">
        <v>0</v>
      </c>
      <c r="R39" s="263">
        <v>1</v>
      </c>
      <c r="S39" s="293">
        <f>IFERROR((Tabela6[[#This Row],[FEVEREIRO]]-Tabela6[[#This Row],[JANEIRO]])/Tabela6[[#This Row],[JANEIRO]],0)</f>
        <v>0</v>
      </c>
    </row>
    <row r="40" spans="16:19" x14ac:dyDescent="0.25">
      <c r="P40" s="9" t="s">
        <v>286</v>
      </c>
      <c r="Q40" s="263">
        <v>2</v>
      </c>
      <c r="R40" s="263">
        <v>2</v>
      </c>
      <c r="S40" s="293">
        <f>IFERROR((Tabela6[[#This Row],[FEVEREIRO]]-Tabela6[[#This Row],[JANEIRO]])/Tabela6[[#This Row],[JANEIRO]],0)</f>
        <v>0</v>
      </c>
    </row>
    <row r="41" spans="16:19" x14ac:dyDescent="0.25">
      <c r="P41" s="9" t="s">
        <v>377</v>
      </c>
      <c r="Q41" s="263">
        <v>0</v>
      </c>
      <c r="R41" s="263">
        <v>0</v>
      </c>
      <c r="S41" s="293">
        <f>IFERROR((Tabela6[[#This Row],[FEVEREIRO]]-Tabela6[[#This Row],[JANEIRO]])/Tabela6[[#This Row],[JANEIRO]],0)</f>
        <v>0</v>
      </c>
    </row>
    <row r="42" spans="16:19" x14ac:dyDescent="0.25">
      <c r="P42" s="9" t="s">
        <v>376</v>
      </c>
      <c r="Q42" s="263">
        <v>0</v>
      </c>
      <c r="R42" s="263">
        <v>0</v>
      </c>
      <c r="S42" s="293">
        <f>IFERROR((Tabela6[[#This Row],[FEVEREIRO]]-Tabela6[[#This Row],[JANEIRO]])/Tabela6[[#This Row],[JANEIRO]],0)</f>
        <v>0</v>
      </c>
    </row>
    <row r="43" spans="16:19" x14ac:dyDescent="0.25">
      <c r="P43" s="9" t="s">
        <v>378</v>
      </c>
      <c r="Q43" s="263">
        <v>0</v>
      </c>
      <c r="R43" s="263">
        <v>0</v>
      </c>
      <c r="S43" s="293">
        <f>IFERROR((Tabela6[[#This Row],[FEVEREIRO]]-Tabela6[[#This Row],[JANEIRO]])/Tabela6[[#This Row],[JANEIRO]],0)</f>
        <v>0</v>
      </c>
    </row>
    <row r="44" spans="16:19" x14ac:dyDescent="0.25">
      <c r="P44" s="9" t="s">
        <v>285</v>
      </c>
      <c r="Q44" s="263">
        <v>0</v>
      </c>
      <c r="R44" s="263">
        <v>1</v>
      </c>
      <c r="S44" s="293">
        <f>IFERROR((Tabela6[[#This Row],[FEVEREIRO]]-Tabela6[[#This Row],[JANEIRO]])/Tabela6[[#This Row],[JANEIRO]],0)</f>
        <v>0</v>
      </c>
    </row>
    <row r="45" spans="16:19" x14ac:dyDescent="0.25">
      <c r="P45" s="9" t="s">
        <v>288</v>
      </c>
      <c r="Q45" s="263">
        <v>3</v>
      </c>
      <c r="R45" s="263">
        <v>3</v>
      </c>
      <c r="S45" s="293">
        <f>IFERROR((Tabela6[[#This Row],[FEVEREIRO]]-Tabela6[[#This Row],[JANEIRO]])/Tabela6[[#This Row],[JANEIRO]],0)</f>
        <v>0</v>
      </c>
    </row>
    <row r="46" spans="16:19" x14ac:dyDescent="0.25">
      <c r="P46" s="9" t="s">
        <v>283</v>
      </c>
      <c r="Q46" s="263">
        <v>9</v>
      </c>
      <c r="R46" s="263">
        <v>4</v>
      </c>
      <c r="S46" s="293">
        <f>IFERROR((Tabela6[[#This Row],[FEVEREIRO]]-Tabela6[[#This Row],[JANEIRO]])/Tabela6[[#This Row],[JANEIRO]],0)</f>
        <v>-0.55555555555555558</v>
      </c>
    </row>
    <row r="47" spans="16:19" x14ac:dyDescent="0.25">
      <c r="P47" s="9" t="s">
        <v>280</v>
      </c>
      <c r="Q47" s="263">
        <v>1</v>
      </c>
      <c r="R47" s="263">
        <v>0</v>
      </c>
      <c r="S47" s="293">
        <f>IFERROR((Tabela6[[#This Row],[FEVEREIRO]]-Tabela6[[#This Row],[JANEIRO]])/Tabela6[[#This Row],[JANEIRO]],0)</f>
        <v>-1</v>
      </c>
    </row>
    <row r="48" spans="16:19" x14ac:dyDescent="0.25">
      <c r="P48" s="9" t="s">
        <v>284</v>
      </c>
      <c r="Q48" s="263">
        <v>3</v>
      </c>
      <c r="R48" s="263">
        <v>0</v>
      </c>
      <c r="S48" s="293">
        <f>IFERROR((Tabela6[[#This Row],[FEVEREIRO]]-Tabela6[[#This Row],[JANEIRO]])/Tabela6[[#This Row],[JANEIRO]],0)</f>
        <v>-1</v>
      </c>
    </row>
    <row r="49" spans="16:19" x14ac:dyDescent="0.25">
      <c r="P49" s="9" t="s">
        <v>279</v>
      </c>
      <c r="Q49" s="263">
        <v>2</v>
      </c>
      <c r="R49" s="263">
        <v>0</v>
      </c>
      <c r="S49" s="293">
        <f>IFERROR((Tabela6[[#This Row],[FEVEREIRO]]-Tabela6[[#This Row],[JANEIRO]])/Tabela6[[#This Row],[JANEIRO]],0)</f>
        <v>-1</v>
      </c>
    </row>
    <row r="50" spans="16:19" x14ac:dyDescent="0.25">
      <c r="S50" s="17"/>
    </row>
  </sheetData>
  <pageMargins left="0.511811024" right="0.511811024" top="0.78740157499999996" bottom="0.78740157499999996" header="0.31496062000000002" footer="0.31496062000000002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C08-DA83-49F9-9C7F-2073F986F0F9}">
  <dimension ref="A8:G35"/>
  <sheetViews>
    <sheetView showGridLines="0" workbookViewId="0">
      <selection activeCell="C9" sqref="C9"/>
    </sheetView>
  </sheetViews>
  <sheetFormatPr defaultRowHeight="14.3" x14ac:dyDescent="0.25"/>
  <cols>
    <col min="1" max="1" width="13.375" bestFit="1" customWidth="1"/>
    <col min="2" max="2" width="14.625" bestFit="1" customWidth="1"/>
    <col min="3" max="3" width="17.125" customWidth="1"/>
    <col min="4" max="4" width="28.125" bestFit="1" customWidth="1"/>
    <col min="5" max="5" width="24.5" bestFit="1" customWidth="1"/>
    <col min="6" max="7" width="24.375" bestFit="1" customWidth="1"/>
  </cols>
  <sheetData>
    <row r="8" spans="1:7" x14ac:dyDescent="0.25">
      <c r="A8" s="327" t="s">
        <v>293</v>
      </c>
      <c r="B8" s="327"/>
      <c r="C8" s="327"/>
    </row>
    <row r="9" spans="1:7" x14ac:dyDescent="0.25">
      <c r="A9" s="282" t="s">
        <v>299</v>
      </c>
      <c r="B9" s="270" t="s">
        <v>290</v>
      </c>
      <c r="C9" s="271" t="s">
        <v>289</v>
      </c>
      <c r="D9" s="272" t="s">
        <v>291</v>
      </c>
      <c r="E9" s="274" t="s">
        <v>294</v>
      </c>
      <c r="F9" s="275" t="s">
        <v>295</v>
      </c>
      <c r="G9" s="274" t="s">
        <v>296</v>
      </c>
    </row>
    <row r="10" spans="1:7" hidden="1" x14ac:dyDescent="0.25">
      <c r="A10" s="283" t="s">
        <v>300</v>
      </c>
      <c r="B10" s="266" t="s">
        <v>278</v>
      </c>
      <c r="C10" s="265" t="s">
        <v>279</v>
      </c>
      <c r="D10" s="264">
        <v>219146.11</v>
      </c>
      <c r="E10" s="273">
        <v>2</v>
      </c>
      <c r="F10" s="276">
        <v>2</v>
      </c>
      <c r="G10" s="279">
        <f>IFERROR(Tabela2[[#This Row],[POSITIVADOS ]]/Tabela2[[#This Row],[NOVOS CADASTROS ]],0)</f>
        <v>1</v>
      </c>
    </row>
    <row r="11" spans="1:7" hidden="1" x14ac:dyDescent="0.25">
      <c r="A11" s="281" t="s">
        <v>300</v>
      </c>
      <c r="B11" s="266" t="s">
        <v>278</v>
      </c>
      <c r="C11" s="265" t="s">
        <v>280</v>
      </c>
      <c r="D11" s="264">
        <v>151948.82999999999</v>
      </c>
      <c r="E11" s="273">
        <v>5</v>
      </c>
      <c r="F11" s="277">
        <v>1</v>
      </c>
      <c r="G11" s="279">
        <f>IFERROR(Tabela2[[#This Row],[POSITIVADOS ]]/Tabela2[[#This Row],[NOVOS CADASTROS ]],0)</f>
        <v>0.2</v>
      </c>
    </row>
    <row r="12" spans="1:7" x14ac:dyDescent="0.25">
      <c r="A12" s="281" t="s">
        <v>300</v>
      </c>
      <c r="B12" s="266" t="s">
        <v>278</v>
      </c>
      <c r="C12" s="265" t="s">
        <v>281</v>
      </c>
      <c r="D12" s="264">
        <v>63415.37</v>
      </c>
      <c r="E12" s="273">
        <v>3</v>
      </c>
      <c r="F12" s="277">
        <v>3</v>
      </c>
      <c r="G12" s="279">
        <f>IFERROR(Tabela2[[#This Row],[POSITIVADOS ]]/Tabela2[[#This Row],[NOVOS CADASTROS ]],0)</f>
        <v>1</v>
      </c>
    </row>
    <row r="13" spans="1:7" hidden="1" x14ac:dyDescent="0.25">
      <c r="A13" s="281" t="s">
        <v>300</v>
      </c>
      <c r="B13" s="266" t="s">
        <v>278</v>
      </c>
      <c r="C13" s="265" t="s">
        <v>282</v>
      </c>
      <c r="D13" s="264">
        <v>25523.71</v>
      </c>
      <c r="E13" s="273">
        <v>3</v>
      </c>
      <c r="F13" s="277">
        <v>0</v>
      </c>
      <c r="G13" s="279">
        <f>IFERROR(Tabela2[[#This Row],[POSITIVADOS ]]/Tabela2[[#This Row],[NOVOS CADASTROS ]],0)</f>
        <v>0</v>
      </c>
    </row>
    <row r="14" spans="1:7" hidden="1" x14ac:dyDescent="0.25">
      <c r="A14" s="281" t="s">
        <v>300</v>
      </c>
      <c r="B14" s="266" t="s">
        <v>278</v>
      </c>
      <c r="C14" s="265" t="s">
        <v>283</v>
      </c>
      <c r="D14" s="264">
        <v>27967.200000000001</v>
      </c>
      <c r="E14" s="273">
        <v>11</v>
      </c>
      <c r="F14" s="277">
        <v>9</v>
      </c>
      <c r="G14" s="279">
        <f>IFERROR(Tabela2[[#This Row],[POSITIVADOS ]]/Tabela2[[#This Row],[NOVOS CADASTROS ]],0)</f>
        <v>0.81818181818181823</v>
      </c>
    </row>
    <row r="15" spans="1:7" hidden="1" x14ac:dyDescent="0.25">
      <c r="A15" s="281" t="s">
        <v>300</v>
      </c>
      <c r="B15" s="266" t="s">
        <v>278</v>
      </c>
      <c r="C15" s="265" t="s">
        <v>284</v>
      </c>
      <c r="D15" s="264">
        <v>4466.9799999999996</v>
      </c>
      <c r="E15" s="273">
        <v>4</v>
      </c>
      <c r="F15" s="277">
        <v>3</v>
      </c>
      <c r="G15" s="279">
        <f>IFERROR(Tabela2[[#This Row],[POSITIVADOS ]]/Tabela2[[#This Row],[NOVOS CADASTROS ]],0)</f>
        <v>0.75</v>
      </c>
    </row>
    <row r="16" spans="1:7" hidden="1" x14ac:dyDescent="0.25">
      <c r="A16" s="281" t="s">
        <v>301</v>
      </c>
      <c r="B16" s="266" t="s">
        <v>278</v>
      </c>
      <c r="C16" s="265" t="s">
        <v>285</v>
      </c>
      <c r="D16" s="264">
        <v>153205.51999999999</v>
      </c>
      <c r="E16" s="273">
        <v>0</v>
      </c>
      <c r="F16" s="277">
        <v>0</v>
      </c>
      <c r="G16" s="279">
        <f>IFERROR(Tabela2[[#This Row],[POSITIVADOS ]]/Tabela2[[#This Row],[NOVOS CADASTROS ]],0)</f>
        <v>0</v>
      </c>
    </row>
    <row r="17" spans="1:7" hidden="1" x14ac:dyDescent="0.25">
      <c r="A17" s="281" t="s">
        <v>301</v>
      </c>
      <c r="B17" s="266" t="s">
        <v>278</v>
      </c>
      <c r="C17" s="265" t="s">
        <v>286</v>
      </c>
      <c r="D17" s="264">
        <v>231307.25</v>
      </c>
      <c r="E17" s="273">
        <v>2</v>
      </c>
      <c r="F17" s="277">
        <v>2</v>
      </c>
      <c r="G17" s="279">
        <f>IFERROR(Tabela2[[#This Row],[POSITIVADOS ]]/Tabela2[[#This Row],[NOVOS CADASTROS ]],0)</f>
        <v>1</v>
      </c>
    </row>
    <row r="18" spans="1:7" hidden="1" x14ac:dyDescent="0.25">
      <c r="A18" s="281" t="s">
        <v>302</v>
      </c>
      <c r="B18" s="266" t="s">
        <v>278</v>
      </c>
      <c r="C18" s="265" t="s">
        <v>287</v>
      </c>
      <c r="D18" s="264">
        <v>43400.49</v>
      </c>
      <c r="E18" s="273">
        <v>0</v>
      </c>
      <c r="F18" s="277">
        <v>0</v>
      </c>
      <c r="G18" s="279">
        <f>IFERROR(Tabela2[[#This Row],[POSITIVADOS ]]/Tabela2[[#This Row],[NOVOS CADASTROS ]],0)</f>
        <v>0</v>
      </c>
    </row>
    <row r="19" spans="1:7" hidden="1" x14ac:dyDescent="0.25">
      <c r="A19" s="281" t="s">
        <v>300</v>
      </c>
      <c r="B19" s="266" t="s">
        <v>278</v>
      </c>
      <c r="C19" s="265" t="s">
        <v>288</v>
      </c>
      <c r="D19" s="264">
        <v>6174.53</v>
      </c>
      <c r="E19" s="273">
        <v>7</v>
      </c>
      <c r="F19" s="277">
        <v>3</v>
      </c>
      <c r="G19" s="279">
        <f>IFERROR(Tabela2[[#This Row],[POSITIVADOS ]]/Tabela2[[#This Row],[NOVOS CADASTROS ]],0)</f>
        <v>0.42857142857142855</v>
      </c>
    </row>
    <row r="20" spans="1:7" hidden="1" x14ac:dyDescent="0.25">
      <c r="A20" s="281" t="s">
        <v>300</v>
      </c>
      <c r="B20" s="281" t="s">
        <v>278</v>
      </c>
      <c r="C20" s="265" t="s">
        <v>376</v>
      </c>
      <c r="D20" s="264">
        <v>11530.23</v>
      </c>
      <c r="E20" s="273">
        <v>0</v>
      </c>
      <c r="F20" s="273">
        <v>0</v>
      </c>
      <c r="G20" s="306">
        <f>IFERROR(Tabela2[[#This Row],[POSITIVADOS ]]/Tabela2[[#This Row],[NOVOS CADASTROS ]],0)</f>
        <v>0</v>
      </c>
    </row>
    <row r="21" spans="1:7" hidden="1" x14ac:dyDescent="0.25">
      <c r="A21" s="281" t="s">
        <v>375</v>
      </c>
      <c r="B21" s="281" t="s">
        <v>278</v>
      </c>
      <c r="C21" s="265" t="s">
        <v>377</v>
      </c>
      <c r="D21" s="264">
        <v>621582.89</v>
      </c>
      <c r="E21" s="273">
        <v>0</v>
      </c>
      <c r="F21" s="273">
        <v>0</v>
      </c>
      <c r="G21" s="306">
        <f>IFERROR(Tabela2[[#This Row],[POSITIVADOS ]]/Tabela2[[#This Row],[NOVOS CADASTROS ]],0)</f>
        <v>0</v>
      </c>
    </row>
    <row r="22" spans="1:7" hidden="1" x14ac:dyDescent="0.25">
      <c r="A22" s="281" t="s">
        <v>300</v>
      </c>
      <c r="B22" s="281" t="s">
        <v>278</v>
      </c>
      <c r="C22" s="265" t="s">
        <v>378</v>
      </c>
      <c r="D22" s="264">
        <v>8399.56</v>
      </c>
      <c r="E22" s="273">
        <v>0</v>
      </c>
      <c r="F22" s="273">
        <v>0</v>
      </c>
      <c r="G22" s="306">
        <f>IFERROR(Tabela2[[#This Row],[POSITIVADOS ]]/Tabela2[[#This Row],[NOVOS CADASTROS ]],0)</f>
        <v>0</v>
      </c>
    </row>
    <row r="23" spans="1:7" hidden="1" x14ac:dyDescent="0.25">
      <c r="A23" s="281" t="s">
        <v>300</v>
      </c>
      <c r="B23" s="266" t="s">
        <v>292</v>
      </c>
      <c r="C23" s="265" t="s">
        <v>279</v>
      </c>
      <c r="D23" s="264">
        <v>178980.94</v>
      </c>
      <c r="E23" s="273">
        <v>0</v>
      </c>
      <c r="F23" s="277">
        <v>0</v>
      </c>
      <c r="G23" s="279">
        <f>IFERROR(Tabela2[[#This Row],[POSITIVADOS ]]/Tabela2[[#This Row],[NOVOS CADASTROS ]],0)</f>
        <v>0</v>
      </c>
    </row>
    <row r="24" spans="1:7" hidden="1" x14ac:dyDescent="0.25">
      <c r="A24" s="281" t="s">
        <v>300</v>
      </c>
      <c r="B24" s="266" t="s">
        <v>292</v>
      </c>
      <c r="C24" s="265" t="s">
        <v>280</v>
      </c>
      <c r="D24" s="264">
        <v>198386.32</v>
      </c>
      <c r="E24" s="273">
        <v>0</v>
      </c>
      <c r="F24" s="277">
        <v>0</v>
      </c>
      <c r="G24" s="279">
        <f>IFERROR(Tabela2[[#This Row],[POSITIVADOS ]]/Tabela2[[#This Row],[NOVOS CADASTROS ]],0)</f>
        <v>0</v>
      </c>
    </row>
    <row r="25" spans="1:7" x14ac:dyDescent="0.25">
      <c r="A25" s="281" t="s">
        <v>300</v>
      </c>
      <c r="B25" s="266" t="s">
        <v>292</v>
      </c>
      <c r="C25" s="265" t="s">
        <v>281</v>
      </c>
      <c r="D25" s="264">
        <v>69097.539999999994</v>
      </c>
      <c r="E25" s="273">
        <v>4</v>
      </c>
      <c r="F25" s="277">
        <v>4</v>
      </c>
      <c r="G25" s="279">
        <f>IFERROR(Tabela2[[#This Row],[POSITIVADOS ]]/Tabela2[[#This Row],[NOVOS CADASTROS ]],0)</f>
        <v>1</v>
      </c>
    </row>
    <row r="26" spans="1:7" hidden="1" x14ac:dyDescent="0.25">
      <c r="A26" s="281" t="s">
        <v>300</v>
      </c>
      <c r="B26" s="266" t="s">
        <v>292</v>
      </c>
      <c r="C26" s="265" t="s">
        <v>282</v>
      </c>
      <c r="D26" s="264">
        <v>38237.519999999997</v>
      </c>
      <c r="E26" s="273">
        <v>8</v>
      </c>
      <c r="F26" s="277">
        <v>1</v>
      </c>
      <c r="G26" s="279">
        <f>IFERROR(Tabela2[[#This Row],[POSITIVADOS ]]/Tabela2[[#This Row],[NOVOS CADASTROS ]],0)</f>
        <v>0.125</v>
      </c>
    </row>
    <row r="27" spans="1:7" hidden="1" x14ac:dyDescent="0.25">
      <c r="A27" s="281" t="s">
        <v>300</v>
      </c>
      <c r="B27" s="266" t="s">
        <v>292</v>
      </c>
      <c r="C27" s="265" t="s">
        <v>283</v>
      </c>
      <c r="D27" s="264">
        <v>67412.41</v>
      </c>
      <c r="E27" s="273">
        <v>8</v>
      </c>
      <c r="F27" s="277">
        <v>4</v>
      </c>
      <c r="G27" s="279">
        <f>IFERROR(Tabela2[[#This Row],[POSITIVADOS ]]/Tabela2[[#This Row],[NOVOS CADASTROS ]],0)</f>
        <v>0.5</v>
      </c>
    </row>
    <row r="28" spans="1:7" hidden="1" x14ac:dyDescent="0.25">
      <c r="A28" s="281" t="s">
        <v>300</v>
      </c>
      <c r="B28" s="266" t="s">
        <v>292</v>
      </c>
      <c r="C28" s="265" t="s">
        <v>284</v>
      </c>
      <c r="D28" s="264">
        <v>7893.42</v>
      </c>
      <c r="E28" s="273">
        <v>0</v>
      </c>
      <c r="F28" s="277">
        <v>0</v>
      </c>
      <c r="G28" s="279">
        <f>IFERROR(Tabela2[[#This Row],[POSITIVADOS ]]/Tabela2[[#This Row],[NOVOS CADASTROS ]],0)</f>
        <v>0</v>
      </c>
    </row>
    <row r="29" spans="1:7" hidden="1" x14ac:dyDescent="0.25">
      <c r="A29" s="281" t="s">
        <v>301</v>
      </c>
      <c r="B29" s="266" t="s">
        <v>292</v>
      </c>
      <c r="C29" s="265" t="s">
        <v>285</v>
      </c>
      <c r="D29" s="264">
        <v>178716.43</v>
      </c>
      <c r="E29" s="273">
        <v>2</v>
      </c>
      <c r="F29" s="277">
        <v>1</v>
      </c>
      <c r="G29" s="279">
        <f>IFERROR(Tabela2[[#This Row],[POSITIVADOS ]]/Tabela2[[#This Row],[NOVOS CADASTROS ]],0)</f>
        <v>0.5</v>
      </c>
    </row>
    <row r="30" spans="1:7" hidden="1" x14ac:dyDescent="0.25">
      <c r="A30" s="281" t="s">
        <v>301</v>
      </c>
      <c r="B30" s="266" t="s">
        <v>292</v>
      </c>
      <c r="C30" s="265" t="s">
        <v>286</v>
      </c>
      <c r="D30" s="264">
        <v>283757.82</v>
      </c>
      <c r="E30" s="273">
        <v>5</v>
      </c>
      <c r="F30" s="277">
        <v>2</v>
      </c>
      <c r="G30" s="279">
        <f>IFERROR(Tabela2[[#This Row],[POSITIVADOS ]]/Tabela2[[#This Row],[NOVOS CADASTROS ]],0)</f>
        <v>0.4</v>
      </c>
    </row>
    <row r="31" spans="1:7" hidden="1" x14ac:dyDescent="0.25">
      <c r="A31" s="281" t="s">
        <v>302</v>
      </c>
      <c r="B31" s="266" t="s">
        <v>292</v>
      </c>
      <c r="C31" s="265" t="s">
        <v>287</v>
      </c>
      <c r="D31" s="264">
        <v>90578.53</v>
      </c>
      <c r="E31" s="273">
        <v>0</v>
      </c>
      <c r="F31" s="277">
        <v>0</v>
      </c>
      <c r="G31" s="279">
        <f>IFERROR(Tabela2[[#This Row],[POSITIVADOS ]]/Tabela2[[#This Row],[NOVOS CADASTROS ]],0)</f>
        <v>0</v>
      </c>
    </row>
    <row r="32" spans="1:7" hidden="1" x14ac:dyDescent="0.25">
      <c r="A32" s="284" t="s">
        <v>300</v>
      </c>
      <c r="B32" s="268" t="s">
        <v>292</v>
      </c>
      <c r="C32" s="269" t="s">
        <v>288</v>
      </c>
      <c r="D32" s="264">
        <v>12194.51</v>
      </c>
      <c r="E32" s="273">
        <v>8</v>
      </c>
      <c r="F32" s="278">
        <v>3</v>
      </c>
      <c r="G32" s="279">
        <f>IFERROR(Tabela2[[#This Row],[POSITIVADOS ]]/Tabela2[[#This Row],[NOVOS CADASTROS ]],0)</f>
        <v>0.375</v>
      </c>
    </row>
    <row r="33" spans="1:7" hidden="1" x14ac:dyDescent="0.25">
      <c r="A33" s="307" t="s">
        <v>300</v>
      </c>
      <c r="B33" s="284" t="s">
        <v>292</v>
      </c>
      <c r="C33" s="269" t="s">
        <v>376</v>
      </c>
      <c r="D33" s="308">
        <v>13773.95</v>
      </c>
      <c r="E33" s="309">
        <v>0</v>
      </c>
      <c r="F33" s="309">
        <v>0</v>
      </c>
      <c r="G33" s="309">
        <f>IFERROR(Tabela2[[#This Row],[POSITIVADOS ]]/Tabela2[[#This Row],[NOVOS CADASTROS ]],0)</f>
        <v>0</v>
      </c>
    </row>
    <row r="34" spans="1:7" hidden="1" x14ac:dyDescent="0.25">
      <c r="A34" s="284" t="s">
        <v>375</v>
      </c>
      <c r="B34" s="284" t="s">
        <v>292</v>
      </c>
      <c r="C34" s="269" t="s">
        <v>377</v>
      </c>
      <c r="D34" s="308">
        <v>611361.09</v>
      </c>
      <c r="E34" s="309">
        <v>0</v>
      </c>
      <c r="F34" s="309">
        <v>0</v>
      </c>
      <c r="G34" s="309">
        <f>IFERROR(Tabela2[[#This Row],[POSITIVADOS ]]/Tabela2[[#This Row],[NOVOS CADASTROS ]],0)</f>
        <v>0</v>
      </c>
    </row>
    <row r="35" spans="1:7" hidden="1" x14ac:dyDescent="0.25">
      <c r="A35" s="284" t="s">
        <v>300</v>
      </c>
      <c r="B35" s="284" t="s">
        <v>292</v>
      </c>
      <c r="C35" s="269" t="s">
        <v>378</v>
      </c>
      <c r="D35" s="308">
        <v>34742.370000000003</v>
      </c>
      <c r="E35" s="309">
        <v>0</v>
      </c>
      <c r="F35" s="309">
        <v>0</v>
      </c>
      <c r="G35" s="309">
        <f>IFERROR(Tabela2[[#This Row],[POSITIVADOS ]]/Tabela2[[#This Row],[NOVOS CADASTROS ]],0)</f>
        <v>0</v>
      </c>
    </row>
  </sheetData>
  <mergeCells count="1">
    <mergeCell ref="A8:C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G23:G32 G10:G19" calculatedColumn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0C57-F916-45C4-A6C0-A77AA95B63C1}">
  <dimension ref="A1:AR21"/>
  <sheetViews>
    <sheetView showGridLines="0" topLeftCell="Y1" workbookViewId="0">
      <selection activeCell="AB4" sqref="AB4"/>
    </sheetView>
  </sheetViews>
  <sheetFormatPr defaultRowHeight="14.3" x14ac:dyDescent="0.25"/>
  <cols>
    <col min="1" max="1" width="45.625" bestFit="1" customWidth="1"/>
    <col min="2" max="2" width="14.125" style="280" bestFit="1" customWidth="1"/>
    <col min="4" max="4" width="20.375" bestFit="1" customWidth="1"/>
    <col min="5" max="5" width="14.125" bestFit="1" customWidth="1"/>
    <col min="6" max="6" width="14.375" bestFit="1" customWidth="1"/>
    <col min="8" max="8" width="30.125" bestFit="1" customWidth="1"/>
    <col min="9" max="9" width="14.125" bestFit="1" customWidth="1"/>
    <col min="10" max="10" width="14.375" bestFit="1" customWidth="1"/>
    <col min="12" max="12" width="42.75" bestFit="1" customWidth="1"/>
    <col min="13" max="13" width="14.125" bestFit="1" customWidth="1"/>
    <col min="14" max="14" width="14.375" bestFit="1" customWidth="1"/>
    <col min="16" max="16" width="47" bestFit="1" customWidth="1"/>
    <col min="17" max="17" width="14.125" bestFit="1" customWidth="1"/>
    <col min="19" max="19" width="12.75" bestFit="1" customWidth="1"/>
    <col min="20" max="20" width="14.375" bestFit="1" customWidth="1"/>
    <col min="23" max="23" width="14.375" bestFit="1" customWidth="1"/>
    <col min="24" max="24" width="14.625" bestFit="1" customWidth="1"/>
    <col min="25" max="25" width="11.75" bestFit="1" customWidth="1"/>
    <col min="26" max="26" width="16.5" bestFit="1" customWidth="1"/>
    <col min="27" max="27" width="16.75" bestFit="1" customWidth="1"/>
    <col min="28" max="28" width="18" bestFit="1" customWidth="1"/>
    <col min="29" max="29" width="11.75" bestFit="1" customWidth="1"/>
    <col min="30" max="30" width="19.125" bestFit="1" customWidth="1"/>
    <col min="31" max="31" width="16.75" bestFit="1" customWidth="1"/>
    <col min="32" max="32" width="18" bestFit="1" customWidth="1"/>
    <col min="34" max="34" width="21.5" bestFit="1" customWidth="1"/>
    <col min="35" max="35" width="16.75" bestFit="1" customWidth="1"/>
    <col min="36" max="36" width="18" bestFit="1" customWidth="1"/>
    <col min="38" max="38" width="23.75" bestFit="1" customWidth="1"/>
    <col min="39" max="39" width="16.75" bestFit="1" customWidth="1"/>
    <col min="40" max="40" width="18" bestFit="1" customWidth="1"/>
    <col min="42" max="42" width="29.625" bestFit="1" customWidth="1"/>
    <col min="43" max="43" width="16.75" bestFit="1" customWidth="1"/>
    <col min="44" max="44" width="18" bestFit="1" customWidth="1"/>
  </cols>
  <sheetData>
    <row r="1" spans="1:44" x14ac:dyDescent="0.25">
      <c r="AA1" s="311" t="s">
        <v>3</v>
      </c>
      <c r="AB1" s="311" t="s">
        <v>4</v>
      </c>
      <c r="AH1" s="280">
        <f>AJ2-AI2</f>
        <v>-241519.94</v>
      </c>
      <c r="AI1" s="311" t="s">
        <v>3</v>
      </c>
      <c r="AJ1" s="311" t="s">
        <v>4</v>
      </c>
      <c r="AM1" s="311" t="s">
        <v>3</v>
      </c>
      <c r="AN1" s="311" t="s">
        <v>4</v>
      </c>
      <c r="AP1" s="280">
        <f>AQ2-AR2</f>
        <v>-124152.52000000002</v>
      </c>
      <c r="AQ1" s="311" t="s">
        <v>384</v>
      </c>
      <c r="AR1" s="311" t="s">
        <v>4</v>
      </c>
    </row>
    <row r="2" spans="1:44" x14ac:dyDescent="0.25">
      <c r="Z2" s="7">
        <f>AB2/AA2</f>
        <v>0.77689665761433646</v>
      </c>
      <c r="AA2" s="280">
        <f>GETPIVOTDATA("Soma de PREVISTO",$Z$3)</f>
        <v>128239.54</v>
      </c>
      <c r="AB2" s="280">
        <f>GETPIVOTDATA("Soma de REALIZADO",$Z$3)</f>
        <v>99628.87</v>
      </c>
      <c r="AE2" s="280">
        <f>GETPIVOTDATA("Soma de PREVISTO",$AD$3)</f>
        <v>75657.88</v>
      </c>
      <c r="AF2" s="280">
        <f>GETPIVOTDATA("Soma de REALIZADO",$AD$3)</f>
        <v>22416.49</v>
      </c>
      <c r="AH2" s="7">
        <f>AJ2/AI2</f>
        <v>0.54462441450652155</v>
      </c>
      <c r="AI2" s="323">
        <f>GETPIVOTDATA("Soma de PREVISTO",$AH$3)</f>
        <v>530375.25</v>
      </c>
      <c r="AJ2" s="280">
        <f>GETPIVOTDATA("Soma de REALIZADO",$AH$3)</f>
        <v>288855.31</v>
      </c>
      <c r="AL2" s="7">
        <f>GETPIVOTDATA("Soma de REALIZADO",$AL$3,"INDICADOR","Resultado do mês (R$) 1468")/GETPIVOTDATA("Soma de PREVISTO",$AL$3,"INDICADOR","Resultado do mês (R$) 1468")</f>
        <v>0.73312996056058211</v>
      </c>
      <c r="AM2" s="280">
        <f>GETPIVOTDATA("Soma de PREVISTO",$AL$3)</f>
        <v>76509.75</v>
      </c>
      <c r="AN2" s="280">
        <f>GETPIVOTDATA("Soma de REALIZADO",$AL$3)</f>
        <v>56091.59</v>
      </c>
      <c r="AP2" s="7">
        <f>AP1/AQ2</f>
        <v>-0.37416943380166912</v>
      </c>
      <c r="AQ2" s="280">
        <f>GETPIVOTDATA("Soma de PREVISTO",$AP$3)</f>
        <v>331808.28999999998</v>
      </c>
      <c r="AR2" s="280">
        <f>GETPIVOTDATA("Soma de REALIZADO",$AP$3)</f>
        <v>455960.81</v>
      </c>
    </row>
    <row r="3" spans="1:44" x14ac:dyDescent="0.25">
      <c r="A3" s="18" t="s">
        <v>133</v>
      </c>
      <c r="B3" s="280" t="s">
        <v>345</v>
      </c>
      <c r="D3" s="18" t="s">
        <v>133</v>
      </c>
      <c r="E3" s="280" t="s">
        <v>345</v>
      </c>
      <c r="F3" s="280">
        <f>GETPIVOTDATA("VALOR",$D$3)</f>
        <v>1796497.92</v>
      </c>
      <c r="H3" s="18" t="s">
        <v>133</v>
      </c>
      <c r="I3" s="280" t="s">
        <v>345</v>
      </c>
      <c r="J3" s="280">
        <f>GETPIVOTDATA("VALOR",$H$3)</f>
        <v>1301864.8799999999</v>
      </c>
      <c r="L3" s="18" t="s">
        <v>133</v>
      </c>
      <c r="M3" s="280" t="s">
        <v>345</v>
      </c>
      <c r="N3" s="280">
        <f>GETPIVOTDATA("VALOR",$L$3)</f>
        <v>1667393.65</v>
      </c>
      <c r="P3" s="18" t="s">
        <v>133</v>
      </c>
      <c r="Q3" s="280" t="s">
        <v>345</v>
      </c>
      <c r="S3" s="12" t="s">
        <v>346</v>
      </c>
      <c r="T3" s="12" t="s">
        <v>291</v>
      </c>
      <c r="U3" s="12" t="s">
        <v>347</v>
      </c>
      <c r="W3" s="12" t="s">
        <v>348</v>
      </c>
      <c r="X3" s="12" t="s">
        <v>349</v>
      </c>
      <c r="Y3" s="280"/>
      <c r="Z3" s="321" t="s">
        <v>133</v>
      </c>
      <c r="AA3" s="280" t="s">
        <v>382</v>
      </c>
      <c r="AB3" s="280" t="s">
        <v>383</v>
      </c>
      <c r="AC3" s="280"/>
      <c r="AD3" s="321" t="s">
        <v>133</v>
      </c>
      <c r="AE3" s="280" t="s">
        <v>382</v>
      </c>
      <c r="AF3" s="280" t="s">
        <v>383</v>
      </c>
      <c r="AH3" s="321" t="s">
        <v>133</v>
      </c>
      <c r="AI3" s="280" t="s">
        <v>382</v>
      </c>
      <c r="AJ3" s="280" t="s">
        <v>383</v>
      </c>
      <c r="AL3" s="321" t="s">
        <v>133</v>
      </c>
      <c r="AM3" s="280" t="s">
        <v>382</v>
      </c>
      <c r="AN3" s="280" t="s">
        <v>383</v>
      </c>
      <c r="AP3" s="321" t="s">
        <v>133</v>
      </c>
      <c r="AQ3" s="280" t="s">
        <v>382</v>
      </c>
      <c r="AR3" s="280" t="s">
        <v>383</v>
      </c>
    </row>
    <row r="4" spans="1:44" x14ac:dyDescent="0.25">
      <c r="A4" s="9" t="s">
        <v>311</v>
      </c>
      <c r="B4" s="280">
        <v>59923.97</v>
      </c>
      <c r="D4" s="9" t="s">
        <v>308</v>
      </c>
      <c r="E4" s="280">
        <v>1796497.92</v>
      </c>
      <c r="H4" s="9" t="s">
        <v>310</v>
      </c>
      <c r="I4" s="280">
        <v>1301864.8799999999</v>
      </c>
      <c r="L4" s="9" t="s">
        <v>309</v>
      </c>
      <c r="M4" s="280">
        <v>1667393.65</v>
      </c>
      <c r="P4" s="9" t="s">
        <v>317</v>
      </c>
      <c r="Q4" s="280">
        <v>326747.93</v>
      </c>
      <c r="S4" s="285">
        <f>GETPIVOTDATA("VALOR",$P$3)</f>
        <v>326747.93</v>
      </c>
      <c r="T4" s="285">
        <f>F3</f>
        <v>1796497.92</v>
      </c>
      <c r="U4" s="305">
        <f>S4/T4</f>
        <v>0.18188049446781437</v>
      </c>
      <c r="W4" s="285">
        <f>F3</f>
        <v>1796497.92</v>
      </c>
      <c r="X4" s="285">
        <f>J3</f>
        <v>1301864.8799999999</v>
      </c>
      <c r="Z4" s="322" t="s">
        <v>350</v>
      </c>
      <c r="AA4" s="280">
        <v>128239.54</v>
      </c>
      <c r="AB4" s="280">
        <v>99628.87</v>
      </c>
      <c r="AD4" s="322" t="s">
        <v>355</v>
      </c>
      <c r="AE4" s="280">
        <v>75657.88</v>
      </c>
      <c r="AF4" s="280">
        <v>22416.49</v>
      </c>
      <c r="AH4" s="322" t="s">
        <v>357</v>
      </c>
      <c r="AI4" s="280">
        <v>530375.25</v>
      </c>
      <c r="AJ4" s="280">
        <v>288855.31</v>
      </c>
      <c r="AL4" s="322" t="s">
        <v>359</v>
      </c>
      <c r="AM4" s="280">
        <v>76509.75</v>
      </c>
      <c r="AN4" s="280">
        <v>56091.59</v>
      </c>
      <c r="AP4" s="322" t="s">
        <v>362</v>
      </c>
      <c r="AQ4" s="280">
        <v>331808.28999999998</v>
      </c>
      <c r="AR4" s="280">
        <v>455960.81</v>
      </c>
    </row>
    <row r="5" spans="1:44" x14ac:dyDescent="0.25">
      <c r="A5" s="9" t="s">
        <v>322</v>
      </c>
      <c r="B5" s="280">
        <v>0</v>
      </c>
      <c r="D5" s="9" t="s">
        <v>160</v>
      </c>
      <c r="E5" s="280">
        <v>1796497.92</v>
      </c>
      <c r="H5" s="9" t="s">
        <v>160</v>
      </c>
      <c r="I5" s="280">
        <v>1301864.8799999999</v>
      </c>
      <c r="L5" s="9" t="s">
        <v>160</v>
      </c>
      <c r="M5" s="280">
        <v>1667393.65</v>
      </c>
      <c r="P5" s="16" t="s">
        <v>292</v>
      </c>
      <c r="Q5" s="280">
        <v>326747.93</v>
      </c>
      <c r="Z5" s="322" t="s">
        <v>160</v>
      </c>
      <c r="AA5" s="280">
        <v>128239.54</v>
      </c>
      <c r="AB5" s="280">
        <v>99628.87</v>
      </c>
      <c r="AD5" s="322" t="s">
        <v>160</v>
      </c>
      <c r="AE5" s="280">
        <v>75657.88</v>
      </c>
      <c r="AF5" s="280">
        <v>22416.49</v>
      </c>
      <c r="AH5" s="322" t="s">
        <v>160</v>
      </c>
      <c r="AI5" s="280">
        <v>530375.25</v>
      </c>
      <c r="AJ5" s="280">
        <v>288855.31</v>
      </c>
      <c r="AL5" s="322" t="s">
        <v>160</v>
      </c>
      <c r="AM5" s="280">
        <v>76509.75</v>
      </c>
      <c r="AN5" s="280">
        <v>56091.59</v>
      </c>
      <c r="AP5" s="322" t="s">
        <v>160</v>
      </c>
      <c r="AQ5" s="280">
        <v>331808.28999999998</v>
      </c>
      <c r="AR5" s="280">
        <v>455960.81</v>
      </c>
    </row>
    <row r="6" spans="1:44" x14ac:dyDescent="0.25">
      <c r="A6" s="9" t="s">
        <v>318</v>
      </c>
      <c r="B6" s="280">
        <v>56091.59</v>
      </c>
      <c r="P6" s="9" t="s">
        <v>160</v>
      </c>
      <c r="Q6" s="280">
        <v>326747.93</v>
      </c>
    </row>
    <row r="7" spans="1:44" x14ac:dyDescent="0.25">
      <c r="A7" s="9" t="s">
        <v>317</v>
      </c>
      <c r="B7" s="280">
        <v>326747.93</v>
      </c>
      <c r="E7" s="280"/>
    </row>
    <row r="8" spans="1:44" x14ac:dyDescent="0.25">
      <c r="A8" s="9" t="s">
        <v>320</v>
      </c>
      <c r="B8" s="280">
        <v>33949.54</v>
      </c>
    </row>
    <row r="9" spans="1:44" x14ac:dyDescent="0.25">
      <c r="A9" s="9" t="s">
        <v>319</v>
      </c>
      <c r="B9" s="280">
        <v>152553.56</v>
      </c>
    </row>
    <row r="10" spans="1:44" x14ac:dyDescent="0.25">
      <c r="A10" s="9" t="s">
        <v>316</v>
      </c>
    </row>
    <row r="11" spans="1:44" x14ac:dyDescent="0.25">
      <c r="A11" s="9" t="s">
        <v>307</v>
      </c>
      <c r="B11" s="280">
        <v>99628.87</v>
      </c>
      <c r="Y11" t="s">
        <v>385</v>
      </c>
    </row>
    <row r="12" spans="1:44" x14ac:dyDescent="0.25">
      <c r="A12" s="9" t="s">
        <v>321</v>
      </c>
    </row>
    <row r="13" spans="1:44" x14ac:dyDescent="0.25">
      <c r="A13" s="9" t="s">
        <v>312</v>
      </c>
      <c r="B13" s="280">
        <v>45081.64</v>
      </c>
    </row>
    <row r="14" spans="1:44" x14ac:dyDescent="0.25">
      <c r="A14" s="9" t="s">
        <v>313</v>
      </c>
      <c r="B14" s="280">
        <v>3134.16</v>
      </c>
    </row>
    <row r="15" spans="1:44" x14ac:dyDescent="0.25">
      <c r="A15" s="9" t="s">
        <v>314</v>
      </c>
      <c r="B15" s="280">
        <v>22416.49</v>
      </c>
    </row>
    <row r="16" spans="1:44" x14ac:dyDescent="0.25">
      <c r="A16" s="9" t="s">
        <v>310</v>
      </c>
      <c r="B16" s="280">
        <v>1301864.8799999999</v>
      </c>
    </row>
    <row r="17" spans="1:2" x14ac:dyDescent="0.25">
      <c r="A17" s="9" t="s">
        <v>315</v>
      </c>
      <c r="B17" s="280">
        <v>1606536.6</v>
      </c>
    </row>
    <row r="18" spans="1:2" x14ac:dyDescent="0.25">
      <c r="A18" s="9" t="s">
        <v>309</v>
      </c>
      <c r="B18" s="280">
        <v>1667393.65</v>
      </c>
    </row>
    <row r="19" spans="1:2" x14ac:dyDescent="0.25">
      <c r="A19" s="9" t="s">
        <v>308</v>
      </c>
      <c r="B19" s="280">
        <v>1796497.92</v>
      </c>
    </row>
    <row r="20" spans="1:2" x14ac:dyDescent="0.25">
      <c r="A20" s="9" t="s">
        <v>344</v>
      </c>
    </row>
    <row r="21" spans="1:2" x14ac:dyDescent="0.25">
      <c r="A21" s="9" t="s">
        <v>160</v>
      </c>
      <c r="B21" s="280">
        <v>7171820.7999999998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0542-92FA-41A3-BC59-9CB1DB4900B8}">
  <dimension ref="A4:Z295"/>
  <sheetViews>
    <sheetView showGridLines="0" topLeftCell="A80" zoomScale="70" zoomScaleNormal="70" workbookViewId="0">
      <selection activeCell="B130" sqref="B130"/>
    </sheetView>
  </sheetViews>
  <sheetFormatPr defaultRowHeight="14.3" x14ac:dyDescent="0.25"/>
  <cols>
    <col min="1" max="1" width="25.25" bestFit="1" customWidth="1"/>
    <col min="2" max="2" width="28.75" bestFit="1" customWidth="1"/>
    <col min="3" max="3" width="41.75" bestFit="1" customWidth="1"/>
    <col min="4" max="4" width="12.875" bestFit="1" customWidth="1"/>
    <col min="5" max="5" width="26.75" bestFit="1" customWidth="1"/>
    <col min="6" max="6" width="28.75" bestFit="1" customWidth="1"/>
    <col min="7" max="7" width="27.125" bestFit="1" customWidth="1"/>
    <col min="8" max="8" width="25.125" bestFit="1" customWidth="1"/>
    <col min="9" max="9" width="17.375" bestFit="1" customWidth="1"/>
    <col min="10" max="10" width="23.625" bestFit="1" customWidth="1"/>
    <col min="11" max="11" width="12.625" bestFit="1" customWidth="1"/>
    <col min="12" max="12" width="13.75" bestFit="1" customWidth="1"/>
    <col min="13" max="13" width="28.375" bestFit="1" customWidth="1"/>
    <col min="25" max="25" width="23.5" bestFit="1" customWidth="1"/>
    <col min="26" max="26" width="33" bestFit="1" customWidth="1"/>
  </cols>
  <sheetData>
    <row r="4" spans="25:26" x14ac:dyDescent="0.25">
      <c r="Z4" s="19">
        <f>GETPIVOTDATA("DESEMPENHO  %",$Y$6)</f>
        <v>0.99963433938370616</v>
      </c>
    </row>
    <row r="6" spans="25:26" x14ac:dyDescent="0.25">
      <c r="Y6" s="18" t="s">
        <v>133</v>
      </c>
      <c r="Z6" t="s">
        <v>200</v>
      </c>
    </row>
    <row r="7" spans="25:26" x14ac:dyDescent="0.25">
      <c r="Y7" s="8" t="s">
        <v>373</v>
      </c>
      <c r="Z7" s="5">
        <v>0.99927103786816251</v>
      </c>
    </row>
    <row r="8" spans="25:26" x14ac:dyDescent="0.25">
      <c r="Y8" s="8" t="s">
        <v>201</v>
      </c>
      <c r="Z8" s="5">
        <v>1</v>
      </c>
    </row>
    <row r="9" spans="25:26" x14ac:dyDescent="0.25">
      <c r="Y9" s="8" t="s">
        <v>160</v>
      </c>
      <c r="Z9" s="5">
        <v>0.99963433938370616</v>
      </c>
    </row>
    <row r="13" spans="25:26" x14ac:dyDescent="0.25">
      <c r="Y13" s="11" t="s">
        <v>191</v>
      </c>
      <c r="Z13" s="11" t="s">
        <v>192</v>
      </c>
    </row>
    <row r="14" spans="25:26" x14ac:dyDescent="0.25">
      <c r="Y14" s="12" t="s">
        <v>202</v>
      </c>
      <c r="Z14" s="13">
        <f>Z4</f>
        <v>0.99963433938370616</v>
      </c>
    </row>
    <row r="15" spans="25:26" x14ac:dyDescent="0.25">
      <c r="Y15" s="12" t="s">
        <v>203</v>
      </c>
      <c r="Z15" s="13">
        <f>100%-Z14</f>
        <v>3.6566061629383917E-4</v>
      </c>
    </row>
    <row r="17" spans="3:4" x14ac:dyDescent="0.25">
      <c r="C17" t="s">
        <v>204</v>
      </c>
    </row>
    <row r="18" spans="3:4" x14ac:dyDescent="0.25">
      <c r="C18" s="20"/>
      <c r="D18" s="20"/>
    </row>
    <row r="26" spans="3:4" ht="15.8" customHeight="1" x14ac:dyDescent="0.25"/>
    <row r="47" spans="2:3" x14ac:dyDescent="0.25">
      <c r="B47" s="18" t="s">
        <v>133</v>
      </c>
      <c r="C47" t="s">
        <v>205</v>
      </c>
    </row>
    <row r="48" spans="2:3" x14ac:dyDescent="0.25">
      <c r="B48" s="9" t="s">
        <v>372</v>
      </c>
      <c r="C48" s="14">
        <v>6.8042291770160617</v>
      </c>
    </row>
    <row r="49" spans="2:5" x14ac:dyDescent="0.25">
      <c r="B49" s="9" t="s">
        <v>206</v>
      </c>
      <c r="C49" s="14">
        <v>6.7789225589225595</v>
      </c>
    </row>
    <row r="50" spans="2:5" x14ac:dyDescent="0.25">
      <c r="B50" s="9" t="s">
        <v>207</v>
      </c>
      <c r="C50" s="14">
        <v>6.2642847108211308</v>
      </c>
    </row>
    <row r="51" spans="2:5" x14ac:dyDescent="0.25">
      <c r="B51" s="9" t="s">
        <v>208</v>
      </c>
      <c r="C51" s="14">
        <v>5.9220389805097451</v>
      </c>
    </row>
    <row r="52" spans="2:5" x14ac:dyDescent="0.25">
      <c r="B52" s="9" t="s">
        <v>209</v>
      </c>
      <c r="C52" s="14">
        <v>5.8280556921204587</v>
      </c>
    </row>
    <row r="53" spans="2:5" x14ac:dyDescent="0.25">
      <c r="B53" s="9" t="s">
        <v>210</v>
      </c>
      <c r="C53" s="14">
        <v>5.8012034497847322</v>
      </c>
    </row>
    <row r="54" spans="2:5" x14ac:dyDescent="0.25">
      <c r="B54" s="9" t="s">
        <v>211</v>
      </c>
      <c r="C54" s="14">
        <v>5.6000514982969669</v>
      </c>
    </row>
    <row r="55" spans="2:5" x14ac:dyDescent="0.25">
      <c r="B55" s="9" t="s">
        <v>212</v>
      </c>
      <c r="C55" s="14">
        <v>5.1560504446533866</v>
      </c>
    </row>
    <row r="56" spans="2:5" x14ac:dyDescent="0.25">
      <c r="B56" s="9" t="s">
        <v>213</v>
      </c>
      <c r="C56" s="14">
        <v>4.9767605873359795</v>
      </c>
    </row>
    <row r="57" spans="2:5" x14ac:dyDescent="0.25">
      <c r="B57" s="9" t="s">
        <v>214</v>
      </c>
      <c r="C57" s="14">
        <v>4.1380162466369352</v>
      </c>
    </row>
    <row r="58" spans="2:5" x14ac:dyDescent="0.25">
      <c r="B58" s="9" t="s">
        <v>215</v>
      </c>
      <c r="C58" s="14">
        <v>3.8488635783720921</v>
      </c>
    </row>
    <row r="59" spans="2:5" x14ac:dyDescent="0.25">
      <c r="B59" s="9" t="s">
        <v>160</v>
      </c>
      <c r="C59" s="14">
        <v>5.3260761783007853</v>
      </c>
    </row>
    <row r="61" spans="2:5" x14ac:dyDescent="0.25">
      <c r="D61" t="s">
        <v>216</v>
      </c>
    </row>
    <row r="62" spans="2:5" x14ac:dyDescent="0.25">
      <c r="D62" s="14">
        <f>GETPIVOTDATA("MEDIA SKU POR PEDIDO",$B$47)</f>
        <v>5.3260761783007853</v>
      </c>
      <c r="E62" s="14"/>
    </row>
    <row r="90" spans="1:2" x14ac:dyDescent="0.25">
      <c r="A90" s="18" t="s">
        <v>133</v>
      </c>
      <c r="B90" t="s">
        <v>217</v>
      </c>
    </row>
    <row r="91" spans="1:2" x14ac:dyDescent="0.25">
      <c r="A91" s="9" t="s">
        <v>208</v>
      </c>
      <c r="B91">
        <v>1302</v>
      </c>
    </row>
    <row r="92" spans="1:2" x14ac:dyDescent="0.25">
      <c r="A92" s="9" t="s">
        <v>206</v>
      </c>
      <c r="B92">
        <v>5304</v>
      </c>
    </row>
    <row r="93" spans="1:2" x14ac:dyDescent="0.25">
      <c r="A93" s="9" t="s">
        <v>372</v>
      </c>
      <c r="B93">
        <v>5318</v>
      </c>
    </row>
    <row r="94" spans="1:2" x14ac:dyDescent="0.25">
      <c r="A94" s="9" t="s">
        <v>214</v>
      </c>
      <c r="B94">
        <v>5655</v>
      </c>
    </row>
    <row r="95" spans="1:2" x14ac:dyDescent="0.25">
      <c r="A95" s="9" t="s">
        <v>215</v>
      </c>
      <c r="B95">
        <v>8408</v>
      </c>
    </row>
    <row r="96" spans="1:2" x14ac:dyDescent="0.25">
      <c r="A96" s="9" t="s">
        <v>212</v>
      </c>
      <c r="B96">
        <v>10417</v>
      </c>
    </row>
    <row r="97" spans="1:3" x14ac:dyDescent="0.25">
      <c r="A97" s="9" t="s">
        <v>209</v>
      </c>
      <c r="B97">
        <v>19717</v>
      </c>
    </row>
    <row r="98" spans="1:3" x14ac:dyDescent="0.25">
      <c r="A98" s="9" t="s">
        <v>213</v>
      </c>
      <c r="B98">
        <v>26267</v>
      </c>
    </row>
    <row r="99" spans="1:3" x14ac:dyDescent="0.25">
      <c r="A99" s="9" t="s">
        <v>210</v>
      </c>
      <c r="B99">
        <v>27768</v>
      </c>
    </row>
    <row r="100" spans="1:3" x14ac:dyDescent="0.25">
      <c r="A100" s="9" t="s">
        <v>211</v>
      </c>
      <c r="B100">
        <v>29463</v>
      </c>
    </row>
    <row r="101" spans="1:3" x14ac:dyDescent="0.25">
      <c r="A101" s="9" t="s">
        <v>207</v>
      </c>
      <c r="B101">
        <v>52504</v>
      </c>
    </row>
    <row r="102" spans="1:3" x14ac:dyDescent="0.25">
      <c r="A102" s="9" t="s">
        <v>160</v>
      </c>
      <c r="B102">
        <v>192123</v>
      </c>
    </row>
    <row r="104" spans="1:3" x14ac:dyDescent="0.25">
      <c r="C104" s="3">
        <f>GETPIVOTDATA("ITENS SEPARADOS",$A$90)</f>
        <v>192123</v>
      </c>
    </row>
    <row r="126" spans="12:13" x14ac:dyDescent="0.25">
      <c r="L126" s="21" t="s">
        <v>218</v>
      </c>
      <c r="M126" s="21"/>
    </row>
    <row r="127" spans="12:13" x14ac:dyDescent="0.25">
      <c r="L127" s="12" t="s">
        <v>219</v>
      </c>
      <c r="M127" s="13">
        <f>G158</f>
        <v>0.98</v>
      </c>
    </row>
    <row r="128" spans="12:13" x14ac:dyDescent="0.25">
      <c r="L128" s="12" t="s">
        <v>220</v>
      </c>
      <c r="M128" s="13">
        <f>H184</f>
        <v>0.14285714285714285</v>
      </c>
    </row>
    <row r="129" spans="1:13" x14ac:dyDescent="0.25">
      <c r="A129" s="18" t="s">
        <v>133</v>
      </c>
      <c r="B129" t="s">
        <v>221</v>
      </c>
      <c r="L129" s="12" t="s">
        <v>222</v>
      </c>
      <c r="M129" s="13">
        <f>H208</f>
        <v>0.14285714285714285</v>
      </c>
    </row>
    <row r="130" spans="1:13" x14ac:dyDescent="0.25">
      <c r="A130" s="9" t="s">
        <v>208</v>
      </c>
      <c r="B130">
        <v>52</v>
      </c>
      <c r="L130" s="12" t="s">
        <v>223</v>
      </c>
      <c r="M130" s="22">
        <f>G235</f>
        <v>5.3260761783007853</v>
      </c>
    </row>
    <row r="131" spans="1:13" x14ac:dyDescent="0.25">
      <c r="A131" s="9" t="s">
        <v>206</v>
      </c>
      <c r="B131">
        <v>114</v>
      </c>
    </row>
    <row r="132" spans="1:13" x14ac:dyDescent="0.25">
      <c r="A132" s="9" t="s">
        <v>372</v>
      </c>
      <c r="B132">
        <v>133</v>
      </c>
    </row>
    <row r="133" spans="1:13" x14ac:dyDescent="0.25">
      <c r="A133" s="9" t="s">
        <v>214</v>
      </c>
      <c r="B133">
        <v>230</v>
      </c>
    </row>
    <row r="134" spans="1:13" x14ac:dyDescent="0.25">
      <c r="A134" s="9" t="s">
        <v>212</v>
      </c>
      <c r="B134">
        <v>272</v>
      </c>
    </row>
    <row r="135" spans="1:13" x14ac:dyDescent="0.25">
      <c r="A135" s="9" t="s">
        <v>215</v>
      </c>
      <c r="B135">
        <v>329</v>
      </c>
    </row>
    <row r="136" spans="1:13" x14ac:dyDescent="0.25">
      <c r="A136" s="9" t="s">
        <v>209</v>
      </c>
      <c r="B136">
        <v>518</v>
      </c>
    </row>
    <row r="137" spans="1:13" x14ac:dyDescent="0.25">
      <c r="A137" s="9" t="s">
        <v>210</v>
      </c>
      <c r="B137">
        <v>707</v>
      </c>
    </row>
    <row r="138" spans="1:13" x14ac:dyDescent="0.25">
      <c r="A138" s="9" t="s">
        <v>211</v>
      </c>
      <c r="B138">
        <v>831</v>
      </c>
      <c r="C138" s="3">
        <f>GETPIVOTDATA("QTD PEDIDOS",$A$129)</f>
        <v>5401</v>
      </c>
    </row>
    <row r="139" spans="1:13" x14ac:dyDescent="0.25">
      <c r="A139" s="9" t="s">
        <v>213</v>
      </c>
      <c r="B139">
        <v>914</v>
      </c>
    </row>
    <row r="140" spans="1:13" x14ac:dyDescent="0.25">
      <c r="A140" s="9" t="s">
        <v>207</v>
      </c>
      <c r="B140">
        <v>1301</v>
      </c>
    </row>
    <row r="141" spans="1:13" x14ac:dyDescent="0.25">
      <c r="A141" s="9" t="s">
        <v>160</v>
      </c>
      <c r="B141">
        <v>5401</v>
      </c>
    </row>
    <row r="151" spans="1:12" x14ac:dyDescent="0.25">
      <c r="L151" s="18" t="s">
        <v>0</v>
      </c>
    </row>
    <row r="152" spans="1:12" x14ac:dyDescent="0.25">
      <c r="L152" s="9" t="s">
        <v>224</v>
      </c>
    </row>
    <row r="153" spans="1:12" x14ac:dyDescent="0.25">
      <c r="L153" s="9" t="s">
        <v>160</v>
      </c>
    </row>
    <row r="154" spans="1:12" ht="14.95" thickBot="1" x14ac:dyDescent="0.3"/>
    <row r="155" spans="1:12" ht="14.95" thickBot="1" x14ac:dyDescent="0.3">
      <c r="E155" s="23" t="s">
        <v>225</v>
      </c>
      <c r="F155" s="24"/>
      <c r="G155" s="25"/>
      <c r="H155" s="26"/>
    </row>
    <row r="156" spans="1:12" x14ac:dyDescent="0.25">
      <c r="E156" s="27"/>
      <c r="H156" s="28"/>
    </row>
    <row r="157" spans="1:12" x14ac:dyDescent="0.25">
      <c r="B157" s="14" t="e">
        <f>GETPIVOTDATA("UNIDADES POR MINUTO",$A$159)</f>
        <v>#REF!</v>
      </c>
      <c r="E157" s="29" t="s">
        <v>226</v>
      </c>
      <c r="F157" s="11" t="s">
        <v>227</v>
      </c>
      <c r="G157" s="11" t="s">
        <v>228</v>
      </c>
      <c r="H157" s="11" t="s">
        <v>229</v>
      </c>
    </row>
    <row r="158" spans="1:12" x14ac:dyDescent="0.25">
      <c r="E158" s="30">
        <f>COUNTA(E161:E168)</f>
        <v>8</v>
      </c>
      <c r="F158" s="31">
        <f>GETPIVOTDATA("DESEMPENHO  %",$E$160)</f>
        <v>0.99963433938370594</v>
      </c>
      <c r="G158" s="32">
        <v>0.98</v>
      </c>
      <c r="H158" s="32">
        <v>0.98</v>
      </c>
    </row>
    <row r="159" spans="1:12" ht="14.95" thickBot="1" x14ac:dyDescent="0.3">
      <c r="A159" s="245" t="s">
        <v>133</v>
      </c>
      <c r="E159" s="27"/>
      <c r="H159" s="28"/>
    </row>
    <row r="160" spans="1:12" ht="14.95" thickBot="1" x14ac:dyDescent="0.3">
      <c r="A160" s="33" t="s">
        <v>224</v>
      </c>
      <c r="E160" s="244" t="s">
        <v>133</v>
      </c>
      <c r="F160" s="34" t="s">
        <v>200</v>
      </c>
      <c r="G160" s="35"/>
      <c r="H160" s="36" t="s">
        <v>230</v>
      </c>
    </row>
    <row r="161" spans="1:8" x14ac:dyDescent="0.25">
      <c r="A161" s="37" t="s">
        <v>231</v>
      </c>
      <c r="E161" s="38" t="s">
        <v>215</v>
      </c>
      <c r="F161" s="39">
        <v>1</v>
      </c>
      <c r="G161" s="32"/>
      <c r="H161" s="40" t="str">
        <f>IF(GETPIVOTDATA("DESEMPENHO  %",$E$160,"COLABORADOR","ARMANDO SANTOS")&gt;=G158,"ATINGIDO","NÃO ATINGIDO")</f>
        <v>ATINGIDO</v>
      </c>
    </row>
    <row r="162" spans="1:8" x14ac:dyDescent="0.25">
      <c r="A162" s="33" t="s">
        <v>160</v>
      </c>
      <c r="E162" s="41" t="s">
        <v>214</v>
      </c>
      <c r="F162" s="42">
        <v>1</v>
      </c>
      <c r="G162" s="32"/>
      <c r="H162" s="40" t="str">
        <f>IF(GETPIVOTDATA("DESEMPENHO  %",$E$160,"COLABORADOR","WILSON JUNIOR")&gt;=G158,"ATINGIDO","NÃO ATINGIDO")</f>
        <v>ATINGIDO</v>
      </c>
    </row>
    <row r="163" spans="1:8" x14ac:dyDescent="0.25">
      <c r="E163" s="41" t="s">
        <v>209</v>
      </c>
      <c r="F163" s="42">
        <v>0.99888888888888894</v>
      </c>
      <c r="G163" s="32"/>
      <c r="H163" s="40" t="str">
        <f>IF(GETPIVOTDATA("DESEMPENHO  %",$E$160,"COLABORADOR","MARILEUZA")&gt;=G158,"ATINGIDO","NÃO ATINGIDO")</f>
        <v>ATINGIDO</v>
      </c>
    </row>
    <row r="164" spans="1:8" x14ac:dyDescent="0.25">
      <c r="E164" s="41" t="s">
        <v>207</v>
      </c>
      <c r="F164" s="42">
        <v>1</v>
      </c>
      <c r="G164" s="32"/>
      <c r="H164" s="40" t="str">
        <f>IF(GETPIVOTDATA("DESEMPENHO  %",$E$160,"COLABORADOR","RONALDO JOSE")&gt;=G158,"ATINGIDO","NÃO ATINGIDO")</f>
        <v>ATINGIDO</v>
      </c>
    </row>
    <row r="165" spans="1:8" x14ac:dyDescent="0.25">
      <c r="E165" s="41" t="s">
        <v>212</v>
      </c>
      <c r="F165" s="42">
        <v>1</v>
      </c>
      <c r="G165" s="32"/>
      <c r="H165" s="40" t="str">
        <f>IF(GETPIVOTDATA("DESEMPENHO  %",$E$160,"COLABORADOR","WARLEY GABRIEL")&gt;=G158,"ATINGIDO","NÃO ATINGIDO")</f>
        <v>ATINGIDO</v>
      </c>
    </row>
    <row r="166" spans="1:8" x14ac:dyDescent="0.25">
      <c r="E166" s="41" t="s">
        <v>372</v>
      </c>
      <c r="F166" s="42">
        <v>1</v>
      </c>
      <c r="G166" s="32"/>
      <c r="H166" s="40" t="str">
        <f>IF(GETPIVOTDATA("DESEMPENHO  %",$E$160,"COLABORADOR","IGOR")&gt;=G158,"ATINGIDO","NÃO ATINGIDO")</f>
        <v>ATINGIDO</v>
      </c>
    </row>
    <row r="167" spans="1:8" x14ac:dyDescent="0.25">
      <c r="E167" s="41" t="s">
        <v>213</v>
      </c>
      <c r="F167" s="42">
        <v>1</v>
      </c>
      <c r="G167" s="32"/>
      <c r="H167" s="40" t="str">
        <f>IF(GETPIVOTDATA("DESEMPENHO  %",$E$160,"COLABORADOR","FERNANDO BORGES")&gt;=G158,"ATINGIDO","NÃO ATINGIDO")</f>
        <v>ATINGIDO</v>
      </c>
    </row>
    <row r="168" spans="1:8" x14ac:dyDescent="0.25">
      <c r="E168" s="41" t="s">
        <v>211</v>
      </c>
      <c r="F168" s="42">
        <v>0.99844696969696978</v>
      </c>
      <c r="G168" s="32"/>
      <c r="H168" s="40" t="str">
        <f>IF(GETPIVOTDATA("DESEMPENHO  %",$E$160,"COLABORADOR","JAILSON")&gt;=G158,"ATINGIDO","NÃO ATINGIDO")</f>
        <v>ATINGIDO</v>
      </c>
    </row>
    <row r="169" spans="1:8" x14ac:dyDescent="0.25">
      <c r="E169" s="41" t="s">
        <v>210</v>
      </c>
      <c r="F169" s="42">
        <v>0.99916387959866226</v>
      </c>
      <c r="G169" s="32"/>
      <c r="H169" s="40" t="str">
        <f>IF(GETPIVOTDATA("DESEMPENHO  %",$E$160,"COLABORADOR","PABLYNE SANTANA")&gt;=G158,"ATINGIDO","NÃO ATINGIDO")</f>
        <v>ATINGIDO</v>
      </c>
    </row>
    <row r="170" spans="1:8" ht="14.95" thickBot="1" x14ac:dyDescent="0.3">
      <c r="E170" s="41" t="s">
        <v>206</v>
      </c>
      <c r="F170" s="42">
        <v>1</v>
      </c>
      <c r="G170" s="43"/>
      <c r="H170" s="44"/>
    </row>
    <row r="171" spans="1:8" ht="14.95" thickBot="1" x14ac:dyDescent="0.3">
      <c r="E171" s="45" t="s">
        <v>208</v>
      </c>
      <c r="F171" s="42">
        <v>1</v>
      </c>
    </row>
    <row r="172" spans="1:8" ht="14.95" thickBot="1" x14ac:dyDescent="0.3">
      <c r="E172" s="46" t="s">
        <v>160</v>
      </c>
      <c r="F172" s="47">
        <v>0.99963433938370594</v>
      </c>
    </row>
    <row r="179" spans="5:8" ht="14.95" thickBot="1" x14ac:dyDescent="0.3"/>
    <row r="180" spans="5:8" x14ac:dyDescent="0.25">
      <c r="E180" s="48" t="s">
        <v>232</v>
      </c>
      <c r="F180" s="49"/>
      <c r="G180" s="49"/>
      <c r="H180" s="50"/>
    </row>
    <row r="181" spans="5:8" ht="14.95" thickBot="1" x14ac:dyDescent="0.3">
      <c r="E181" s="51"/>
      <c r="F181" s="52"/>
      <c r="G181" s="52"/>
      <c r="H181" s="53"/>
    </row>
    <row r="182" spans="5:8" x14ac:dyDescent="0.25">
      <c r="E182" s="27"/>
      <c r="H182" s="28"/>
    </row>
    <row r="183" spans="5:8" x14ac:dyDescent="0.25">
      <c r="E183" s="29" t="s">
        <v>226</v>
      </c>
      <c r="F183" s="12" t="s">
        <v>233</v>
      </c>
      <c r="G183" s="12" t="s">
        <v>234</v>
      </c>
      <c r="H183" s="54" t="s">
        <v>235</v>
      </c>
    </row>
    <row r="184" spans="5:8" x14ac:dyDescent="0.25">
      <c r="E184" s="30">
        <f>COUNTA(E188:E196)-2</f>
        <v>7</v>
      </c>
      <c r="F184" s="22">
        <f>GETPIVOTDATA("QTD PEDIDOS",$E$187)</f>
        <v>5401</v>
      </c>
      <c r="G184" s="22">
        <f>F184/E184</f>
        <v>771.57142857142856</v>
      </c>
      <c r="H184" s="55">
        <f>100%/E184</f>
        <v>0.14285714285714285</v>
      </c>
    </row>
    <row r="185" spans="5:8" x14ac:dyDescent="0.25">
      <c r="E185" s="27"/>
      <c r="H185" s="28"/>
    </row>
    <row r="186" spans="5:8" ht="14.95" thickBot="1" x14ac:dyDescent="0.3">
      <c r="E186" s="27"/>
      <c r="H186" s="28"/>
    </row>
    <row r="187" spans="5:8" ht="14.95" thickBot="1" x14ac:dyDescent="0.3">
      <c r="E187" s="248" t="s">
        <v>133</v>
      </c>
      <c r="F187" s="56" t="s">
        <v>221</v>
      </c>
      <c r="G187" s="35" t="s">
        <v>236</v>
      </c>
      <c r="H187" s="57" t="s">
        <v>230</v>
      </c>
    </row>
    <row r="188" spans="5:8" x14ac:dyDescent="0.25">
      <c r="E188" s="38" t="s">
        <v>208</v>
      </c>
      <c r="F188" s="11">
        <v>52</v>
      </c>
      <c r="G188" s="58">
        <f>GETPIVOTDATA("QTD PEDIDOS",$E$187,"COLABORADOR","PABLYNE SANTANA")/F184</f>
        <v>2.1107202369931494E-2</v>
      </c>
      <c r="H188" s="54" t="str">
        <f>IF(GETPIVOTDATA("QTD PEDIDOS",$E$187,"COLABORADOR","PABLYNE SANTANA")&gt;=G184,"ATINGIDO","NÃO ATINGIDO")</f>
        <v>NÃO ATINGIDO</v>
      </c>
    </row>
    <row r="189" spans="5:8" x14ac:dyDescent="0.25">
      <c r="E189" s="41" t="s">
        <v>206</v>
      </c>
      <c r="F189" s="11">
        <v>114</v>
      </c>
      <c r="G189" s="58">
        <f>GETPIVOTDATA("QTD PEDIDOS",$E$187,"COLABORADOR","WILSON JUNIOR")/F184</f>
        <v>4.2584706535826695E-2</v>
      </c>
      <c r="H189" s="54" t="str">
        <f>IF(GETPIVOTDATA("QTD PEDIDOS",$E$187,"COLABORADOR","WILSON JUNIOR")&gt;=G184,"ATINGIDO","NÃO ATINGIDO")</f>
        <v>NÃO ATINGIDO</v>
      </c>
    </row>
    <row r="190" spans="5:8" x14ac:dyDescent="0.25">
      <c r="E190" s="41" t="s">
        <v>372</v>
      </c>
      <c r="F190" s="11">
        <v>133</v>
      </c>
      <c r="G190" s="58">
        <f>GETPIVOTDATA("QTD PEDIDOS",$E$187,"COLABORADOR","WARLEY GABRIEL")/F184</f>
        <v>5.0361044251064621E-2</v>
      </c>
      <c r="H190" s="54" t="str">
        <f>IF(GETPIVOTDATA("QTD PEDIDOS",$E$187,"COLABORADOR","WARLEY GABRIEL")&gt;=G184,"ATINGIDO","NÃO ATINGIDO")</f>
        <v>NÃO ATINGIDO</v>
      </c>
    </row>
    <row r="191" spans="5:8" x14ac:dyDescent="0.25">
      <c r="E191" s="41" t="s">
        <v>214</v>
      </c>
      <c r="F191" s="11">
        <v>230</v>
      </c>
      <c r="G191" s="58">
        <f>GETPIVOTDATA("QTD PEDIDOS",$E$187,"COLABORADOR","ARMANDO SANTOS")/F184</f>
        <v>6.0914645436030368E-2</v>
      </c>
      <c r="H191" s="54" t="str">
        <f>IF(GETPIVOTDATA("QTD PEDIDOS",$E$187,"COLABORADOR","ARMANDO SANTOS")&gt;=G184,"ATINGIDO","NÃO ATINGIDO")</f>
        <v>NÃO ATINGIDO</v>
      </c>
    </row>
    <row r="192" spans="5:8" x14ac:dyDescent="0.25">
      <c r="E192" s="41" t="s">
        <v>212</v>
      </c>
      <c r="F192" s="11">
        <v>272</v>
      </c>
      <c r="G192" s="58">
        <f>GETPIVOTDATA("QTD PEDIDOS",$E$187,"COLABORADOR","FERNANDO BORGES")/F184</f>
        <v>0.15386039622292169</v>
      </c>
      <c r="H192" s="54" t="str">
        <f>IF(GETPIVOTDATA("QTD PEDIDOS",$E$187,"COLABORADOR","FERNANDO BORGES")&gt;=G184,"ATINGIDO","NÃO ATINGIDO")</f>
        <v>ATINGIDO</v>
      </c>
    </row>
    <row r="193" spans="1:8" x14ac:dyDescent="0.25">
      <c r="E193" s="41" t="s">
        <v>215</v>
      </c>
      <c r="F193" s="11">
        <v>329</v>
      </c>
      <c r="G193" s="58">
        <f>GETPIVOTDATA("QTD PEDIDOS",$E$187,"COLABORADOR","RONALDO JOSE")/F184</f>
        <v>0.24088131827439363</v>
      </c>
      <c r="H193" s="54" t="str">
        <f>IF(GETPIVOTDATA("QTD PEDIDOS",$E$187,"COLABORADOR","RONALDO JOSE")&gt;=G184,"ATINGIDO","NÃO ATINGIDO")</f>
        <v>ATINGIDO</v>
      </c>
    </row>
    <row r="194" spans="1:8" x14ac:dyDescent="0.25">
      <c r="E194" s="41" t="s">
        <v>209</v>
      </c>
      <c r="F194" s="11">
        <v>518</v>
      </c>
      <c r="G194" s="58">
        <f>GETPIVOTDATA("QTD PEDIDOS",$E$187,"COLABORADOR","IGOR")/F184</f>
        <v>0.16922792075541565</v>
      </c>
      <c r="H194" s="54" t="str">
        <f>IF(GETPIVOTDATA("QTD PEDIDOS",$E$187,"COLABORADOR","IGOR")&gt;=G184,"ATINGIDO","NÃO ATINGIDO")</f>
        <v>ATINGIDO</v>
      </c>
    </row>
    <row r="195" spans="1:8" x14ac:dyDescent="0.25">
      <c r="E195" s="41" t="s">
        <v>210</v>
      </c>
      <c r="F195" s="11">
        <v>707</v>
      </c>
      <c r="G195" s="58">
        <f>GETPIVOTDATA("QTD PEDIDOS",$E$187,"COLABORADOR","MARILEUZA")/F184</f>
        <v>9.5908165154601002E-2</v>
      </c>
      <c r="H195" s="54" t="str">
        <f>IF(GETPIVOTDATA("QTD PEDIDOS",$E$187,"COLABORADOR","MARILEUZA")&gt;=G184,"ATINGIDO","NÃO ATINGIDO")</f>
        <v>NÃO ATINGIDO</v>
      </c>
    </row>
    <row r="196" spans="1:8" x14ac:dyDescent="0.25">
      <c r="E196" s="41" t="s">
        <v>211</v>
      </c>
      <c r="F196" s="11">
        <v>831</v>
      </c>
      <c r="G196" s="58">
        <f>GETPIVOTDATA("QTD PEDIDOS",$E$187,"COLABORADOR","JAILSON")/F184</f>
        <v>0.13090168487317164</v>
      </c>
      <c r="H196" s="54" t="str">
        <f>IF(GETPIVOTDATA("QTD PEDIDOS",$E$187,"COLABORADOR","JAILSON")&gt;=G185,"ATINGIDO","NÃO ATINGIDO")</f>
        <v>ATINGIDO</v>
      </c>
    </row>
    <row r="197" spans="1:8" x14ac:dyDescent="0.25">
      <c r="E197" s="41" t="s">
        <v>213</v>
      </c>
      <c r="F197" s="11">
        <v>914</v>
      </c>
    </row>
    <row r="198" spans="1:8" ht="14.95" thickBot="1" x14ac:dyDescent="0.3">
      <c r="A198" s="12"/>
      <c r="E198" s="45" t="s">
        <v>207</v>
      </c>
      <c r="F198" s="11">
        <v>1301</v>
      </c>
    </row>
    <row r="199" spans="1:8" ht="14.95" thickBot="1" x14ac:dyDescent="0.3">
      <c r="A199" s="12"/>
      <c r="E199" s="46" t="s">
        <v>160</v>
      </c>
      <c r="F199" s="325">
        <v>5401</v>
      </c>
    </row>
    <row r="200" spans="1:8" x14ac:dyDescent="0.25">
      <c r="A200" s="12"/>
    </row>
    <row r="201" spans="1:8" x14ac:dyDescent="0.25">
      <c r="A201" s="12"/>
    </row>
    <row r="202" spans="1:8" x14ac:dyDescent="0.25">
      <c r="A202" s="12"/>
    </row>
    <row r="203" spans="1:8" ht="14.95" thickBot="1" x14ac:dyDescent="0.3">
      <c r="A203" s="12"/>
      <c r="G203" s="59"/>
      <c r="H203" s="59"/>
    </row>
    <row r="204" spans="1:8" x14ac:dyDescent="0.25">
      <c r="A204" s="12"/>
      <c r="G204" s="60"/>
      <c r="H204" s="61"/>
    </row>
    <row r="205" spans="1:8" ht="14.95" thickBot="1" x14ac:dyDescent="0.3">
      <c r="A205" s="12"/>
      <c r="G205" s="62"/>
      <c r="H205" s="63"/>
    </row>
    <row r="206" spans="1:8" x14ac:dyDescent="0.25">
      <c r="A206" s="12"/>
      <c r="G206" s="59"/>
      <c r="H206" s="64"/>
    </row>
    <row r="207" spans="1:8" x14ac:dyDescent="0.25">
      <c r="A207" s="12"/>
      <c r="E207" s="65" t="s">
        <v>226</v>
      </c>
      <c r="F207" s="66" t="s">
        <v>237</v>
      </c>
      <c r="G207" s="66" t="s">
        <v>238</v>
      </c>
      <c r="H207" s="36" t="s">
        <v>235</v>
      </c>
    </row>
    <row r="208" spans="1:8" x14ac:dyDescent="0.25">
      <c r="A208" s="12"/>
      <c r="E208" s="65">
        <f>COUNTA(E213:E221)-2</f>
        <v>7</v>
      </c>
      <c r="F208" s="67">
        <f>GETPIVOTDATA("ITENS SEPARADOS",$E$212)</f>
        <v>192123</v>
      </c>
      <c r="G208" s="67">
        <f>F208/E208</f>
        <v>27446.142857142859</v>
      </c>
      <c r="H208" s="68">
        <f>100%/E208</f>
        <v>0.14285714285714285</v>
      </c>
    </row>
    <row r="209" spans="1:8" x14ac:dyDescent="0.25">
      <c r="A209" s="12"/>
      <c r="E209" s="69"/>
      <c r="F209" s="59"/>
      <c r="G209" s="59"/>
      <c r="H209" s="64"/>
    </row>
    <row r="210" spans="1:8" x14ac:dyDescent="0.25">
      <c r="A210" s="12"/>
      <c r="E210" s="69"/>
      <c r="F210" s="59"/>
      <c r="G210" s="59"/>
      <c r="H210" s="64"/>
    </row>
    <row r="211" spans="1:8" ht="14.95" thickBot="1" x14ac:dyDescent="0.3">
      <c r="A211" s="12"/>
      <c r="E211" s="69"/>
      <c r="F211" s="59"/>
      <c r="G211" s="59"/>
      <c r="H211" s="64"/>
    </row>
    <row r="212" spans="1:8" ht="14.95" thickBot="1" x14ac:dyDescent="0.3">
      <c r="A212" s="12"/>
      <c r="E212" s="247" t="s">
        <v>133</v>
      </c>
      <c r="F212" s="70" t="s">
        <v>217</v>
      </c>
      <c r="G212" s="35" t="s">
        <v>236</v>
      </c>
      <c r="H212" s="36" t="s">
        <v>230</v>
      </c>
    </row>
    <row r="213" spans="1:8" x14ac:dyDescent="0.25">
      <c r="A213" s="12"/>
      <c r="E213" s="71" t="s">
        <v>207</v>
      </c>
      <c r="F213" s="72">
        <v>52504</v>
      </c>
      <c r="G213" s="73">
        <f>GETPIVOTDATA("ITENS SEPARADOS",$E$212,"COLABORADOR","JAILSON")/F208</f>
        <v>0.14453240892553207</v>
      </c>
      <c r="H213" s="36" t="str">
        <f>IF(GETPIVOTDATA("ITENS SEPARADOS",$E$212,"COLABORADOR","JAILSON")&lt;G208,"NÃO ATINGIDO","ATINGIDO")</f>
        <v>ATINGIDO</v>
      </c>
    </row>
    <row r="214" spans="1:8" x14ac:dyDescent="0.25">
      <c r="A214" s="12"/>
      <c r="E214" s="74" t="s">
        <v>211</v>
      </c>
      <c r="F214" s="72">
        <v>29463</v>
      </c>
      <c r="G214" s="73">
        <f>GETPIVOTDATA("ITENS SEPARADOS",$E$212,"COLABORADOR","IGOR")/F208</f>
        <v>0.13671970560526331</v>
      </c>
      <c r="H214" s="36" t="str">
        <f>IF(GETPIVOTDATA("ITENS SEPARADOS",$E$212,"COLABORADOR","IGOR")&lt;G208,"NÃO ATINGIDO","ATINGIDO")</f>
        <v>NÃO ATINGIDO</v>
      </c>
    </row>
    <row r="215" spans="1:8" x14ac:dyDescent="0.25">
      <c r="A215" s="12"/>
      <c r="E215" s="74" t="s">
        <v>210</v>
      </c>
      <c r="F215" s="72">
        <v>27768</v>
      </c>
      <c r="G215" s="73">
        <f>GETPIVOTDATA("ITENS SEPARADOS",$E$212,"COLABORADOR","MARILEUZA")/F208</f>
        <v>0.10262696293520297</v>
      </c>
      <c r="H215" s="36" t="str">
        <f>IF(GETPIVOTDATA("ITENS SEPARADOS",$E$212,"COLABORADOR","MARILEUZA")&lt;G208,"NÃO ATINGIDO","ATINGIDO")</f>
        <v>NÃO ATINGIDO</v>
      </c>
    </row>
    <row r="216" spans="1:8" x14ac:dyDescent="0.25">
      <c r="A216" s="12"/>
      <c r="E216" s="74" t="s">
        <v>213</v>
      </c>
      <c r="F216" s="72">
        <v>26267</v>
      </c>
      <c r="G216" s="73">
        <f>GETPIVOTDATA("ITENS SEPARADOS",$E$212,"COLABORADOR","FERNANDO BORGES")/F208</f>
        <v>0.15335488202870037</v>
      </c>
      <c r="H216" s="36" t="str">
        <f>IF(GETPIVOTDATA("ITENS SEPARADOS",$E$212,"COLABORADOR","FERNANDO BORGES")&lt;G208,"NÃO ATINGIDO","ATINGIDO")</f>
        <v>ATINGIDO</v>
      </c>
    </row>
    <row r="217" spans="1:8" x14ac:dyDescent="0.25">
      <c r="A217" s="12"/>
      <c r="E217" s="74" t="s">
        <v>209</v>
      </c>
      <c r="F217" s="72">
        <v>19717</v>
      </c>
      <c r="G217" s="73">
        <f>GETPIVOTDATA("ITENS SEPARADOS",$E$212,"COLABORADOR","RONALDO JOSE")/F208</f>
        <v>0.27328326124409885</v>
      </c>
      <c r="H217" s="36" t="str">
        <f>IF(GETPIVOTDATA("ITENS SEPARADOS",$E$212,"COLABORADOR","RONALDO JOSE")&lt;G208,"NÃO ATINGIDO","ATINGIDO")</f>
        <v>ATINGIDO</v>
      </c>
    </row>
    <row r="218" spans="1:8" x14ac:dyDescent="0.25">
      <c r="A218" s="12"/>
      <c r="E218" s="74" t="s">
        <v>212</v>
      </c>
      <c r="F218" s="72">
        <v>10417</v>
      </c>
      <c r="G218" s="75">
        <f>GETPIVOTDATA("ITENS SEPARADOS",$E$212,"COLABORADOR","ARMANDO SANTOS")/F208</f>
        <v>4.3763630590819426E-2</v>
      </c>
      <c r="H218" s="76" t="str">
        <f>IF(GETPIVOTDATA("ITENS SEPARADOS",$E$212,"COLABORADOR","ARMANDO SANTOS")&lt;G208,"NÃO ATINGIDO","ATINGIDO")</f>
        <v>NÃO ATINGIDO</v>
      </c>
    </row>
    <row r="219" spans="1:8" x14ac:dyDescent="0.25">
      <c r="A219" s="12"/>
      <c r="E219" s="74" t="s">
        <v>215</v>
      </c>
      <c r="F219" s="72">
        <v>8408</v>
      </c>
      <c r="G219" s="73">
        <f>GETPIVOTDATA("ITENS SEPARADOS",$E$212,"COLABORADOR","WARLEY GABRIEL")/F208</f>
        <v>5.4220473342598233E-2</v>
      </c>
      <c r="H219" s="35" t="str">
        <f>IF(GETPIVOTDATA("ITENS SEPARADOS",$E$212,"COLABORADOR","WARLEY GABRIEL")&lt;G208,"NÃO ATINGIDO","ATINGIDO")</f>
        <v>NÃO ATINGIDO</v>
      </c>
    </row>
    <row r="220" spans="1:8" x14ac:dyDescent="0.25">
      <c r="A220" s="12"/>
      <c r="E220" s="77" t="s">
        <v>214</v>
      </c>
      <c r="F220" s="66">
        <v>5655</v>
      </c>
      <c r="G220" s="73">
        <f>GETPIVOTDATA("ITENS SEPARADOS",$E$212,"COLABORADOR","WILSON JUNIOR")/F208</f>
        <v>2.9434268671632235E-2</v>
      </c>
      <c r="H220" s="35" t="str">
        <f>IF(GETPIVOTDATA("ITENS SEPARADOS",$E$212,"COLABORADOR","WILSON JUNIOR")&lt;G208,"NÃO ATINGIDO","ATINGIDO")</f>
        <v>NÃO ATINGIDO</v>
      </c>
    </row>
    <row r="221" spans="1:8" x14ac:dyDescent="0.25">
      <c r="A221" s="12"/>
      <c r="E221" s="74" t="s">
        <v>372</v>
      </c>
      <c r="F221" s="36">
        <v>5318</v>
      </c>
      <c r="G221" s="73">
        <f>GETPIVOTDATA("ITENS SEPARADOS",$E$212,"COLABORADOR","PABLYNE SANTANA")/F208</f>
        <v>2.7607314064427475E-2</v>
      </c>
      <c r="H221" s="35" t="str">
        <f>IF(GETPIVOTDATA("ITENS SEPARADOS",$E$212,"COLABORADOR","PABLYNE SANTANA")&lt;G209,"NÃO ATINGIDO","ATINGIDO")</f>
        <v>ATINGIDO</v>
      </c>
    </row>
    <row r="222" spans="1:8" x14ac:dyDescent="0.25">
      <c r="A222" s="12"/>
      <c r="E222" s="74" t="s">
        <v>206</v>
      </c>
      <c r="F222" s="72">
        <v>5304</v>
      </c>
      <c r="G222" s="59"/>
      <c r="H222" s="59"/>
    </row>
    <row r="223" spans="1:8" ht="14.95" thickBot="1" x14ac:dyDescent="0.3">
      <c r="A223" s="12"/>
      <c r="E223" s="78" t="s">
        <v>208</v>
      </c>
      <c r="F223" s="36">
        <v>1302</v>
      </c>
      <c r="G223" s="59"/>
      <c r="H223" s="59"/>
    </row>
    <row r="224" spans="1:8" ht="14.95" thickBot="1" x14ac:dyDescent="0.3">
      <c r="A224" s="12"/>
      <c r="E224" s="79" t="s">
        <v>160</v>
      </c>
      <c r="F224" s="324">
        <v>192123</v>
      </c>
      <c r="G224" s="59"/>
      <c r="H224" s="59"/>
    </row>
    <row r="225" spans="1:8" x14ac:dyDescent="0.25">
      <c r="A225" s="12"/>
      <c r="G225" s="59"/>
      <c r="H225" s="59"/>
    </row>
    <row r="226" spans="1:8" x14ac:dyDescent="0.25">
      <c r="A226" s="12"/>
    </row>
    <row r="227" spans="1:8" x14ac:dyDescent="0.25">
      <c r="A227" s="12"/>
    </row>
    <row r="228" spans="1:8" x14ac:dyDescent="0.25">
      <c r="A228" s="12"/>
    </row>
    <row r="229" spans="1:8" ht="14.95" thickBot="1" x14ac:dyDescent="0.3">
      <c r="A229" s="12"/>
    </row>
    <row r="230" spans="1:8" x14ac:dyDescent="0.25">
      <c r="A230" s="12"/>
      <c r="G230" s="60"/>
      <c r="H230" s="61"/>
    </row>
    <row r="231" spans="1:8" ht="14.95" thickBot="1" x14ac:dyDescent="0.3">
      <c r="A231" s="12"/>
      <c r="G231" s="62"/>
      <c r="H231" s="63"/>
    </row>
    <row r="232" spans="1:8" x14ac:dyDescent="0.25">
      <c r="A232" s="12"/>
      <c r="E232" s="27"/>
      <c r="H232" s="28"/>
    </row>
    <row r="233" spans="1:8" x14ac:dyDescent="0.25">
      <c r="A233" s="12"/>
      <c r="E233" s="27"/>
      <c r="H233" s="28"/>
    </row>
    <row r="234" spans="1:8" x14ac:dyDescent="0.25">
      <c r="A234" s="12"/>
      <c r="E234" s="65" t="s">
        <v>226</v>
      </c>
      <c r="F234" s="66" t="s">
        <v>239</v>
      </c>
      <c r="G234" s="66" t="s">
        <v>240</v>
      </c>
      <c r="H234" s="35" t="s">
        <v>235</v>
      </c>
    </row>
    <row r="235" spans="1:8" x14ac:dyDescent="0.25">
      <c r="A235" s="12"/>
      <c r="E235" s="65">
        <f>COUNTA(E241:E249)-2</f>
        <v>7</v>
      </c>
      <c r="F235" s="67">
        <f>GETPIVOTDATA("MEDIA SKU POR PEDIDO",$E$240)</f>
        <v>5.3260761783007853</v>
      </c>
      <c r="G235" s="67">
        <f>F235</f>
        <v>5.3260761783007853</v>
      </c>
      <c r="H235" s="32">
        <f>100%/E235</f>
        <v>0.14285714285714285</v>
      </c>
    </row>
    <row r="236" spans="1:8" x14ac:dyDescent="0.25">
      <c r="A236" s="12"/>
      <c r="E236" s="27"/>
      <c r="H236" s="28"/>
    </row>
    <row r="237" spans="1:8" x14ac:dyDescent="0.25">
      <c r="A237" s="12"/>
      <c r="E237" s="27"/>
      <c r="H237" s="28"/>
    </row>
    <row r="238" spans="1:8" x14ac:dyDescent="0.25">
      <c r="A238" s="12"/>
      <c r="E238" s="27"/>
      <c r="H238" s="28"/>
    </row>
    <row r="239" spans="1:8" x14ac:dyDescent="0.25">
      <c r="A239" s="12"/>
      <c r="E239" s="27"/>
      <c r="H239" s="28"/>
    </row>
    <row r="240" spans="1:8" ht="14.95" thickBot="1" x14ac:dyDescent="0.3">
      <c r="A240" s="12"/>
      <c r="E240" s="246" t="s">
        <v>133</v>
      </c>
      <c r="F240" s="80" t="s">
        <v>205</v>
      </c>
      <c r="G240" s="81" t="s">
        <v>230</v>
      </c>
      <c r="H240" s="35" t="s">
        <v>241</v>
      </c>
    </row>
    <row r="241" spans="1:8" x14ac:dyDescent="0.25">
      <c r="A241" s="12"/>
      <c r="E241" s="82" t="s">
        <v>372</v>
      </c>
      <c r="F241" s="83">
        <v>6.8042291770160617</v>
      </c>
      <c r="G241" s="31" t="str">
        <f>IF(GETPIVOTDATA("MEDIA SKU POR PEDIDO",$E$240,"COLABORADOR","PABLYNE SANTANA")&gt;=G235,"ATINGIDO","NÃO ATINGIDO")</f>
        <v>ATINGIDO</v>
      </c>
      <c r="H241" s="31">
        <f>GETPIVOTDATA("MEDIA SKU POR PEDIDO",$E$240,"COLABORADOR","PABLYNE SANTANA")/G235</f>
        <v>1.2727798724586183</v>
      </c>
    </row>
    <row r="242" spans="1:8" x14ac:dyDescent="0.25">
      <c r="A242" s="12"/>
      <c r="E242" s="82" t="s">
        <v>206</v>
      </c>
      <c r="F242" s="83">
        <v>6.7789225589225595</v>
      </c>
      <c r="G242" s="31" t="str">
        <f>IF(GETPIVOTDATA("MEDIA SKU POR PEDIDO",$E$240,"COLABORADOR","IGOR")&gt;=G235,"ATINGIDO","NÃO ATINGIDO")</f>
        <v>NÃO ATINGIDO</v>
      </c>
      <c r="H242" s="31">
        <f>GETPIVOTDATA("MEDIA SKU POR PEDIDO",$E$240,"COLABORADOR","IGOR")/G235</f>
        <v>0.93441408284996585</v>
      </c>
    </row>
    <row r="243" spans="1:8" x14ac:dyDescent="0.25">
      <c r="A243" s="12"/>
      <c r="E243" s="82" t="s">
        <v>207</v>
      </c>
      <c r="F243" s="83">
        <v>6.2642847108211308</v>
      </c>
      <c r="G243" s="31" t="str">
        <f>IF(GETPIVOTDATA("MEDIA SKU POR PEDIDO",$E$240,"COLABORADOR","JAILSON")&gt;=G235,"ATINGIDO","NÃO ATINGIDO")</f>
        <v>ATINGIDO</v>
      </c>
      <c r="H243" s="31">
        <f>GETPIVOTDATA("MEDIA SKU POR PEDIDO",$E$240,"COLABORADOR","JAILSON")/G235</f>
        <v>1.0892077498665311</v>
      </c>
    </row>
    <row r="244" spans="1:8" x14ac:dyDescent="0.25">
      <c r="A244" s="12"/>
      <c r="E244" s="82" t="s">
        <v>208</v>
      </c>
      <c r="F244" s="83">
        <v>5.9220389805097451</v>
      </c>
      <c r="G244" s="11" t="str">
        <f>IF(GETPIVOTDATA("MEDIA SKU POR PEDIDO",$E$240,"COLABORADOR","FERNANDO BORGES")&gt;=G235,"ATINGIDO","NÃO ATINGIDO")</f>
        <v>ATINGIDO</v>
      </c>
      <c r="H244" s="31">
        <f>GETPIVOTDATA("MEDIA SKU POR PEDIDO",$E$240,"COLABORADOR","FERNANDO BORGES")/G235</f>
        <v>1.0514403682606714</v>
      </c>
    </row>
    <row r="245" spans="1:8" x14ac:dyDescent="0.25">
      <c r="A245" s="12"/>
      <c r="E245" s="82" t="s">
        <v>209</v>
      </c>
      <c r="F245" s="83">
        <v>5.8280556921204587</v>
      </c>
      <c r="G245" s="11" t="str">
        <f>IF(GETPIVOTDATA("MEDIA SKU POR PEDIDO",$E$240,"COLABORADOR","MARILEUZA")&gt;=G235,"ATINGIDO","NÃO ATINGIDO")</f>
        <v>ATINGIDO</v>
      </c>
      <c r="H245" s="31">
        <f>GETPIVOTDATA("MEDIA SKU POR PEDIDO",$E$240,"COLABORADOR","MARILEUZA")/G235</f>
        <v>1.0942494055689274</v>
      </c>
    </row>
    <row r="246" spans="1:8" x14ac:dyDescent="0.25">
      <c r="A246" s="12"/>
      <c r="E246" s="82" t="s">
        <v>210</v>
      </c>
      <c r="F246" s="83">
        <v>5.8012034497847322</v>
      </c>
      <c r="G246" s="11" t="str">
        <f>IF(GETPIVOTDATA("MEDIA SKU POR PEDIDO",$E$240,"COLABORADOR","WARLEY GABRIEL")&gt;=G235,"ATINGIDO","NÃO ATINGIDO")</f>
        <v>NÃO ATINGIDO</v>
      </c>
      <c r="H246" s="31">
        <f>GETPIVOTDATA("MEDIA SKU POR PEDIDO",$E$240,"COLABORADOR","WARLEY GABRIEL")/G235</f>
        <v>0.96807673642744574</v>
      </c>
    </row>
    <row r="247" spans="1:8" x14ac:dyDescent="0.25">
      <c r="A247" s="12"/>
      <c r="E247" s="82" t="s">
        <v>211</v>
      </c>
      <c r="F247" s="83">
        <v>5.6000514982969669</v>
      </c>
      <c r="G247" s="11" t="str">
        <f>IF(GETPIVOTDATA("MEDIA SKU POR PEDIDO",$E$240,"COLABORADOR","RONALDO JOSE")&gt;=G235,"ATINGIDO","NÃO ATINGIDO")</f>
        <v>ATINGIDO</v>
      </c>
      <c r="H247" s="31">
        <f>GETPIVOTDATA("MEDIA SKU POR PEDIDO",$E$240,"COLABORADOR","RONALDO JOSE")/G235</f>
        <v>1.1761537952353638</v>
      </c>
    </row>
    <row r="248" spans="1:8" x14ac:dyDescent="0.25">
      <c r="A248" s="12"/>
      <c r="E248" s="82" t="s">
        <v>212</v>
      </c>
      <c r="F248" s="83">
        <v>5.1560504446533866</v>
      </c>
      <c r="G248" s="84" t="str">
        <f>IF(GETPIVOTDATA("MEDIA SKU POR PEDIDO",$E$240,"COLABORADOR","ARMANDO SANTOS")&gt;=G235,"ATINGIDO","NÃO ATINGIDO")</f>
        <v>NÃO ATINGIDO</v>
      </c>
      <c r="H248" s="31">
        <f>GETPIVOTDATA("MEDIA SKU POR PEDIDO",$E$240,"COLABORADOR","ARMANDO SANTOS")/G235</f>
        <v>0.7226452362910103</v>
      </c>
    </row>
    <row r="249" spans="1:8" x14ac:dyDescent="0.25">
      <c r="A249" s="12"/>
      <c r="E249" s="82" t="s">
        <v>213</v>
      </c>
      <c r="F249" s="83">
        <v>4.9767605873359795</v>
      </c>
      <c r="G249" s="84" t="str">
        <f>IF(GETPIVOTDATA("MEDIA SKU POR PEDIDO",$E$240,"COLABORADOR","WILSON JUNIOR")&gt;=G235,"ATINGIDO","NÃO ATINGIDO")</f>
        <v>NÃO ATINGIDO</v>
      </c>
      <c r="H249" s="31">
        <f>GETPIVOTDATA("MEDIA SKU POR PEDIDO",$E$240,"COLABORADOR","WILSON JUNIOR")/G235</f>
        <v>0.77693523489127314</v>
      </c>
    </row>
    <row r="250" spans="1:8" x14ac:dyDescent="0.25">
      <c r="A250" s="12"/>
      <c r="E250" s="82" t="s">
        <v>214</v>
      </c>
      <c r="F250" s="22">
        <v>4.1380162466369352</v>
      </c>
    </row>
    <row r="251" spans="1:8" ht="14.95" thickBot="1" x14ac:dyDescent="0.3">
      <c r="A251" s="12"/>
      <c r="E251" s="85" t="s">
        <v>215</v>
      </c>
      <c r="F251" s="83">
        <v>3.8488635783720921</v>
      </c>
    </row>
    <row r="252" spans="1:8" ht="14.95" thickBot="1" x14ac:dyDescent="0.3">
      <c r="A252" s="12"/>
      <c r="E252" s="85" t="s">
        <v>160</v>
      </c>
      <c r="F252" s="22">
        <v>5.3260761783007853</v>
      </c>
    </row>
    <row r="253" spans="1:8" x14ac:dyDescent="0.25">
      <c r="A253" s="12"/>
    </row>
    <row r="254" spans="1:8" x14ac:dyDescent="0.25">
      <c r="A254" s="12"/>
    </row>
    <row r="255" spans="1:8" x14ac:dyDescent="0.25">
      <c r="A255" s="12"/>
      <c r="H255" s="86"/>
    </row>
    <row r="256" spans="1:8" x14ac:dyDescent="0.25">
      <c r="A256" s="12"/>
      <c r="H256" s="87"/>
    </row>
    <row r="257" spans="1:12" x14ac:dyDescent="0.25">
      <c r="A257" s="12"/>
      <c r="G257" s="35"/>
      <c r="H257" s="35"/>
      <c r="I257" s="35"/>
      <c r="J257" s="35"/>
      <c r="K257" s="35"/>
      <c r="L257" s="35"/>
    </row>
    <row r="258" spans="1:12" ht="14.95" thickBot="1" x14ac:dyDescent="0.3">
      <c r="A258" s="12"/>
      <c r="G258" s="88"/>
      <c r="H258" s="89" t="s">
        <v>242</v>
      </c>
      <c r="I258" s="90" t="s">
        <v>243</v>
      </c>
      <c r="J258" s="91" t="s">
        <v>244</v>
      </c>
      <c r="K258" s="92" t="s">
        <v>245</v>
      </c>
      <c r="L258" s="93" t="s">
        <v>246</v>
      </c>
    </row>
    <row r="259" spans="1:12" ht="14.95" thickBot="1" x14ac:dyDescent="0.3">
      <c r="A259" s="12"/>
      <c r="G259" s="94"/>
      <c r="H259" s="95" t="str">
        <f>IF(J259&gt;=I259,"ATINGIDO","NÃO ATINGIDO")</f>
        <v>ATINGIDO</v>
      </c>
      <c r="I259" s="96">
        <v>0.98</v>
      </c>
      <c r="J259" s="97">
        <f>F163</f>
        <v>0.99888888888888894</v>
      </c>
      <c r="K259" s="98">
        <f>J259-I259</f>
        <v>1.8888888888888955E-2</v>
      </c>
      <c r="L259" s="99">
        <f>AVERAGE(J259:J262)</f>
        <v>0.57291835563690507</v>
      </c>
    </row>
    <row r="260" spans="1:12" ht="14.95" thickBot="1" x14ac:dyDescent="0.3">
      <c r="A260" s="12"/>
      <c r="E260" s="100" t="s">
        <v>209</v>
      </c>
      <c r="F260" s="101" t="s">
        <v>247</v>
      </c>
      <c r="G260" s="102"/>
      <c r="H260" s="95" t="str">
        <f>IF(J260&gt;=I260,"ATINGIDO","NÃO ATINGIDO")</f>
        <v>NÃO ATINGIDO</v>
      </c>
      <c r="I260" s="97">
        <v>0.1429</v>
      </c>
      <c r="J260" s="97">
        <f>G195</f>
        <v>9.5908165154601002E-2</v>
      </c>
      <c r="K260" s="98">
        <f t="shared" ref="K260:K294" si="0">J260-I260</f>
        <v>-4.6991834845398997E-2</v>
      </c>
      <c r="L260" s="103"/>
    </row>
    <row r="261" spans="1:12" ht="14.95" thickBot="1" x14ac:dyDescent="0.3">
      <c r="A261" s="12"/>
      <c r="E261" s="100" t="s">
        <v>209</v>
      </c>
      <c r="F261" s="101" t="s">
        <v>248</v>
      </c>
      <c r="G261" s="102"/>
      <c r="H261" s="95" t="str">
        <f t="shared" ref="H261:H294" si="1">IF(J261&gt;=I261,"ATINGIDO","NÃO ATINGIDO")</f>
        <v>NÃO ATINGIDO</v>
      </c>
      <c r="I261" s="97">
        <v>0.1429</v>
      </c>
      <c r="J261" s="97">
        <f>G215</f>
        <v>0.10262696293520297</v>
      </c>
      <c r="K261" s="98">
        <f t="shared" si="0"/>
        <v>-4.0273037064797026E-2</v>
      </c>
      <c r="L261" s="103"/>
    </row>
    <row r="262" spans="1:12" ht="14.95" thickBot="1" x14ac:dyDescent="0.3">
      <c r="A262" s="12"/>
      <c r="E262" s="100" t="s">
        <v>209</v>
      </c>
      <c r="F262" s="104" t="s">
        <v>249</v>
      </c>
      <c r="G262" s="105"/>
      <c r="H262" s="106" t="str">
        <f t="shared" si="1"/>
        <v>ATINGIDO</v>
      </c>
      <c r="I262" s="107">
        <v>1</v>
      </c>
      <c r="J262" s="107">
        <f>H245</f>
        <v>1.0942494055689274</v>
      </c>
      <c r="K262" s="108">
        <f t="shared" si="0"/>
        <v>9.4249405568927358E-2</v>
      </c>
      <c r="L262" s="109"/>
    </row>
    <row r="263" spans="1:12" ht="14.95" thickBot="1" x14ac:dyDescent="0.3">
      <c r="A263" s="12"/>
      <c r="E263" s="110" t="s">
        <v>212</v>
      </c>
      <c r="F263" s="111" t="s">
        <v>250</v>
      </c>
      <c r="G263" s="112"/>
      <c r="H263" s="95" t="str">
        <f t="shared" si="1"/>
        <v>ATINGIDO</v>
      </c>
      <c r="I263" s="113">
        <v>0.98</v>
      </c>
      <c r="J263" s="114">
        <f>GETPIVOTDATA("DESEMPENHO  %",$E$160,"COLABORADOR","WARLEY GABRIEL")</f>
        <v>1</v>
      </c>
      <c r="K263" s="115">
        <f t="shared" si="0"/>
        <v>2.0000000000000018E-2</v>
      </c>
      <c r="L263" s="116">
        <f>AVERAGE(J263:J266)</f>
        <v>0.51816456350527718</v>
      </c>
    </row>
    <row r="264" spans="1:12" ht="14.95" thickBot="1" x14ac:dyDescent="0.3">
      <c r="A264" s="12"/>
      <c r="E264" s="110" t="s">
        <v>212</v>
      </c>
      <c r="F264" s="117" t="s">
        <v>247</v>
      </c>
      <c r="G264" s="118"/>
      <c r="H264" s="95" t="str">
        <f t="shared" si="1"/>
        <v>NÃO ATINGIDO</v>
      </c>
      <c r="I264" s="119">
        <f>14.29%/2</f>
        <v>7.145E-2</v>
      </c>
      <c r="J264" s="119">
        <f>G190</f>
        <v>5.0361044251064621E-2</v>
      </c>
      <c r="K264" s="120">
        <f t="shared" si="0"/>
        <v>-2.1088955748935378E-2</v>
      </c>
      <c r="L264" s="121"/>
    </row>
    <row r="265" spans="1:12" ht="14.95" thickBot="1" x14ac:dyDescent="0.3">
      <c r="A265" s="12"/>
      <c r="E265" s="110" t="s">
        <v>212</v>
      </c>
      <c r="F265" s="117" t="s">
        <v>248</v>
      </c>
      <c r="G265" s="118"/>
      <c r="H265" s="95" t="str">
        <f t="shared" si="1"/>
        <v>NÃO ATINGIDO</v>
      </c>
      <c r="I265" s="119">
        <f>14.29%/2</f>
        <v>7.145E-2</v>
      </c>
      <c r="J265" s="119">
        <f>G219</f>
        <v>5.4220473342598233E-2</v>
      </c>
      <c r="K265" s="120">
        <f t="shared" si="0"/>
        <v>-1.7229526657401767E-2</v>
      </c>
      <c r="L265" s="121"/>
    </row>
    <row r="266" spans="1:12" ht="14.95" thickBot="1" x14ac:dyDescent="0.3">
      <c r="A266" s="12"/>
      <c r="E266" s="110" t="s">
        <v>212</v>
      </c>
      <c r="F266" s="122" t="s">
        <v>249</v>
      </c>
      <c r="G266" s="123"/>
      <c r="H266" s="106" t="str">
        <f t="shared" si="1"/>
        <v>NÃO ATINGIDO</v>
      </c>
      <c r="I266" s="124">
        <v>1</v>
      </c>
      <c r="J266" s="125">
        <f>H246</f>
        <v>0.96807673642744574</v>
      </c>
      <c r="K266" s="120">
        <f t="shared" si="0"/>
        <v>-3.1923263572554261E-2</v>
      </c>
      <c r="L266" s="126"/>
    </row>
    <row r="267" spans="1:12" ht="14.95" thickBot="1" x14ac:dyDescent="0.3">
      <c r="A267" s="12"/>
      <c r="E267" s="127" t="s">
        <v>210</v>
      </c>
      <c r="F267" s="128" t="s">
        <v>250</v>
      </c>
      <c r="G267" s="129"/>
      <c r="H267" s="95" t="str">
        <f t="shared" si="1"/>
        <v>ATINGIDO</v>
      </c>
      <c r="I267" s="130">
        <v>0.98</v>
      </c>
      <c r="J267" s="131">
        <f>GETPIVOTDATA("DESEMPENHO  %",$E$160,"COLABORADOR","JAILSON")</f>
        <v>0.99916387959866226</v>
      </c>
      <c r="K267" s="132">
        <f t="shared" si="0"/>
        <v>1.9163879598662281E-2</v>
      </c>
      <c r="L267" s="133">
        <f>AVERAGE(J267:J270)</f>
        <v>0.59095143081597423</v>
      </c>
    </row>
    <row r="268" spans="1:12" ht="14.95" thickBot="1" x14ac:dyDescent="0.3">
      <c r="A268" s="12"/>
      <c r="E268" s="134" t="s">
        <v>210</v>
      </c>
      <c r="F268" s="135" t="s">
        <v>247</v>
      </c>
      <c r="G268" s="136"/>
      <c r="H268" s="95" t="str">
        <f t="shared" si="1"/>
        <v>NÃO ATINGIDO</v>
      </c>
      <c r="I268" s="137">
        <v>0.1429</v>
      </c>
      <c r="J268" s="137">
        <f>G196</f>
        <v>0.13090168487317164</v>
      </c>
      <c r="K268" s="132">
        <f t="shared" si="0"/>
        <v>-1.1998315126828363E-2</v>
      </c>
      <c r="L268" s="138"/>
    </row>
    <row r="269" spans="1:12" ht="14.95" thickBot="1" x14ac:dyDescent="0.3">
      <c r="A269" s="12"/>
      <c r="E269" s="134" t="s">
        <v>210</v>
      </c>
      <c r="F269" s="135" t="s">
        <v>248</v>
      </c>
      <c r="G269" s="136"/>
      <c r="H269" s="95" t="str">
        <f t="shared" si="1"/>
        <v>ATINGIDO</v>
      </c>
      <c r="I269" s="137">
        <v>0.1429</v>
      </c>
      <c r="J269" s="137">
        <f>G213</f>
        <v>0.14453240892553207</v>
      </c>
      <c r="K269" s="132">
        <f t="shared" si="0"/>
        <v>1.6324089255320695E-3</v>
      </c>
      <c r="L269" s="138"/>
    </row>
    <row r="270" spans="1:12" ht="14.95" thickBot="1" x14ac:dyDescent="0.3">
      <c r="A270" s="12"/>
      <c r="E270" s="139" t="s">
        <v>210</v>
      </c>
      <c r="F270" s="140" t="s">
        <v>249</v>
      </c>
      <c r="G270" s="141"/>
      <c r="H270" s="106" t="str">
        <f t="shared" si="1"/>
        <v>ATINGIDO</v>
      </c>
      <c r="I270" s="142">
        <v>1</v>
      </c>
      <c r="J270" s="142">
        <f>H243</f>
        <v>1.0892077498665311</v>
      </c>
      <c r="K270" s="132">
        <f t="shared" si="0"/>
        <v>8.9207749866531127E-2</v>
      </c>
      <c r="L270" s="143"/>
    </row>
    <row r="271" spans="1:12" ht="14.95" thickBot="1" x14ac:dyDescent="0.3">
      <c r="A271" s="12"/>
      <c r="E271" s="144" t="s">
        <v>251</v>
      </c>
      <c r="F271" s="145" t="s">
        <v>250</v>
      </c>
      <c r="G271" s="146"/>
      <c r="H271" s="147" t="str">
        <f t="shared" si="1"/>
        <v>ATINGIDO</v>
      </c>
      <c r="I271" s="148">
        <v>0.98</v>
      </c>
      <c r="J271" s="149">
        <f>GETPIVOTDATA("DESEMPENHO  %",$E$160,"COLABORADOR","PABLYNE SANTANA")</f>
        <v>1</v>
      </c>
      <c r="K271" s="150">
        <f t="shared" si="0"/>
        <v>2.0000000000000018E-2</v>
      </c>
      <c r="L271" s="151">
        <f>AVERAGE(J271:J274)</f>
        <v>0.58037359722324433</v>
      </c>
    </row>
    <row r="272" spans="1:12" ht="14.95" thickBot="1" x14ac:dyDescent="0.3">
      <c r="A272" s="12"/>
      <c r="E272" s="144" t="s">
        <v>251</v>
      </c>
      <c r="F272" s="152" t="s">
        <v>247</v>
      </c>
      <c r="G272" s="153"/>
      <c r="H272" s="147" t="str">
        <f t="shared" si="1"/>
        <v>NÃO ATINGIDO</v>
      </c>
      <c r="I272" s="154">
        <v>0.1429</v>
      </c>
      <c r="J272" s="154">
        <f>G188</f>
        <v>2.1107202369931494E-2</v>
      </c>
      <c r="K272" s="150">
        <f t="shared" si="0"/>
        <v>-0.12179279763006851</v>
      </c>
      <c r="L272" s="155"/>
    </row>
    <row r="273" spans="1:12" ht="14.95" thickBot="1" x14ac:dyDescent="0.3">
      <c r="A273" s="12"/>
      <c r="E273" s="144" t="s">
        <v>251</v>
      </c>
      <c r="F273" s="152" t="s">
        <v>248</v>
      </c>
      <c r="G273" s="153"/>
      <c r="H273" s="147" t="str">
        <f t="shared" si="1"/>
        <v>NÃO ATINGIDO</v>
      </c>
      <c r="I273" s="154">
        <v>0.1429</v>
      </c>
      <c r="J273" s="154">
        <f>G221</f>
        <v>2.7607314064427475E-2</v>
      </c>
      <c r="K273" s="150">
        <f t="shared" si="0"/>
        <v>-0.11529268593557253</v>
      </c>
      <c r="L273" s="155"/>
    </row>
    <row r="274" spans="1:12" ht="14.95" thickBot="1" x14ac:dyDescent="0.3">
      <c r="A274" s="12"/>
      <c r="E274" s="156" t="s">
        <v>251</v>
      </c>
      <c r="F274" s="157" t="s">
        <v>249</v>
      </c>
      <c r="G274" s="158"/>
      <c r="H274" s="159" t="str">
        <f t="shared" si="1"/>
        <v>ATINGIDO</v>
      </c>
      <c r="I274" s="160">
        <v>1</v>
      </c>
      <c r="J274" s="160">
        <f>H241</f>
        <v>1.2727798724586183</v>
      </c>
      <c r="K274" s="150">
        <f t="shared" si="0"/>
        <v>0.27277987245861834</v>
      </c>
      <c r="L274" s="161"/>
    </row>
    <row r="275" spans="1:12" ht="14.95" thickBot="1" x14ac:dyDescent="0.3">
      <c r="A275" s="12"/>
      <c r="E275" s="162" t="s">
        <v>213</v>
      </c>
      <c r="F275" s="163" t="s">
        <v>250</v>
      </c>
      <c r="G275" s="164"/>
      <c r="H275" s="95" t="str">
        <f t="shared" si="1"/>
        <v>ATINGIDO</v>
      </c>
      <c r="I275" s="165">
        <v>0.98</v>
      </c>
      <c r="J275" s="166">
        <f>GETPIVOTDATA("DESEMPENHO  %",$E$160,"COLABORADOR","IGOR")</f>
        <v>1</v>
      </c>
      <c r="K275" s="167">
        <f t="shared" si="0"/>
        <v>2.0000000000000018E-2</v>
      </c>
      <c r="L275" s="168">
        <f>AVERAGE(J275:J278)</f>
        <v>0.56009042730266123</v>
      </c>
    </row>
    <row r="276" spans="1:12" ht="14.95" thickBot="1" x14ac:dyDescent="0.3">
      <c r="A276" s="12"/>
      <c r="E276" s="162" t="s">
        <v>213</v>
      </c>
      <c r="F276" s="169" t="s">
        <v>247</v>
      </c>
      <c r="G276" s="170"/>
      <c r="H276" s="95" t="str">
        <f t="shared" si="1"/>
        <v>ATINGIDO</v>
      </c>
      <c r="I276" s="171">
        <v>0.1429</v>
      </c>
      <c r="J276" s="171">
        <f>G194</f>
        <v>0.16922792075541565</v>
      </c>
      <c r="K276" s="167">
        <f t="shared" si="0"/>
        <v>2.6327920755415651E-2</v>
      </c>
      <c r="L276" s="172"/>
    </row>
    <row r="277" spans="1:12" ht="14.95" thickBot="1" x14ac:dyDescent="0.3">
      <c r="A277" s="12"/>
      <c r="E277" s="162" t="s">
        <v>213</v>
      </c>
      <c r="F277" s="169" t="s">
        <v>248</v>
      </c>
      <c r="G277" s="170"/>
      <c r="H277" s="95" t="str">
        <f t="shared" si="1"/>
        <v>NÃO ATINGIDO</v>
      </c>
      <c r="I277" s="171">
        <v>0.1429</v>
      </c>
      <c r="J277" s="171">
        <f>G214</f>
        <v>0.13671970560526331</v>
      </c>
      <c r="K277" s="167">
        <f t="shared" si="0"/>
        <v>-6.1802943947366906E-3</v>
      </c>
      <c r="L277" s="172"/>
    </row>
    <row r="278" spans="1:12" ht="14.95" thickBot="1" x14ac:dyDescent="0.3">
      <c r="A278" s="12"/>
      <c r="E278" s="173" t="s">
        <v>213</v>
      </c>
      <c r="F278" s="174" t="s">
        <v>249</v>
      </c>
      <c r="G278" s="175"/>
      <c r="H278" s="106" t="str">
        <f t="shared" si="1"/>
        <v>NÃO ATINGIDO</v>
      </c>
      <c r="I278" s="176">
        <v>1</v>
      </c>
      <c r="J278" s="176">
        <f>H242</f>
        <v>0.93441408284996585</v>
      </c>
      <c r="K278" s="167">
        <f t="shared" si="0"/>
        <v>-6.5585917150034145E-2</v>
      </c>
      <c r="L278" s="177"/>
    </row>
    <row r="279" spans="1:12" ht="14.95" thickBot="1" x14ac:dyDescent="0.3">
      <c r="A279" s="12"/>
      <c r="E279" s="178" t="s">
        <v>211</v>
      </c>
      <c r="F279" s="179" t="s">
        <v>250</v>
      </c>
      <c r="G279" s="180"/>
      <c r="H279" s="95" t="str">
        <f t="shared" si="1"/>
        <v>ATINGIDO</v>
      </c>
      <c r="I279" s="181">
        <v>0.98</v>
      </c>
      <c r="J279" s="182">
        <f>GETPIVOTDATA("DESEMPENHO  %",$E$160,"COLABORADOR","FERNANDO BORGES")</f>
        <v>0.99844696969696978</v>
      </c>
      <c r="K279" s="183">
        <f t="shared" si="0"/>
        <v>1.8446969696969795E-2</v>
      </c>
      <c r="L279" s="184">
        <f>AVERAGE(J279:J282)</f>
        <v>0.58927565405231586</v>
      </c>
    </row>
    <row r="280" spans="1:12" ht="14.95" thickBot="1" x14ac:dyDescent="0.3">
      <c r="A280" s="12"/>
      <c r="E280" s="178" t="s">
        <v>211</v>
      </c>
      <c r="F280" s="185" t="s">
        <v>247</v>
      </c>
      <c r="G280" s="186"/>
      <c r="H280" s="95" t="str">
        <f t="shared" si="1"/>
        <v>ATINGIDO</v>
      </c>
      <c r="I280" s="187">
        <v>0.1429</v>
      </c>
      <c r="J280" s="187">
        <f>G192</f>
        <v>0.15386039622292169</v>
      </c>
      <c r="K280" s="183">
        <f t="shared" si="0"/>
        <v>1.0960396222921692E-2</v>
      </c>
      <c r="L280" s="188"/>
    </row>
    <row r="281" spans="1:12" ht="14.95" thickBot="1" x14ac:dyDescent="0.3">
      <c r="A281" s="12"/>
      <c r="E281" s="178" t="s">
        <v>211</v>
      </c>
      <c r="F281" s="185" t="s">
        <v>248</v>
      </c>
      <c r="G281" s="186"/>
      <c r="H281" s="95" t="str">
        <f t="shared" si="1"/>
        <v>ATINGIDO</v>
      </c>
      <c r="I281" s="187">
        <v>0.1429</v>
      </c>
      <c r="J281" s="187">
        <f>G216</f>
        <v>0.15335488202870037</v>
      </c>
      <c r="K281" s="183">
        <f t="shared" si="0"/>
        <v>1.0454882028700374E-2</v>
      </c>
      <c r="L281" s="188"/>
    </row>
    <row r="282" spans="1:12" ht="14.95" thickBot="1" x14ac:dyDescent="0.3">
      <c r="A282" s="12"/>
      <c r="E282" s="189" t="s">
        <v>211</v>
      </c>
      <c r="F282" s="190" t="s">
        <v>249</v>
      </c>
      <c r="G282" s="191"/>
      <c r="H282" s="106" t="str">
        <f t="shared" si="1"/>
        <v>ATINGIDO</v>
      </c>
      <c r="I282" s="192">
        <v>1</v>
      </c>
      <c r="J282" s="192">
        <f>H244</f>
        <v>1.0514403682606714</v>
      </c>
      <c r="K282" s="183">
        <f t="shared" si="0"/>
        <v>5.1440368260671443E-2</v>
      </c>
      <c r="L282" s="193"/>
    </row>
    <row r="283" spans="1:12" ht="14.95" thickBot="1" x14ac:dyDescent="0.3">
      <c r="A283" s="12"/>
      <c r="E283" s="194" t="s">
        <v>252</v>
      </c>
      <c r="F283" s="195" t="s">
        <v>250</v>
      </c>
      <c r="G283" s="196"/>
      <c r="H283" s="95" t="str">
        <f>IF(J283&gt;=I283,"ATINGIDO","NÃO ATINGIDO")</f>
        <v>ATINGIDO</v>
      </c>
      <c r="I283" s="197">
        <v>0.98</v>
      </c>
      <c r="J283" s="198">
        <f>GETPIVOTDATA("DESEMPENHO  %",$E$160,"COLABORADOR","ARMANDO SANTOS")</f>
        <v>1</v>
      </c>
      <c r="K283" s="199">
        <f t="shared" si="0"/>
        <v>2.0000000000000018E-2</v>
      </c>
      <c r="L283" s="200">
        <f>AVERAGE(J283:J286)</f>
        <v>0.45683087807946499</v>
      </c>
    </row>
    <row r="284" spans="1:12" ht="14.95" thickBot="1" x14ac:dyDescent="0.3">
      <c r="A284" s="12"/>
      <c r="E284" s="194" t="s">
        <v>252</v>
      </c>
      <c r="F284" s="201" t="s">
        <v>247</v>
      </c>
      <c r="G284" s="202"/>
      <c r="H284" s="95" t="str">
        <f t="shared" si="1"/>
        <v>NÃO ATINGIDO</v>
      </c>
      <c r="I284" s="203">
        <v>0.1429</v>
      </c>
      <c r="J284" s="203">
        <f>G191</f>
        <v>6.0914645436030368E-2</v>
      </c>
      <c r="K284" s="199">
        <f t="shared" si="0"/>
        <v>-8.1985354563969631E-2</v>
      </c>
      <c r="L284" s="204"/>
    </row>
    <row r="285" spans="1:12" ht="14.95" thickBot="1" x14ac:dyDescent="0.3">
      <c r="A285" s="12"/>
      <c r="E285" s="194" t="s">
        <v>252</v>
      </c>
      <c r="F285" s="201" t="s">
        <v>248</v>
      </c>
      <c r="G285" s="202"/>
      <c r="H285" s="95" t="str">
        <f t="shared" si="1"/>
        <v>NÃO ATINGIDO</v>
      </c>
      <c r="I285" s="203">
        <v>0.1429</v>
      </c>
      <c r="J285" s="203">
        <f>G218</f>
        <v>4.3763630590819426E-2</v>
      </c>
      <c r="K285" s="199">
        <f t="shared" si="0"/>
        <v>-9.913636940918058E-2</v>
      </c>
      <c r="L285" s="204"/>
    </row>
    <row r="286" spans="1:12" ht="14.95" thickBot="1" x14ac:dyDescent="0.3">
      <c r="A286" s="12"/>
      <c r="E286" s="205" t="s">
        <v>252</v>
      </c>
      <c r="F286" s="206" t="s">
        <v>249</v>
      </c>
      <c r="G286" s="207"/>
      <c r="H286" s="106" t="str">
        <f t="shared" si="1"/>
        <v>NÃO ATINGIDO</v>
      </c>
      <c r="I286" s="208">
        <v>1</v>
      </c>
      <c r="J286" s="209">
        <f>H248</f>
        <v>0.7226452362910103</v>
      </c>
      <c r="K286" s="199">
        <f t="shared" si="0"/>
        <v>-0.2773547637089897</v>
      </c>
      <c r="L286" s="210"/>
    </row>
    <row r="287" spans="1:12" ht="14.95" thickBot="1" x14ac:dyDescent="0.3">
      <c r="A287" s="12"/>
      <c r="E287" s="211" t="s">
        <v>214</v>
      </c>
      <c r="F287" s="212" t="s">
        <v>250</v>
      </c>
      <c r="G287" s="213"/>
      <c r="H287" s="95" t="str">
        <f t="shared" si="1"/>
        <v>ATINGIDO</v>
      </c>
      <c r="I287" s="214">
        <v>0.98</v>
      </c>
      <c r="J287" s="215">
        <f>GETPIVOTDATA("DESEMPENHO  %",$E$160,"COLABORADOR","WILSON JUNIOR")</f>
        <v>1</v>
      </c>
      <c r="K287" s="216">
        <f t="shared" si="0"/>
        <v>2.0000000000000018E-2</v>
      </c>
      <c r="L287" s="217">
        <f>AVERAGE(J287:J290)</f>
        <v>0.46178181387288186</v>
      </c>
    </row>
    <row r="288" spans="1:12" ht="14.95" thickBot="1" x14ac:dyDescent="0.3">
      <c r="A288" s="12"/>
      <c r="E288" s="211" t="s">
        <v>214</v>
      </c>
      <c r="F288" s="218" t="s">
        <v>247</v>
      </c>
      <c r="G288" s="219"/>
      <c r="H288" s="95" t="str">
        <f t="shared" si="1"/>
        <v>NÃO ATINGIDO</v>
      </c>
      <c r="I288" s="220">
        <v>0.1429</v>
      </c>
      <c r="J288" s="220">
        <f>G189</f>
        <v>4.2584706535826695E-2</v>
      </c>
      <c r="K288" s="216">
        <f t="shared" si="0"/>
        <v>-0.10031529346417331</v>
      </c>
      <c r="L288" s="221"/>
    </row>
    <row r="289" spans="1:12" ht="14.95" thickBot="1" x14ac:dyDescent="0.3">
      <c r="A289" s="12"/>
      <c r="E289" s="211" t="s">
        <v>214</v>
      </c>
      <c r="F289" s="218" t="s">
        <v>248</v>
      </c>
      <c r="G289" s="219"/>
      <c r="H289" s="95" t="str">
        <f t="shared" si="1"/>
        <v>NÃO ATINGIDO</v>
      </c>
      <c r="I289" s="220">
        <v>0.1429</v>
      </c>
      <c r="J289" s="220">
        <f>G221</f>
        <v>2.7607314064427475E-2</v>
      </c>
      <c r="K289" s="216">
        <f t="shared" si="0"/>
        <v>-0.11529268593557253</v>
      </c>
      <c r="L289" s="221"/>
    </row>
    <row r="290" spans="1:12" ht="14.95" thickBot="1" x14ac:dyDescent="0.3">
      <c r="A290" s="12"/>
      <c r="E290" s="222" t="s">
        <v>214</v>
      </c>
      <c r="F290" s="223" t="s">
        <v>249</v>
      </c>
      <c r="G290" s="224"/>
      <c r="H290" s="106" t="str">
        <f t="shared" si="1"/>
        <v>NÃO ATINGIDO</v>
      </c>
      <c r="I290" s="225">
        <v>1</v>
      </c>
      <c r="J290" s="226">
        <f>H249</f>
        <v>0.77693523489127314</v>
      </c>
      <c r="K290" s="216">
        <f t="shared" si="0"/>
        <v>-0.22306476510872686</v>
      </c>
      <c r="L290" s="227"/>
    </row>
    <row r="291" spans="1:12" ht="14.95" thickBot="1" x14ac:dyDescent="0.3">
      <c r="A291" s="12"/>
      <c r="E291" s="228" t="s">
        <v>253</v>
      </c>
      <c r="F291" s="229" t="s">
        <v>250</v>
      </c>
      <c r="G291" s="230"/>
      <c r="H291" s="95" t="str">
        <f t="shared" si="1"/>
        <v>ATINGIDO</v>
      </c>
      <c r="I291" s="231">
        <v>0.98</v>
      </c>
      <c r="J291" s="232">
        <f>GETPIVOTDATA("DESEMPENHO  %",$E$160,"COLABORADOR","RONALDO JOSE")</f>
        <v>1</v>
      </c>
      <c r="K291" s="233">
        <f t="shared" si="0"/>
        <v>2.0000000000000018E-2</v>
      </c>
      <c r="L291" s="234">
        <f>AVERAGE(J291:J294)</f>
        <v>0.67257959368846398</v>
      </c>
    </row>
    <row r="292" spans="1:12" ht="14.95" thickBot="1" x14ac:dyDescent="0.3">
      <c r="A292" s="12"/>
      <c r="E292" s="228" t="s">
        <v>253</v>
      </c>
      <c r="F292" s="235" t="s">
        <v>247</v>
      </c>
      <c r="G292" s="236"/>
      <c r="H292" s="95" t="str">
        <f t="shared" si="1"/>
        <v>ATINGIDO</v>
      </c>
      <c r="I292" s="237">
        <v>0.1429</v>
      </c>
      <c r="J292" s="237">
        <f>G193</f>
        <v>0.24088131827439363</v>
      </c>
      <c r="K292" s="233">
        <f t="shared" si="0"/>
        <v>9.7981318274393631E-2</v>
      </c>
      <c r="L292" s="238"/>
    </row>
    <row r="293" spans="1:12" ht="14.95" thickBot="1" x14ac:dyDescent="0.3">
      <c r="A293" s="12"/>
      <c r="E293" s="228" t="s">
        <v>253</v>
      </c>
      <c r="F293" s="235" t="s">
        <v>248</v>
      </c>
      <c r="G293" s="236"/>
      <c r="H293" s="95" t="str">
        <f t="shared" si="1"/>
        <v>ATINGIDO</v>
      </c>
      <c r="I293" s="237">
        <v>0.1429</v>
      </c>
      <c r="J293" s="237">
        <f>G217</f>
        <v>0.27328326124409885</v>
      </c>
      <c r="K293" s="233">
        <f t="shared" si="0"/>
        <v>0.13038326124409885</v>
      </c>
      <c r="L293" s="238"/>
    </row>
    <row r="294" spans="1:12" ht="14.95" thickBot="1" x14ac:dyDescent="0.3">
      <c r="A294" s="12"/>
      <c r="E294" s="239" t="s">
        <v>253</v>
      </c>
      <c r="F294" s="240" t="s">
        <v>249</v>
      </c>
      <c r="G294" s="241"/>
      <c r="H294" s="106" t="str">
        <f t="shared" si="1"/>
        <v>ATINGIDO</v>
      </c>
      <c r="I294" s="242">
        <v>1</v>
      </c>
      <c r="J294" s="242">
        <f>H247</f>
        <v>1.1761537952353638</v>
      </c>
      <c r="K294" s="233">
        <f t="shared" si="0"/>
        <v>0.17615379523536379</v>
      </c>
      <c r="L294" s="243"/>
    </row>
    <row r="295" spans="1:12" x14ac:dyDescent="0.25">
      <c r="A295" s="12"/>
    </row>
  </sheetData>
  <conditionalFormatting sqref="H259:H294">
    <cfRule type="containsText" dxfId="3" priority="1" operator="containsText" text="NÃO">
      <formula>NOT(ISERROR(SEARCH("NÃO",H259)))</formula>
    </cfRule>
    <cfRule type="containsText" dxfId="2" priority="2" operator="containsText" text="ATINGIDO">
      <formula>NOT(ISERROR(SEARCH("ATINGIDO",H259)))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1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7EDE-90B9-4A39-BF54-D8AF4343F77F}">
  <dimension ref="A1:K343"/>
  <sheetViews>
    <sheetView showGridLines="0" topLeftCell="A91" zoomScale="80" zoomScaleNormal="80" workbookViewId="0">
      <selection activeCell="C95" sqref="C95"/>
    </sheetView>
  </sheetViews>
  <sheetFormatPr defaultRowHeight="14.3" x14ac:dyDescent="0.25"/>
  <cols>
    <col min="1" max="1" width="20.875" bestFit="1" customWidth="1"/>
    <col min="2" max="2" width="24.625" bestFit="1" customWidth="1"/>
    <col min="3" max="3" width="28.875" bestFit="1" customWidth="1"/>
    <col min="4" max="4" width="20.875" bestFit="1" customWidth="1"/>
    <col min="5" max="5" width="30" bestFit="1" customWidth="1"/>
    <col min="6" max="6" width="20.375" bestFit="1" customWidth="1"/>
    <col min="7" max="7" width="20.875" bestFit="1" customWidth="1"/>
    <col min="8" max="8" width="30" bestFit="1" customWidth="1"/>
    <col min="9" max="9" width="23" bestFit="1" customWidth="1"/>
    <col min="10" max="10" width="12.625" bestFit="1" customWidth="1"/>
    <col min="11" max="11" width="20" bestFit="1" customWidth="1"/>
  </cols>
  <sheetData>
    <row r="1" spans="4:5" x14ac:dyDescent="0.25">
      <c r="D1" s="11" t="s">
        <v>191</v>
      </c>
      <c r="E1" s="11" t="s">
        <v>192</v>
      </c>
    </row>
    <row r="2" spans="4:5" x14ac:dyDescent="0.25">
      <c r="D2" s="12" t="s">
        <v>202</v>
      </c>
      <c r="E2" s="13">
        <f>C44</f>
        <v>0.99969579865239788</v>
      </c>
    </row>
    <row r="3" spans="4:5" x14ac:dyDescent="0.25">
      <c r="D3" s="12" t="s">
        <v>203</v>
      </c>
      <c r="E3" s="13">
        <f>100%-E2</f>
        <v>3.042013476021177E-4</v>
      </c>
    </row>
    <row r="29" spans="1:2" x14ac:dyDescent="0.25">
      <c r="A29" s="18" t="s">
        <v>0</v>
      </c>
      <c r="B29" t="s">
        <v>200</v>
      </c>
    </row>
    <row r="30" spans="1:2" x14ac:dyDescent="0.25">
      <c r="A30" s="8">
        <v>46024</v>
      </c>
      <c r="B30" s="5">
        <v>1</v>
      </c>
    </row>
    <row r="31" spans="1:2" x14ac:dyDescent="0.25">
      <c r="A31" s="8">
        <v>46027</v>
      </c>
      <c r="B31" s="5">
        <v>1</v>
      </c>
    </row>
    <row r="32" spans="1:2" x14ac:dyDescent="0.25">
      <c r="A32" s="8">
        <v>46028</v>
      </c>
      <c r="B32" s="5">
        <v>1</v>
      </c>
    </row>
    <row r="33" spans="1:4" x14ac:dyDescent="0.25">
      <c r="A33" s="8">
        <v>46029</v>
      </c>
      <c r="B33" s="5">
        <v>1</v>
      </c>
    </row>
    <row r="34" spans="1:4" x14ac:dyDescent="0.25">
      <c r="A34" s="8">
        <v>46030</v>
      </c>
      <c r="B34" s="5">
        <v>1</v>
      </c>
    </row>
    <row r="35" spans="1:4" x14ac:dyDescent="0.25">
      <c r="A35" s="8">
        <v>46031</v>
      </c>
      <c r="B35" s="5">
        <v>1</v>
      </c>
    </row>
    <row r="36" spans="1:4" x14ac:dyDescent="0.25">
      <c r="A36" s="8">
        <v>46032</v>
      </c>
      <c r="B36" s="5">
        <v>1</v>
      </c>
    </row>
    <row r="37" spans="1:4" x14ac:dyDescent="0.25">
      <c r="A37" s="8">
        <v>46034</v>
      </c>
      <c r="B37" s="5">
        <v>1</v>
      </c>
    </row>
    <row r="38" spans="1:4" x14ac:dyDescent="0.25">
      <c r="A38" s="8">
        <v>46035</v>
      </c>
      <c r="B38" s="5">
        <v>1</v>
      </c>
    </row>
    <row r="39" spans="1:4" x14ac:dyDescent="0.25">
      <c r="A39" s="8">
        <v>46036</v>
      </c>
      <c r="B39" s="5">
        <v>1</v>
      </c>
    </row>
    <row r="40" spans="1:4" x14ac:dyDescent="0.25">
      <c r="A40" s="8">
        <v>46037</v>
      </c>
      <c r="B40" s="5">
        <v>1</v>
      </c>
    </row>
    <row r="41" spans="1:4" x14ac:dyDescent="0.25">
      <c r="A41" s="8">
        <v>46038</v>
      </c>
      <c r="B41" s="5">
        <v>1</v>
      </c>
    </row>
    <row r="42" spans="1:4" x14ac:dyDescent="0.25">
      <c r="A42" s="8">
        <v>46039</v>
      </c>
      <c r="B42" s="5">
        <v>1</v>
      </c>
    </row>
    <row r="43" spans="1:4" x14ac:dyDescent="0.25">
      <c r="A43" s="8">
        <v>46041</v>
      </c>
      <c r="B43" s="5">
        <v>1</v>
      </c>
      <c r="C43" s="327" t="s">
        <v>204</v>
      </c>
      <c r="D43" s="327"/>
    </row>
    <row r="44" spans="1:4" x14ac:dyDescent="0.25">
      <c r="A44" s="8">
        <v>46042</v>
      </c>
      <c r="B44" s="5">
        <v>1</v>
      </c>
      <c r="C44" s="338">
        <f>GETPIVOTDATA("DESEMPENHO  %",$A$29)</f>
        <v>0.99969579865239788</v>
      </c>
      <c r="D44" s="338"/>
    </row>
    <row r="45" spans="1:4" x14ac:dyDescent="0.25">
      <c r="A45" s="8">
        <v>46043</v>
      </c>
      <c r="B45" s="5">
        <v>1</v>
      </c>
    </row>
    <row r="46" spans="1:4" ht="15.8" customHeight="1" x14ac:dyDescent="0.25">
      <c r="A46" s="8">
        <v>46044</v>
      </c>
      <c r="B46" s="5">
        <v>1</v>
      </c>
    </row>
    <row r="47" spans="1:4" x14ac:dyDescent="0.25">
      <c r="A47" s="8">
        <v>46045</v>
      </c>
      <c r="B47" s="5">
        <v>0.99655172413793092</v>
      </c>
    </row>
    <row r="48" spans="1:4" x14ac:dyDescent="0.25">
      <c r="A48" s="8">
        <v>46046</v>
      </c>
      <c r="B48" s="5">
        <v>1</v>
      </c>
    </row>
    <row r="49" spans="1:2" x14ac:dyDescent="0.25">
      <c r="A49" s="8">
        <v>46048</v>
      </c>
      <c r="B49" s="5">
        <v>1</v>
      </c>
    </row>
    <row r="50" spans="1:2" x14ac:dyDescent="0.25">
      <c r="A50" s="8">
        <v>46049</v>
      </c>
      <c r="B50" s="5">
        <v>1</v>
      </c>
    </row>
    <row r="51" spans="1:2" x14ac:dyDescent="0.25">
      <c r="A51" s="8">
        <v>46050</v>
      </c>
      <c r="B51" s="5">
        <v>1</v>
      </c>
    </row>
    <row r="52" spans="1:2" x14ac:dyDescent="0.25">
      <c r="A52" s="8">
        <v>46051</v>
      </c>
      <c r="B52" s="5">
        <v>0.995</v>
      </c>
    </row>
    <row r="53" spans="1:2" x14ac:dyDescent="0.25">
      <c r="A53" s="8">
        <v>46052</v>
      </c>
      <c r="B53" s="5">
        <v>0.99444444444444446</v>
      </c>
    </row>
    <row r="54" spans="1:2" x14ac:dyDescent="0.25">
      <c r="A54" s="8">
        <v>46053</v>
      </c>
      <c r="B54" s="5">
        <v>1</v>
      </c>
    </row>
    <row r="55" spans="1:2" x14ac:dyDescent="0.25">
      <c r="A55" s="8">
        <v>46055</v>
      </c>
      <c r="B55" s="5">
        <v>1</v>
      </c>
    </row>
    <row r="56" spans="1:2" x14ac:dyDescent="0.25">
      <c r="A56" s="8">
        <v>46056</v>
      </c>
      <c r="B56" s="5">
        <v>1</v>
      </c>
    </row>
    <row r="57" spans="1:2" x14ac:dyDescent="0.25">
      <c r="A57" s="8">
        <v>46057</v>
      </c>
      <c r="B57" s="5">
        <v>1</v>
      </c>
    </row>
    <row r="58" spans="1:2" x14ac:dyDescent="0.25">
      <c r="A58" s="8">
        <v>46058</v>
      </c>
      <c r="B58" s="5">
        <v>1</v>
      </c>
    </row>
    <row r="59" spans="1:2" x14ac:dyDescent="0.25">
      <c r="A59" s="8">
        <v>46059</v>
      </c>
      <c r="B59" s="5">
        <v>1</v>
      </c>
    </row>
    <row r="60" spans="1:2" x14ac:dyDescent="0.25">
      <c r="A60" s="8">
        <v>46060</v>
      </c>
      <c r="B60" s="5">
        <v>1</v>
      </c>
    </row>
    <row r="61" spans="1:2" x14ac:dyDescent="0.25">
      <c r="A61" s="8">
        <v>46062</v>
      </c>
      <c r="B61" s="5">
        <v>1</v>
      </c>
    </row>
    <row r="62" spans="1:2" x14ac:dyDescent="0.25">
      <c r="A62" s="8">
        <v>46063</v>
      </c>
      <c r="B62" s="5">
        <v>1</v>
      </c>
    </row>
    <row r="63" spans="1:2" x14ac:dyDescent="0.25">
      <c r="A63" s="8">
        <v>46064</v>
      </c>
      <c r="B63" s="5">
        <v>1</v>
      </c>
    </row>
    <row r="64" spans="1:2" x14ac:dyDescent="0.25">
      <c r="A64" s="8">
        <v>46065</v>
      </c>
      <c r="B64" s="5">
        <v>1</v>
      </c>
    </row>
    <row r="65" spans="1:2" x14ac:dyDescent="0.25">
      <c r="A65" s="8">
        <v>46066</v>
      </c>
      <c r="B65" s="5">
        <v>1</v>
      </c>
    </row>
    <row r="66" spans="1:2" x14ac:dyDescent="0.25">
      <c r="A66" s="8">
        <v>46067</v>
      </c>
      <c r="B66" s="5">
        <v>1</v>
      </c>
    </row>
    <row r="67" spans="1:2" x14ac:dyDescent="0.25">
      <c r="A67" s="8">
        <v>46069</v>
      </c>
      <c r="B67" s="5">
        <v>1</v>
      </c>
    </row>
    <row r="68" spans="1:2" x14ac:dyDescent="0.25">
      <c r="A68" s="8">
        <v>46070</v>
      </c>
      <c r="B68" s="5">
        <v>1</v>
      </c>
    </row>
    <row r="69" spans="1:2" x14ac:dyDescent="0.25">
      <c r="A69" s="8">
        <v>46071</v>
      </c>
      <c r="B69" s="5">
        <v>1</v>
      </c>
    </row>
    <row r="70" spans="1:2" x14ac:dyDescent="0.25">
      <c r="A70" s="8">
        <v>46072</v>
      </c>
      <c r="B70" s="5">
        <v>1</v>
      </c>
    </row>
    <row r="71" spans="1:2" x14ac:dyDescent="0.25">
      <c r="A71" s="8">
        <v>46073</v>
      </c>
      <c r="B71" s="5">
        <v>1</v>
      </c>
    </row>
    <row r="72" spans="1:2" x14ac:dyDescent="0.25">
      <c r="A72" s="8">
        <v>46074</v>
      </c>
      <c r="B72" s="5">
        <v>1</v>
      </c>
    </row>
    <row r="73" spans="1:2" x14ac:dyDescent="0.25">
      <c r="A73" s="8">
        <v>46075</v>
      </c>
      <c r="B73" s="5">
        <v>1</v>
      </c>
    </row>
    <row r="74" spans="1:2" x14ac:dyDescent="0.25">
      <c r="A74" s="8">
        <v>46077</v>
      </c>
      <c r="B74" s="5">
        <v>1</v>
      </c>
    </row>
    <row r="75" spans="1:2" x14ac:dyDescent="0.25">
      <c r="A75" s="8">
        <v>46078</v>
      </c>
      <c r="B75" s="5">
        <v>1</v>
      </c>
    </row>
    <row r="76" spans="1:2" x14ac:dyDescent="0.25">
      <c r="A76" s="8">
        <v>46079</v>
      </c>
      <c r="B76" s="5">
        <v>1</v>
      </c>
    </row>
    <row r="77" spans="1:2" x14ac:dyDescent="0.25">
      <c r="A77" s="8">
        <v>46080</v>
      </c>
      <c r="B77" s="5">
        <v>1</v>
      </c>
    </row>
    <row r="78" spans="1:2" x14ac:dyDescent="0.25">
      <c r="A78" s="8">
        <v>46081</v>
      </c>
      <c r="B78" s="5">
        <v>1</v>
      </c>
    </row>
    <row r="79" spans="1:2" x14ac:dyDescent="0.25">
      <c r="A79" s="8" t="s">
        <v>160</v>
      </c>
      <c r="B79" s="5">
        <v>0.99969579865239788</v>
      </c>
    </row>
    <row r="81" spans="4:8" x14ac:dyDescent="0.25">
      <c r="D81" s="327" t="s">
        <v>216</v>
      </c>
      <c r="E81" s="327"/>
    </row>
    <row r="82" spans="4:8" x14ac:dyDescent="0.25">
      <c r="D82" s="339">
        <f>GETPIVOTDATA("MEDIA SKU POR PEDIDO",$G$92)</f>
        <v>5.3223688233423641</v>
      </c>
      <c r="E82" s="339"/>
    </row>
    <row r="92" spans="4:8" x14ac:dyDescent="0.25">
      <c r="G92" s="18" t="s">
        <v>133</v>
      </c>
      <c r="H92" t="s">
        <v>205</v>
      </c>
    </row>
    <row r="93" spans="4:8" x14ac:dyDescent="0.25">
      <c r="G93" s="9" t="s">
        <v>254</v>
      </c>
      <c r="H93" s="14">
        <v>6.5</v>
      </c>
    </row>
    <row r="94" spans="4:8" x14ac:dyDescent="0.25">
      <c r="G94" s="9" t="s">
        <v>255</v>
      </c>
      <c r="H94" s="14">
        <v>6.4987249386150134</v>
      </c>
    </row>
    <row r="95" spans="4:8" x14ac:dyDescent="0.25">
      <c r="G95" s="9" t="s">
        <v>256</v>
      </c>
      <c r="H95" s="14">
        <v>6.0018004057016716</v>
      </c>
    </row>
    <row r="96" spans="4:8" x14ac:dyDescent="0.25">
      <c r="G96" s="9" t="s">
        <v>257</v>
      </c>
      <c r="H96" s="14">
        <v>5.7190103371127403</v>
      </c>
    </row>
    <row r="97" spans="1:8" x14ac:dyDescent="0.25">
      <c r="G97" s="9" t="s">
        <v>258</v>
      </c>
      <c r="H97" s="14">
        <v>5.6749999999999998</v>
      </c>
    </row>
    <row r="98" spans="1:8" x14ac:dyDescent="0.25">
      <c r="G98" s="9" t="s">
        <v>262</v>
      </c>
      <c r="H98" s="14">
        <v>5.5420207703897644</v>
      </c>
    </row>
    <row r="99" spans="1:8" x14ac:dyDescent="0.25">
      <c r="G99" s="9" t="s">
        <v>277</v>
      </c>
      <c r="H99" s="14">
        <v>5.4898809523809522</v>
      </c>
    </row>
    <row r="100" spans="1:8" x14ac:dyDescent="0.25">
      <c r="G100" s="9" t="s">
        <v>212</v>
      </c>
      <c r="H100" s="14">
        <v>4.8</v>
      </c>
    </row>
    <row r="101" spans="1:8" x14ac:dyDescent="0.25">
      <c r="G101" s="9" t="s">
        <v>259</v>
      </c>
      <c r="H101" s="14">
        <v>4.5130952380952376</v>
      </c>
    </row>
    <row r="102" spans="1:8" x14ac:dyDescent="0.25">
      <c r="G102" s="9" t="s">
        <v>260</v>
      </c>
      <c r="H102" s="14">
        <v>4.3763878691455629</v>
      </c>
    </row>
    <row r="103" spans="1:8" x14ac:dyDescent="0.25">
      <c r="G103" s="9" t="s">
        <v>261</v>
      </c>
      <c r="H103" s="14">
        <v>3.7443721719457019</v>
      </c>
    </row>
    <row r="104" spans="1:8" x14ac:dyDescent="0.25">
      <c r="G104" s="9" t="s">
        <v>160</v>
      </c>
      <c r="H104" s="14">
        <v>5.3223688233423641</v>
      </c>
    </row>
    <row r="110" spans="1:8" x14ac:dyDescent="0.25">
      <c r="A110" s="18" t="s">
        <v>133</v>
      </c>
      <c r="B110" t="s">
        <v>217</v>
      </c>
    </row>
    <row r="111" spans="1:8" x14ac:dyDescent="0.25">
      <c r="A111" s="9" t="s">
        <v>255</v>
      </c>
      <c r="B111">
        <v>59607</v>
      </c>
    </row>
    <row r="112" spans="1:8" x14ac:dyDescent="0.25">
      <c r="A112" s="9" t="s">
        <v>257</v>
      </c>
      <c r="B112">
        <v>47208</v>
      </c>
    </row>
    <row r="113" spans="1:3" x14ac:dyDescent="0.25">
      <c r="A113" s="9" t="s">
        <v>256</v>
      </c>
      <c r="B113">
        <v>30829</v>
      </c>
    </row>
    <row r="114" spans="1:3" x14ac:dyDescent="0.25">
      <c r="A114" s="9" t="s">
        <v>260</v>
      </c>
      <c r="B114">
        <v>27245</v>
      </c>
    </row>
    <row r="115" spans="1:3" x14ac:dyDescent="0.25">
      <c r="A115" s="9" t="s">
        <v>262</v>
      </c>
      <c r="B115">
        <v>20115</v>
      </c>
    </row>
    <row r="116" spans="1:3" x14ac:dyDescent="0.25">
      <c r="A116" s="9" t="s">
        <v>261</v>
      </c>
      <c r="B116">
        <v>8912</v>
      </c>
    </row>
    <row r="117" spans="1:3" x14ac:dyDescent="0.25">
      <c r="A117" s="9" t="s">
        <v>277</v>
      </c>
      <c r="B117">
        <v>2301</v>
      </c>
    </row>
    <row r="118" spans="1:3" x14ac:dyDescent="0.25">
      <c r="A118" s="9" t="s">
        <v>258</v>
      </c>
      <c r="B118">
        <v>1615</v>
      </c>
    </row>
    <row r="119" spans="1:3" x14ac:dyDescent="0.25">
      <c r="A119" s="9" t="s">
        <v>259</v>
      </c>
      <c r="B119">
        <v>688</v>
      </c>
    </row>
    <row r="120" spans="1:3" x14ac:dyDescent="0.25">
      <c r="A120" s="9" t="s">
        <v>212</v>
      </c>
      <c r="B120">
        <v>283</v>
      </c>
    </row>
    <row r="121" spans="1:3" x14ac:dyDescent="0.25">
      <c r="A121" s="9" t="s">
        <v>254</v>
      </c>
      <c r="B121">
        <v>34</v>
      </c>
    </row>
    <row r="122" spans="1:3" x14ac:dyDescent="0.25">
      <c r="A122" s="9" t="s">
        <v>160</v>
      </c>
      <c r="B122">
        <v>198837</v>
      </c>
    </row>
    <row r="124" spans="1:3" x14ac:dyDescent="0.25">
      <c r="C124" s="3">
        <f>GETPIVOTDATA("ITENS SEPARADOS",$A$110)</f>
        <v>198837</v>
      </c>
    </row>
    <row r="149" spans="1:3" x14ac:dyDescent="0.25">
      <c r="A149" s="18" t="s">
        <v>133</v>
      </c>
      <c r="B149" t="s">
        <v>221</v>
      </c>
    </row>
    <row r="150" spans="1:3" x14ac:dyDescent="0.25">
      <c r="A150" s="9" t="s">
        <v>255</v>
      </c>
      <c r="B150">
        <v>1747</v>
      </c>
    </row>
    <row r="151" spans="1:3" x14ac:dyDescent="0.25">
      <c r="A151" s="9" t="s">
        <v>257</v>
      </c>
      <c r="B151">
        <v>1385</v>
      </c>
    </row>
    <row r="152" spans="1:3" x14ac:dyDescent="0.25">
      <c r="A152" s="9" t="s">
        <v>256</v>
      </c>
      <c r="B152">
        <v>890</v>
      </c>
    </row>
    <row r="153" spans="1:3" x14ac:dyDescent="0.25">
      <c r="A153" s="9" t="s">
        <v>260</v>
      </c>
      <c r="B153">
        <v>647</v>
      </c>
    </row>
    <row r="154" spans="1:3" x14ac:dyDescent="0.25">
      <c r="A154" s="9" t="s">
        <v>262</v>
      </c>
      <c r="B154">
        <v>474</v>
      </c>
    </row>
    <row r="155" spans="1:3" x14ac:dyDescent="0.25">
      <c r="A155" s="9" t="s">
        <v>261</v>
      </c>
      <c r="B155">
        <v>186</v>
      </c>
    </row>
    <row r="156" spans="1:3" x14ac:dyDescent="0.25">
      <c r="A156" s="9" t="s">
        <v>277</v>
      </c>
      <c r="B156">
        <v>70</v>
      </c>
    </row>
    <row r="157" spans="1:3" x14ac:dyDescent="0.25">
      <c r="A157" s="9" t="s">
        <v>259</v>
      </c>
      <c r="B157">
        <v>32</v>
      </c>
    </row>
    <row r="158" spans="1:3" x14ac:dyDescent="0.25">
      <c r="A158" s="9" t="s">
        <v>258</v>
      </c>
      <c r="B158">
        <v>29</v>
      </c>
      <c r="C158" s="3">
        <f>GETPIVOTDATA("QTD PEDIDOS",$A$149)</f>
        <v>5472</v>
      </c>
    </row>
    <row r="159" spans="1:3" x14ac:dyDescent="0.25">
      <c r="A159" s="9" t="s">
        <v>212</v>
      </c>
      <c r="B159">
        <v>10</v>
      </c>
    </row>
    <row r="160" spans="1:3" x14ac:dyDescent="0.25">
      <c r="A160" s="9" t="s">
        <v>254</v>
      </c>
      <c r="B160">
        <v>2</v>
      </c>
    </row>
    <row r="161" spans="1:2" x14ac:dyDescent="0.25">
      <c r="A161" s="9" t="s">
        <v>160</v>
      </c>
      <c r="B161">
        <v>5472</v>
      </c>
    </row>
    <row r="182" spans="1:7" ht="14.95" thickBot="1" x14ac:dyDescent="0.3">
      <c r="A182" s="18" t="s">
        <v>0</v>
      </c>
      <c r="B182" t="s">
        <v>200</v>
      </c>
    </row>
    <row r="183" spans="1:7" x14ac:dyDescent="0.25">
      <c r="A183" s="9" t="s">
        <v>260</v>
      </c>
      <c r="B183" s="5">
        <v>1</v>
      </c>
      <c r="D183" s="329" t="s">
        <v>232</v>
      </c>
      <c r="E183" s="330"/>
      <c r="F183" s="330"/>
      <c r="G183" s="331"/>
    </row>
    <row r="184" spans="1:7" ht="14.95" thickBot="1" x14ac:dyDescent="0.3">
      <c r="A184" s="9" t="s">
        <v>261</v>
      </c>
      <c r="B184" s="5">
        <v>1</v>
      </c>
      <c r="D184" s="335"/>
      <c r="E184" s="336"/>
      <c r="F184" s="336"/>
      <c r="G184" s="337"/>
    </row>
    <row r="185" spans="1:7" x14ac:dyDescent="0.25">
      <c r="A185" s="9" t="s">
        <v>255</v>
      </c>
      <c r="B185" s="5">
        <v>1</v>
      </c>
      <c r="D185" s="27"/>
      <c r="G185" s="28"/>
    </row>
    <row r="186" spans="1:7" x14ac:dyDescent="0.25">
      <c r="A186" s="9" t="s">
        <v>256</v>
      </c>
      <c r="B186" s="5">
        <v>0.99909909909909911</v>
      </c>
      <c r="D186" s="29" t="s">
        <v>226</v>
      </c>
      <c r="E186" s="12" t="s">
        <v>233</v>
      </c>
      <c r="F186" s="12" t="s">
        <v>234</v>
      </c>
      <c r="G186" s="54" t="s">
        <v>235</v>
      </c>
    </row>
    <row r="187" spans="1:7" x14ac:dyDescent="0.25">
      <c r="A187" s="9" t="s">
        <v>277</v>
      </c>
      <c r="B187" s="5">
        <v>1</v>
      </c>
      <c r="D187" s="30">
        <f>COUNTA(D191:D196)-2</f>
        <v>4</v>
      </c>
      <c r="E187" s="22">
        <f>GETPIVOTDATA("QTD PEDIDOS",$A$149)</f>
        <v>5472</v>
      </c>
      <c r="F187" s="22">
        <f>E187/D187</f>
        <v>1368</v>
      </c>
      <c r="G187" s="55">
        <f>100%/D187</f>
        <v>0.25</v>
      </c>
    </row>
    <row r="188" spans="1:7" x14ac:dyDescent="0.25">
      <c r="A188" s="9" t="s">
        <v>262</v>
      </c>
      <c r="B188" s="5">
        <v>1</v>
      </c>
      <c r="D188" s="27"/>
      <c r="G188" s="28"/>
    </row>
    <row r="189" spans="1:7" x14ac:dyDescent="0.25">
      <c r="A189" s="9" t="s">
        <v>257</v>
      </c>
      <c r="B189" s="5">
        <v>0.99906896551724134</v>
      </c>
      <c r="D189" s="27"/>
      <c r="G189" s="28"/>
    </row>
    <row r="190" spans="1:7" ht="14.95" thickBot="1" x14ac:dyDescent="0.3">
      <c r="A190" s="9" t="s">
        <v>258</v>
      </c>
      <c r="B190" s="5">
        <v>1</v>
      </c>
      <c r="D190" s="246" t="s">
        <v>263</v>
      </c>
      <c r="E190" s="249" t="s">
        <v>264</v>
      </c>
      <c r="F190" s="35" t="s">
        <v>236</v>
      </c>
      <c r="G190" s="72" t="s">
        <v>230</v>
      </c>
    </row>
    <row r="191" spans="1:7" x14ac:dyDescent="0.25">
      <c r="A191" s="9" t="s">
        <v>259</v>
      </c>
      <c r="B191" s="5">
        <v>1</v>
      </c>
      <c r="D191" s="82" t="s">
        <v>254</v>
      </c>
      <c r="E191" s="250">
        <v>2</v>
      </c>
      <c r="F191" s="32">
        <f>GETPIVOTDATA("QTD PEDIDOS",$D$190,"COLABORADOR","Fernando")/E187</f>
        <v>8.6622807017543865E-2</v>
      </c>
      <c r="G191" s="54" t="str">
        <f>IF(F191&lt;G187,"NÃO ATINGIDO","ATINGIDO")</f>
        <v>NÃO ATINGIDO</v>
      </c>
    </row>
    <row r="192" spans="1:7" x14ac:dyDescent="0.25">
      <c r="A192" s="9" t="s">
        <v>212</v>
      </c>
      <c r="B192" s="5">
        <v>1</v>
      </c>
      <c r="D192" s="82" t="s">
        <v>212</v>
      </c>
      <c r="E192" s="250">
        <v>10</v>
      </c>
      <c r="F192" s="32">
        <f>GETPIVOTDATA("QTD PEDIDOS",$D$190,"COLABORADOR","Wilson")/E187</f>
        <v>3.399122807017544E-2</v>
      </c>
      <c r="G192" s="54" t="str">
        <f>IF(F192&lt;G187,"NÃO ATINGIDO","ATINGIDO")</f>
        <v>NÃO ATINGIDO</v>
      </c>
    </row>
    <row r="193" spans="1:7" x14ac:dyDescent="0.25">
      <c r="A193" s="9" t="s">
        <v>254</v>
      </c>
      <c r="B193" s="5">
        <v>1</v>
      </c>
      <c r="D193" s="82" t="s">
        <v>258</v>
      </c>
      <c r="E193" s="250">
        <v>29</v>
      </c>
      <c r="F193" s="32">
        <f>GETPIVOTDATA("QTD PEDIDOS",$D$190,"COLABORADOR","Armando")/E187</f>
        <v>0.11823830409356725</v>
      </c>
      <c r="G193" s="54" t="str">
        <f>IF(F193&lt;G187,"NÃO ATINGIDO","ATINGIDO")</f>
        <v>NÃO ATINGIDO</v>
      </c>
    </row>
    <row r="194" spans="1:7" x14ac:dyDescent="0.25">
      <c r="A194" s="9" t="s">
        <v>160</v>
      </c>
      <c r="B194" s="5">
        <v>0.99969579865239788</v>
      </c>
      <c r="D194" s="82" t="s">
        <v>259</v>
      </c>
      <c r="E194" s="250">
        <v>32</v>
      </c>
      <c r="F194" s="32">
        <f>GETPIVOTDATA("QTD PEDIDOS",$D$190,"COLABORADOR","Ronaldo ")/E187</f>
        <v>0.16264619883040934</v>
      </c>
      <c r="G194" s="54" t="str">
        <f>IF(F194&lt;G187,"NÃO ATINGIDO","ATINGIDO")</f>
        <v>NÃO ATINGIDO</v>
      </c>
    </row>
    <row r="195" spans="1:7" x14ac:dyDescent="0.25">
      <c r="D195" s="82" t="s">
        <v>277</v>
      </c>
      <c r="E195" s="250">
        <v>70</v>
      </c>
      <c r="F195" s="32">
        <f>GETPIVOTDATA("QTD PEDIDOS",$D$190,"COLABORADOR","Igor")/E187</f>
        <v>0.25310672514619881</v>
      </c>
      <c r="G195" s="12" t="str">
        <f>IF(F195&lt;G187,"NÃO ATINGIDO","ATINGIDO")</f>
        <v>ATINGIDO</v>
      </c>
    </row>
    <row r="196" spans="1:7" x14ac:dyDescent="0.25">
      <c r="D196" s="82" t="s">
        <v>261</v>
      </c>
      <c r="E196" s="250">
        <v>186</v>
      </c>
      <c r="F196" s="32">
        <f>GETPIVOTDATA("QTD PEDIDOS",$D$190,"COLABORADOR","Marileuza")/E187</f>
        <v>0.31926169590643277</v>
      </c>
      <c r="G196" s="12" t="str">
        <f>IF(F196&lt;G187,"NÃO ATINGIDO","ATINGIDO")</f>
        <v>ATINGIDO</v>
      </c>
    </row>
    <row r="197" spans="1:7" x14ac:dyDescent="0.25">
      <c r="D197" s="82" t="s">
        <v>262</v>
      </c>
      <c r="E197" s="250">
        <v>474</v>
      </c>
      <c r="F197" s="251"/>
    </row>
    <row r="198" spans="1:7" x14ac:dyDescent="0.25">
      <c r="D198" s="82" t="s">
        <v>260</v>
      </c>
      <c r="E198" s="250">
        <v>647</v>
      </c>
      <c r="F198" s="251"/>
    </row>
    <row r="199" spans="1:7" x14ac:dyDescent="0.25">
      <c r="D199" s="82" t="s">
        <v>256</v>
      </c>
      <c r="E199" s="250">
        <v>890</v>
      </c>
      <c r="F199" s="251"/>
    </row>
    <row r="200" spans="1:7" x14ac:dyDescent="0.25">
      <c r="D200" s="82" t="s">
        <v>257</v>
      </c>
      <c r="E200" s="250">
        <v>1385</v>
      </c>
    </row>
    <row r="201" spans="1:7" ht="14.95" thickBot="1" x14ac:dyDescent="0.3">
      <c r="D201" s="85" t="s">
        <v>255</v>
      </c>
      <c r="E201" s="250">
        <v>1747</v>
      </c>
    </row>
    <row r="202" spans="1:7" ht="14.95" thickBot="1" x14ac:dyDescent="0.3">
      <c r="D202" s="85" t="s">
        <v>160</v>
      </c>
      <c r="E202" s="12">
        <v>5472</v>
      </c>
    </row>
    <row r="210" spans="4:7" ht="14.95" thickBot="1" x14ac:dyDescent="0.3"/>
    <row r="211" spans="4:7" x14ac:dyDescent="0.25">
      <c r="D211" s="329" t="s">
        <v>265</v>
      </c>
      <c r="E211" s="330"/>
      <c r="F211" s="330"/>
      <c r="G211" s="331"/>
    </row>
    <row r="212" spans="4:7" x14ac:dyDescent="0.25">
      <c r="D212" s="332"/>
      <c r="E212" s="333"/>
      <c r="F212" s="333"/>
      <c r="G212" s="334"/>
    </row>
    <row r="213" spans="4:7" ht="14.95" thickBot="1" x14ac:dyDescent="0.3">
      <c r="D213" s="335"/>
      <c r="E213" s="336"/>
      <c r="F213" s="336"/>
      <c r="G213" s="337"/>
    </row>
    <row r="214" spans="4:7" x14ac:dyDescent="0.25">
      <c r="D214" s="69"/>
      <c r="E214" s="59"/>
      <c r="F214" s="59"/>
      <c r="G214" s="64"/>
    </row>
    <row r="215" spans="4:7" x14ac:dyDescent="0.25">
      <c r="D215" s="65" t="s">
        <v>226</v>
      </c>
      <c r="E215" s="66" t="s">
        <v>266</v>
      </c>
      <c r="F215" s="66" t="s">
        <v>238</v>
      </c>
      <c r="G215" s="36" t="s">
        <v>235</v>
      </c>
    </row>
    <row r="216" spans="4:7" x14ac:dyDescent="0.25">
      <c r="D216" s="65">
        <f>COUNTA(D221:D226)-2</f>
        <v>4</v>
      </c>
      <c r="E216" s="67">
        <f>GETPIVOTDATA("ITENS SEPARADOS",$A$110)</f>
        <v>198837</v>
      </c>
      <c r="F216" s="67">
        <f>E216/D216</f>
        <v>49709.25</v>
      </c>
      <c r="G216" s="68">
        <f>100%/D216</f>
        <v>0.25</v>
      </c>
    </row>
    <row r="217" spans="4:7" x14ac:dyDescent="0.25">
      <c r="D217" s="27"/>
      <c r="G217" s="28"/>
    </row>
    <row r="218" spans="4:7" x14ac:dyDescent="0.25">
      <c r="D218" s="27"/>
      <c r="G218" s="28"/>
    </row>
    <row r="219" spans="4:7" x14ac:dyDescent="0.25">
      <c r="D219" s="27"/>
      <c r="G219" s="28"/>
    </row>
    <row r="220" spans="4:7" x14ac:dyDescent="0.25">
      <c r="D220" s="262" t="s">
        <v>263</v>
      </c>
      <c r="E220" s="250" t="s">
        <v>267</v>
      </c>
      <c r="F220" s="35" t="s">
        <v>268</v>
      </c>
      <c r="G220" s="66" t="s">
        <v>230</v>
      </c>
    </row>
    <row r="221" spans="4:7" x14ac:dyDescent="0.25">
      <c r="D221" s="82" t="s">
        <v>255</v>
      </c>
      <c r="E221" s="252">
        <v>59607</v>
      </c>
      <c r="F221" s="32">
        <f>GETPIVOTDATA("ITENS SEPARADOS",$D$220,"COLABORADOR","Marileuza")/E216</f>
        <v>0.29977821029285295</v>
      </c>
      <c r="G221" s="12" t="str">
        <f>IF(F221&lt;G216,"NÃO ATINGIDO","ATINGIDO")</f>
        <v>ATINGIDO</v>
      </c>
    </row>
    <row r="222" spans="4:7" x14ac:dyDescent="0.25">
      <c r="D222" s="82" t="s">
        <v>257</v>
      </c>
      <c r="E222" s="252">
        <v>47208</v>
      </c>
      <c r="F222" s="32">
        <f>GETPIVOTDATA("ITENS SEPARADOS",$D$220,"COLABORADOR","Igor")/E216</f>
        <v>0.23742060079361488</v>
      </c>
      <c r="G222" s="12" t="str">
        <f>IF(F222&lt;G216,"NÃO ATINGIDO","ATINGIDO")</f>
        <v>NÃO ATINGIDO</v>
      </c>
    </row>
    <row r="223" spans="4:7" x14ac:dyDescent="0.25">
      <c r="D223" s="82" t="s">
        <v>256</v>
      </c>
      <c r="E223" s="252">
        <v>30829</v>
      </c>
      <c r="F223" s="32">
        <f>GETPIVOTDATA("ITENS SEPARADOS",$D$220,"COLABORADOR","Ronaldo ")/E216</f>
        <v>0.15504659595548112</v>
      </c>
      <c r="G223" s="12" t="str">
        <f>IF(F223&lt;G216,"NÃO ATINGIDO","ATINGIDO")</f>
        <v>NÃO ATINGIDO</v>
      </c>
    </row>
    <row r="224" spans="4:7" x14ac:dyDescent="0.25">
      <c r="D224" s="82" t="s">
        <v>260</v>
      </c>
      <c r="E224" s="252">
        <v>27245</v>
      </c>
      <c r="F224" s="32">
        <f>GETPIVOTDATA("ITENS SEPARADOS",$D$220,"COLABORADOR","Marileuza")/E216</f>
        <v>0.29977821029285295</v>
      </c>
      <c r="G224" s="12" t="str">
        <f>IF(F224&lt;G216,"NÃO ATINGIDO","ATINGIDO")</f>
        <v>ATINGIDO</v>
      </c>
    </row>
    <row r="225" spans="4:7" x14ac:dyDescent="0.25">
      <c r="D225" s="82" t="s">
        <v>262</v>
      </c>
      <c r="E225" s="252">
        <v>20115</v>
      </c>
      <c r="F225" s="32">
        <f>GETPIVOTDATA("ITENS SEPARADOS",$D$220,"COLABORADOR","Fernando")/E216</f>
        <v>0.10116326438238356</v>
      </c>
      <c r="G225" s="12" t="str">
        <f>IF(F225&lt;G216,"NÃO ATINGIDO","ATINGIDO")</f>
        <v>NÃO ATINGIDO</v>
      </c>
    </row>
    <row r="226" spans="4:7" x14ac:dyDescent="0.25">
      <c r="D226" s="82" t="s">
        <v>261</v>
      </c>
      <c r="E226" s="12">
        <v>8912</v>
      </c>
      <c r="F226" s="58">
        <f>GETPIVOTDATA("ITENS SEPARADOS",$D$220,"COLABORADOR","Wilson")/E216</f>
        <v>4.4820631974934244E-2</v>
      </c>
      <c r="G226" s="12" t="str">
        <f>IF(F226&lt;G216,"NÃO ATINGIDO","ATINGIDO")</f>
        <v>NÃO ATINGIDO</v>
      </c>
    </row>
    <row r="227" spans="4:7" x14ac:dyDescent="0.25">
      <c r="D227" s="82" t="s">
        <v>277</v>
      </c>
      <c r="E227" s="252">
        <v>2301</v>
      </c>
      <c r="F227" s="251"/>
    </row>
    <row r="228" spans="4:7" x14ac:dyDescent="0.25">
      <c r="D228" s="82" t="s">
        <v>258</v>
      </c>
      <c r="E228" s="252">
        <v>1615</v>
      </c>
      <c r="F228" s="251"/>
    </row>
    <row r="229" spans="4:7" x14ac:dyDescent="0.25">
      <c r="D229" s="82" t="s">
        <v>259</v>
      </c>
      <c r="E229" s="252">
        <v>688</v>
      </c>
      <c r="F229" s="251"/>
    </row>
    <row r="230" spans="4:7" x14ac:dyDescent="0.25">
      <c r="D230" s="82" t="s">
        <v>212</v>
      </c>
      <c r="E230" s="252">
        <v>283</v>
      </c>
    </row>
    <row r="231" spans="4:7" x14ac:dyDescent="0.25">
      <c r="D231" s="82" t="s">
        <v>254</v>
      </c>
      <c r="E231" s="252">
        <v>34</v>
      </c>
    </row>
    <row r="232" spans="4:7" x14ac:dyDescent="0.25">
      <c r="D232" s="253" t="s">
        <v>160</v>
      </c>
      <c r="E232" s="12">
        <v>198837</v>
      </c>
    </row>
    <row r="242" spans="4:7" ht="14.95" thickBot="1" x14ac:dyDescent="0.3"/>
    <row r="243" spans="4:7" x14ac:dyDescent="0.25">
      <c r="D243" s="340" t="s">
        <v>269</v>
      </c>
      <c r="E243" s="341"/>
      <c r="F243" s="341"/>
      <c r="G243" s="342"/>
    </row>
    <row r="244" spans="4:7" ht="14.95" thickBot="1" x14ac:dyDescent="0.3">
      <c r="D244" s="343"/>
      <c r="E244" s="344"/>
      <c r="F244" s="344"/>
      <c r="G244" s="345"/>
    </row>
    <row r="245" spans="4:7" x14ac:dyDescent="0.25">
      <c r="D245" s="27"/>
      <c r="G245" s="28"/>
    </row>
    <row r="246" spans="4:7" x14ac:dyDescent="0.25">
      <c r="D246" s="27"/>
      <c r="G246" s="28"/>
    </row>
    <row r="247" spans="4:7" x14ac:dyDescent="0.25">
      <c r="D247" s="65" t="s">
        <v>226</v>
      </c>
      <c r="E247" s="66" t="s">
        <v>239</v>
      </c>
      <c r="F247" s="66" t="s">
        <v>240</v>
      </c>
      <c r="G247" s="36" t="s">
        <v>235</v>
      </c>
    </row>
    <row r="248" spans="4:7" x14ac:dyDescent="0.25">
      <c r="D248" s="65">
        <f>COUNTA(D253:D258)-2</f>
        <v>4</v>
      </c>
      <c r="E248" s="67">
        <f>GETPIVOTDATA("MEDIA SKU POR PEDIDO",$G$92)</f>
        <v>5.3223688233423641</v>
      </c>
      <c r="F248" s="67">
        <f>E248</f>
        <v>5.3223688233423641</v>
      </c>
      <c r="G248" s="254">
        <v>1</v>
      </c>
    </row>
    <row r="249" spans="4:7" x14ac:dyDescent="0.25">
      <c r="D249" s="27"/>
      <c r="G249" s="28"/>
    </row>
    <row r="250" spans="4:7" x14ac:dyDescent="0.25">
      <c r="D250" s="27"/>
      <c r="G250" s="28"/>
    </row>
    <row r="251" spans="4:7" x14ac:dyDescent="0.25">
      <c r="D251" s="27"/>
      <c r="G251" s="28"/>
    </row>
    <row r="252" spans="4:7" x14ac:dyDescent="0.25">
      <c r="D252" s="262" t="s">
        <v>263</v>
      </c>
      <c r="E252" s="252" t="s">
        <v>205</v>
      </c>
      <c r="F252" s="66" t="s">
        <v>230</v>
      </c>
      <c r="G252" s="72" t="s">
        <v>241</v>
      </c>
    </row>
    <row r="253" spans="4:7" x14ac:dyDescent="0.25">
      <c r="D253" s="82" t="s">
        <v>261</v>
      </c>
      <c r="E253" s="83">
        <v>3.7443721719457019</v>
      </c>
      <c r="F253" s="11" t="str">
        <f>IF(GETPIVOTDATA("MEDIA SKU POR PEDIDO",$D$252,"COLABORADOR","Wilson")&lt;F248,"NÃO ATINGIDO","ATINGIDO")</f>
        <v>NÃO ATINGIDO</v>
      </c>
      <c r="G253" s="55">
        <f>GETPIVOTDATA("MEDIA SKU POR PEDIDO",$D$252,"COLABORADOR","Wilson")/F248</f>
        <v>0.70351610274056409</v>
      </c>
    </row>
    <row r="254" spans="4:7" x14ac:dyDescent="0.25">
      <c r="D254" s="82" t="s">
        <v>260</v>
      </c>
      <c r="E254" s="83">
        <v>4.3763878691455629</v>
      </c>
      <c r="F254" s="11" t="str">
        <f>IF(GETPIVOTDATA("MEDIA SKU POR PEDIDO",$D$251,"COLABORADOR","Fernando")&lt;F248,"NÃO ATINGIDO","ATINGIDO")</f>
        <v>ATINGIDO</v>
      </c>
      <c r="G254" s="32">
        <f>GETPIVOTDATA("MEDIA SKU POR PEDIDO",$D$252,"COLABORADOR","Fernando")/F248</f>
        <v>1.0412695839649575</v>
      </c>
    </row>
    <row r="255" spans="4:7" x14ac:dyDescent="0.25">
      <c r="D255" s="82" t="s">
        <v>259</v>
      </c>
      <c r="E255" s="83">
        <v>4.5130952380952376</v>
      </c>
      <c r="F255" s="11" t="str">
        <f>IF(GETPIVOTDATA("MEDIA SKU POR PEDIDO",$D$251,"COLABORADOR","Ronaldo ")&lt;F248,"NÃO ATINGIDO","ATINGIDO")</f>
        <v>ATINGIDO</v>
      </c>
      <c r="G255" s="32">
        <f>GETPIVOTDATA("MEDIA SKU POR PEDIDO",$D$252,"COLABORADOR","Ronaldo ")/F248</f>
        <v>1.1276558624384536</v>
      </c>
    </row>
    <row r="256" spans="4:7" x14ac:dyDescent="0.25">
      <c r="D256" s="82" t="s">
        <v>212</v>
      </c>
      <c r="E256" s="83">
        <v>4.8</v>
      </c>
      <c r="F256" s="11" t="str">
        <f>IF(GETPIVOTDATA("MEDIA SKU POR PEDIDO",$D$252,"COLABORADOR","Armando")&lt;F251,"NÃO ATINGIDO","ATINGIDO")</f>
        <v>ATINGIDO</v>
      </c>
      <c r="G256" s="32">
        <f>GETPIVOTDATA("MEDIA SKU POR PEDIDO",$D$252,"COLABORADOR","Armando")/F248</f>
        <v>0.8222631716073483</v>
      </c>
    </row>
    <row r="257" spans="4:7" x14ac:dyDescent="0.25">
      <c r="D257" s="82" t="s">
        <v>277</v>
      </c>
      <c r="E257" s="83">
        <v>5.4898809523809522</v>
      </c>
      <c r="F257" s="11" t="str">
        <f>IF(GETPIVOTDATA("MEDIA SKU POR PEDIDO",$D$252,"COLABORADOR","Igor")&lt;F251,"NÃO ATINGIDO","ATINGIDO")</f>
        <v>ATINGIDO</v>
      </c>
      <c r="G257" s="32">
        <f>GETPIVOTDATA("MEDIA SKU POR PEDIDO",$D$252,"COLABORADOR","Igor")/F248</f>
        <v>1.0745234926280987</v>
      </c>
    </row>
    <row r="258" spans="4:7" x14ac:dyDescent="0.25">
      <c r="D258" s="82" t="s">
        <v>262</v>
      </c>
      <c r="E258" s="83">
        <v>5.5420207703897644</v>
      </c>
      <c r="F258" s="11" t="str">
        <f>IF(GETPIVOTDATA("MEDIA SKU POR PEDIDO",$D$252,"COLABORADOR","Marileuza")&lt;F251,"NÃO ATINGIDO","ATINGIDO")</f>
        <v>ATINGIDO</v>
      </c>
      <c r="G258" s="32">
        <f>GETPIVOTDATA("MEDIA SKU POR PEDIDO",$D$252,"COLABORADOR","Marileuza")/F248</f>
        <v>1.2210211569918816</v>
      </c>
    </row>
    <row r="259" spans="4:7" x14ac:dyDescent="0.25">
      <c r="D259" s="82" t="s">
        <v>258</v>
      </c>
      <c r="E259" s="83">
        <v>5.6749999999999998</v>
      </c>
      <c r="F259" s="3"/>
      <c r="G259" s="251"/>
    </row>
    <row r="260" spans="4:7" x14ac:dyDescent="0.25">
      <c r="D260" s="82" t="s">
        <v>257</v>
      </c>
      <c r="E260" s="22">
        <v>5.7190103371127403</v>
      </c>
      <c r="F260" s="3"/>
      <c r="G260" s="251"/>
    </row>
    <row r="261" spans="4:7" x14ac:dyDescent="0.25">
      <c r="D261" s="82" t="s">
        <v>256</v>
      </c>
      <c r="E261" s="83">
        <v>6.0018004057016716</v>
      </c>
      <c r="F261" s="3"/>
      <c r="G261" s="251"/>
    </row>
    <row r="262" spans="4:7" x14ac:dyDescent="0.25">
      <c r="D262" s="82" t="s">
        <v>255</v>
      </c>
      <c r="E262" s="22">
        <v>6.4987249386150134</v>
      </c>
    </row>
    <row r="263" spans="4:7" x14ac:dyDescent="0.25">
      <c r="D263" s="82" t="s">
        <v>254</v>
      </c>
      <c r="E263" s="83">
        <v>6.5</v>
      </c>
    </row>
    <row r="264" spans="4:7" x14ac:dyDescent="0.25">
      <c r="D264" s="253" t="s">
        <v>160</v>
      </c>
      <c r="E264" s="22">
        <v>5.3223688233423641</v>
      </c>
    </row>
    <row r="268" spans="4:7" x14ac:dyDescent="0.25">
      <c r="G268" s="255" t="s">
        <v>270</v>
      </c>
    </row>
    <row r="271" spans="4:7" ht="14.95" thickBot="1" x14ac:dyDescent="0.3"/>
    <row r="272" spans="4:7" x14ac:dyDescent="0.25">
      <c r="D272" s="340" t="s">
        <v>271</v>
      </c>
      <c r="E272" s="341"/>
      <c r="F272" s="341"/>
      <c r="G272" s="342"/>
    </row>
    <row r="273" spans="4:7" ht="14.95" thickBot="1" x14ac:dyDescent="0.3">
      <c r="D273" s="343"/>
      <c r="E273" s="344"/>
      <c r="F273" s="344"/>
      <c r="G273" s="345"/>
    </row>
    <row r="274" spans="4:7" x14ac:dyDescent="0.25">
      <c r="D274" s="27"/>
      <c r="G274" s="28"/>
    </row>
    <row r="275" spans="4:7" x14ac:dyDescent="0.25">
      <c r="D275" s="27"/>
      <c r="G275" s="28"/>
    </row>
    <row r="276" spans="4:7" x14ac:dyDescent="0.25">
      <c r="D276" s="65" t="s">
        <v>226</v>
      </c>
      <c r="E276" s="66" t="s">
        <v>272</v>
      </c>
      <c r="F276" s="66" t="s">
        <v>273</v>
      </c>
      <c r="G276" s="64"/>
    </row>
    <row r="277" spans="4:7" x14ac:dyDescent="0.25">
      <c r="D277" s="65">
        <f>COUNTA(D282:D287)-2</f>
        <v>4</v>
      </c>
      <c r="E277" s="256">
        <f>GETPIVOTDATA("DESEMPENHO  %",$A$182)</f>
        <v>0.99969579865239788</v>
      </c>
      <c r="F277" s="73">
        <v>0.98</v>
      </c>
      <c r="G277" s="257"/>
    </row>
    <row r="278" spans="4:7" x14ac:dyDescent="0.25">
      <c r="D278" s="27"/>
      <c r="G278" s="28"/>
    </row>
    <row r="279" spans="4:7" x14ac:dyDescent="0.25">
      <c r="D279" s="27"/>
      <c r="G279" s="28"/>
    </row>
    <row r="280" spans="4:7" x14ac:dyDescent="0.25">
      <c r="D280" s="27"/>
      <c r="G280" s="28"/>
    </row>
    <row r="281" spans="4:7" ht="14.95" thickBot="1" x14ac:dyDescent="0.3">
      <c r="D281" s="246" t="s">
        <v>274</v>
      </c>
      <c r="E281" s="258" t="s">
        <v>200</v>
      </c>
      <c r="F281" s="81" t="s">
        <v>230</v>
      </c>
      <c r="G281" s="28"/>
    </row>
    <row r="282" spans="4:7" x14ac:dyDescent="0.25">
      <c r="D282" s="82" t="s">
        <v>260</v>
      </c>
      <c r="E282" s="259">
        <v>1</v>
      </c>
      <c r="F282" s="11" t="str">
        <f>IF(GETPIVOTDATA("DESEMPENHO  %",$D$281,"COLABORADOR","Armando")&lt;F277,"NÃO ATINGIDO","ATINGIDO")</f>
        <v>ATINGIDO</v>
      </c>
      <c r="G282" s="28"/>
    </row>
    <row r="283" spans="4:7" x14ac:dyDescent="0.25">
      <c r="D283" s="82" t="s">
        <v>261</v>
      </c>
      <c r="E283" s="260">
        <v>1</v>
      </c>
      <c r="F283" s="11" t="str">
        <f>IF(GETPIVOTDATA("DESEMPENHO  %",$D$281,"COLABORADOR","Wilson")&lt;F277,"NÃO ATINGIDO","ATINGIDO")</f>
        <v>ATINGIDO</v>
      </c>
      <c r="G283" s="28"/>
    </row>
    <row r="284" spans="4:7" x14ac:dyDescent="0.25">
      <c r="D284" s="82" t="s">
        <v>255</v>
      </c>
      <c r="E284" s="260">
        <v>1</v>
      </c>
      <c r="F284" s="11" t="str">
        <f>IF(GETPIVOTDATA("DESEMPENHO  %",$D$281,"COLABORADOR","Marileuza")&lt;F277,"NÃO ATINGIDO","ATINGIDO")</f>
        <v>ATINGIDO</v>
      </c>
      <c r="G284" s="28"/>
    </row>
    <row r="285" spans="4:7" x14ac:dyDescent="0.25">
      <c r="D285" s="82" t="s">
        <v>256</v>
      </c>
      <c r="E285" s="259">
        <v>0.99909909909909911</v>
      </c>
      <c r="F285" s="11" t="str">
        <f>IF(GETPIVOTDATA("DESEMPENHO  %",$D$281,"COLABORADOR","Ronaldo ")&lt;F277,"NÃO ATINGIDO","ATINGIDO")</f>
        <v>ATINGIDO</v>
      </c>
      <c r="G285" s="28"/>
    </row>
    <row r="286" spans="4:7" x14ac:dyDescent="0.25">
      <c r="D286" s="82" t="s">
        <v>277</v>
      </c>
      <c r="E286" s="259">
        <v>1</v>
      </c>
      <c r="F286" s="11" t="str">
        <f>IF(GETPIVOTDATA("DESEMPENHO  %",$D$281,"COLABORADOR","Fernando")&lt;F277,"NÃO ATINGIDO","ATINGIDO")</f>
        <v>ATINGIDO</v>
      </c>
      <c r="G286" s="28"/>
    </row>
    <row r="287" spans="4:7" x14ac:dyDescent="0.25">
      <c r="D287" s="82" t="s">
        <v>262</v>
      </c>
      <c r="E287" s="259">
        <v>1</v>
      </c>
      <c r="F287" s="11" t="str">
        <f>IF(GETPIVOTDATA("DESEMPENHO  %",$D$281,"COLABORADOR","Wilson")&lt;F277,"NÃO ATINGIDO","ATINGIDO")</f>
        <v>ATINGIDO</v>
      </c>
      <c r="G287" s="28"/>
    </row>
    <row r="288" spans="4:7" x14ac:dyDescent="0.25">
      <c r="D288" s="82" t="s">
        <v>257</v>
      </c>
      <c r="E288" s="259">
        <v>0.99906896551724134</v>
      </c>
      <c r="F288" s="11" t="str">
        <f>IF(GETPIVOTDATA("DESEMPENHO  %",$D$281,"COLABORADOR","Marileuza")&lt;F277,"NÃO ATINGIDO","ATINGIDO")</f>
        <v>ATINGIDO</v>
      </c>
      <c r="G288" s="28"/>
    </row>
    <row r="289" spans="4:7" x14ac:dyDescent="0.25">
      <c r="D289" s="82" t="s">
        <v>258</v>
      </c>
      <c r="E289" s="259">
        <v>1</v>
      </c>
      <c r="F289" s="3"/>
      <c r="G289" s="28"/>
    </row>
    <row r="290" spans="4:7" ht="14.95" thickBot="1" x14ac:dyDescent="0.3">
      <c r="D290" s="82" t="s">
        <v>259</v>
      </c>
      <c r="E290" s="259">
        <v>1</v>
      </c>
      <c r="F290" s="3"/>
      <c r="G290" s="44"/>
    </row>
    <row r="291" spans="4:7" x14ac:dyDescent="0.25">
      <c r="D291" s="82" t="s">
        <v>212</v>
      </c>
      <c r="E291" s="259">
        <v>1</v>
      </c>
    </row>
    <row r="292" spans="4:7" ht="14.95" thickBot="1" x14ac:dyDescent="0.3">
      <c r="D292" s="85" t="s">
        <v>254</v>
      </c>
      <c r="E292" s="259">
        <v>1</v>
      </c>
    </row>
    <row r="293" spans="4:7" ht="14.95" thickBot="1" x14ac:dyDescent="0.3">
      <c r="D293" s="85" t="s">
        <v>160</v>
      </c>
      <c r="E293" s="260">
        <v>0.99969579865239788</v>
      </c>
    </row>
    <row r="306" spans="4:11" x14ac:dyDescent="0.25">
      <c r="D306" s="346" t="s">
        <v>275</v>
      </c>
      <c r="E306" s="346"/>
      <c r="F306" s="346"/>
      <c r="G306" s="346"/>
      <c r="H306" s="346"/>
      <c r="I306" s="346"/>
      <c r="J306" s="346"/>
      <c r="K306" s="346"/>
    </row>
    <row r="307" spans="4:11" ht="14.95" thickBot="1" x14ac:dyDescent="0.3">
      <c r="D307" s="261" t="s">
        <v>274</v>
      </c>
      <c r="E307" s="347" t="s">
        <v>276</v>
      </c>
      <c r="F307" s="347"/>
      <c r="G307" s="89" t="s">
        <v>242</v>
      </c>
      <c r="H307" s="90" t="s">
        <v>243</v>
      </c>
      <c r="I307" s="91" t="s">
        <v>244</v>
      </c>
      <c r="J307" s="92" t="s">
        <v>245</v>
      </c>
      <c r="K307" s="93" t="s">
        <v>246</v>
      </c>
    </row>
    <row r="308" spans="4:11" ht="14.95" thickBot="1" x14ac:dyDescent="0.3">
      <c r="D308" s="100" t="s">
        <v>209</v>
      </c>
      <c r="E308" s="348" t="s">
        <v>250</v>
      </c>
      <c r="F308" s="349"/>
      <c r="G308" s="95" t="str">
        <f>IF(I308&gt;=H308,"ATINGIDO","NÃO ATINGIDO")</f>
        <v>ATINGIDO</v>
      </c>
      <c r="H308" s="96">
        <v>0.98</v>
      </c>
      <c r="I308" s="97">
        <f>GETPIVOTDATA("DESEMPENHO  %",$D$281,"COLABORADOR","Marileuza")</f>
        <v>1</v>
      </c>
      <c r="J308" s="98">
        <f>I308-H308</f>
        <v>2.0000000000000018E-2</v>
      </c>
      <c r="K308" s="350">
        <f>AVERAGE(I308:I311)</f>
        <v>0.25</v>
      </c>
    </row>
    <row r="309" spans="4:11" ht="14.95" thickBot="1" x14ac:dyDescent="0.3">
      <c r="D309" s="100" t="s">
        <v>209</v>
      </c>
      <c r="E309" s="353" t="s">
        <v>247</v>
      </c>
      <c r="F309" s="354"/>
      <c r="G309" s="95" t="str">
        <f>IF(I309&gt;=H309,"ATINGIDO","NÃO ATINGIDO")</f>
        <v>NÃO ATINGIDO</v>
      </c>
      <c r="H309" s="97">
        <v>0.25</v>
      </c>
      <c r="I309" s="97">
        <f>F244</f>
        <v>0</v>
      </c>
      <c r="J309" s="98">
        <f t="shared" ref="J309:J343" si="0">I309-H309</f>
        <v>-0.25</v>
      </c>
      <c r="K309" s="351"/>
    </row>
    <row r="310" spans="4:11" ht="14.95" thickBot="1" x14ac:dyDescent="0.3">
      <c r="D310" s="100" t="s">
        <v>209</v>
      </c>
      <c r="E310" s="353" t="s">
        <v>248</v>
      </c>
      <c r="F310" s="354"/>
      <c r="G310" s="95" t="str">
        <f t="shared" ref="G310:G343" si="1">IF(I310&gt;=H310,"ATINGIDO","NÃO ATINGIDO")</f>
        <v>NÃO ATINGIDO</v>
      </c>
      <c r="H310" s="97">
        <v>0.25</v>
      </c>
      <c r="I310" s="97">
        <f>F264</f>
        <v>0</v>
      </c>
      <c r="J310" s="98">
        <f t="shared" si="0"/>
        <v>-0.25</v>
      </c>
      <c r="K310" s="351"/>
    </row>
    <row r="311" spans="4:11" ht="14.95" thickBot="1" x14ac:dyDescent="0.3">
      <c r="D311" s="100" t="s">
        <v>209</v>
      </c>
      <c r="E311" s="355" t="s">
        <v>249</v>
      </c>
      <c r="F311" s="356"/>
      <c r="G311" s="106" t="str">
        <f t="shared" si="1"/>
        <v>NÃO ATINGIDO</v>
      </c>
      <c r="H311" s="107">
        <v>1</v>
      </c>
      <c r="I311" s="107">
        <f>G294</f>
        <v>0</v>
      </c>
      <c r="J311" s="108">
        <f t="shared" si="0"/>
        <v>-1</v>
      </c>
      <c r="K311" s="352"/>
    </row>
    <row r="312" spans="4:11" ht="14.95" thickBot="1" x14ac:dyDescent="0.3">
      <c r="D312" s="110" t="s">
        <v>212</v>
      </c>
      <c r="E312" s="366" t="s">
        <v>250</v>
      </c>
      <c r="F312" s="367"/>
      <c r="G312" s="95" t="e">
        <f t="shared" si="1"/>
        <v>#REF!</v>
      </c>
      <c r="H312" s="113">
        <v>0.98</v>
      </c>
      <c r="I312" s="114" t="e">
        <f>GETPIVOTDATA("DESEMPENHO  %",$E$186,"COLABORADOR","WARLEY GABRIEL")</f>
        <v>#REF!</v>
      </c>
      <c r="J312" s="115" t="e">
        <f t="shared" si="0"/>
        <v>#REF!</v>
      </c>
      <c r="K312" s="368" t="e">
        <f>AVERAGE(I312:I315)</f>
        <v>#REF!</v>
      </c>
    </row>
    <row r="313" spans="4:11" ht="14.95" thickBot="1" x14ac:dyDescent="0.3">
      <c r="D313" s="110" t="s">
        <v>212</v>
      </c>
      <c r="E313" s="371" t="s">
        <v>247</v>
      </c>
      <c r="F313" s="372"/>
      <c r="G313" s="95" t="str">
        <f t="shared" si="1"/>
        <v>NÃO ATINGIDO</v>
      </c>
      <c r="H313" s="119">
        <v>0.25</v>
      </c>
      <c r="I313" s="119">
        <f>F239</f>
        <v>0</v>
      </c>
      <c r="J313" s="120">
        <f t="shared" si="0"/>
        <v>-0.25</v>
      </c>
      <c r="K313" s="369"/>
    </row>
    <row r="314" spans="4:11" ht="14.95" thickBot="1" x14ac:dyDescent="0.3">
      <c r="D314" s="110" t="s">
        <v>212</v>
      </c>
      <c r="E314" s="371" t="s">
        <v>248</v>
      </c>
      <c r="F314" s="372"/>
      <c r="G314" s="95" t="str">
        <f t="shared" si="1"/>
        <v>NÃO ATINGIDO</v>
      </c>
      <c r="H314" s="119">
        <v>0.25</v>
      </c>
      <c r="I314" s="119">
        <f>F268</f>
        <v>0</v>
      </c>
      <c r="J314" s="120">
        <f t="shared" si="0"/>
        <v>-0.25</v>
      </c>
      <c r="K314" s="369"/>
    </row>
    <row r="315" spans="4:11" ht="14.95" thickBot="1" x14ac:dyDescent="0.3">
      <c r="D315" s="110" t="s">
        <v>212</v>
      </c>
      <c r="E315" s="373" t="s">
        <v>249</v>
      </c>
      <c r="F315" s="374"/>
      <c r="G315" s="106" t="str">
        <f t="shared" si="1"/>
        <v>NÃO ATINGIDO</v>
      </c>
      <c r="H315" s="124">
        <v>1</v>
      </c>
      <c r="I315" s="125">
        <f>G295</f>
        <v>0</v>
      </c>
      <c r="J315" s="120">
        <f t="shared" si="0"/>
        <v>-1</v>
      </c>
      <c r="K315" s="370"/>
    </row>
    <row r="316" spans="4:11" ht="14.95" thickBot="1" x14ac:dyDescent="0.3">
      <c r="D316" s="127" t="s">
        <v>210</v>
      </c>
      <c r="E316" s="357" t="s">
        <v>250</v>
      </c>
      <c r="F316" s="358"/>
      <c r="G316" s="95" t="e">
        <f t="shared" si="1"/>
        <v>#REF!</v>
      </c>
      <c r="H316" s="130">
        <v>0.98</v>
      </c>
      <c r="I316" s="131" t="e">
        <f>GETPIVOTDATA("DESEMPENHO  %",$E$186,"COLABORADOR","JAILSON")</f>
        <v>#REF!</v>
      </c>
      <c r="J316" s="132" t="e">
        <f t="shared" si="0"/>
        <v>#REF!</v>
      </c>
      <c r="K316" s="359" t="e">
        <f>AVERAGE(I316:I319)</f>
        <v>#REF!</v>
      </c>
    </row>
    <row r="317" spans="4:11" ht="14.95" thickBot="1" x14ac:dyDescent="0.3">
      <c r="D317" s="134" t="s">
        <v>210</v>
      </c>
      <c r="E317" s="362" t="s">
        <v>247</v>
      </c>
      <c r="F317" s="363"/>
      <c r="G317" s="95" t="str">
        <f t="shared" si="1"/>
        <v>NÃO ATINGIDO</v>
      </c>
      <c r="H317" s="137">
        <v>0.25</v>
      </c>
      <c r="I317" s="137">
        <f>F245</f>
        <v>0</v>
      </c>
      <c r="J317" s="132">
        <f t="shared" si="0"/>
        <v>-0.25</v>
      </c>
      <c r="K317" s="360"/>
    </row>
    <row r="318" spans="4:11" ht="14.95" thickBot="1" x14ac:dyDescent="0.3">
      <c r="D318" s="134" t="s">
        <v>210</v>
      </c>
      <c r="E318" s="362" t="s">
        <v>248</v>
      </c>
      <c r="F318" s="363"/>
      <c r="G318" s="95" t="str">
        <f t="shared" si="1"/>
        <v>NÃO ATINGIDO</v>
      </c>
      <c r="H318" s="137">
        <v>0.25</v>
      </c>
      <c r="I318" s="137">
        <f>F262</f>
        <v>0</v>
      </c>
      <c r="J318" s="132">
        <f t="shared" si="0"/>
        <v>-0.25</v>
      </c>
      <c r="K318" s="360"/>
    </row>
    <row r="319" spans="4:11" ht="14.95" thickBot="1" x14ac:dyDescent="0.3">
      <c r="D319" s="139" t="s">
        <v>210</v>
      </c>
      <c r="E319" s="364" t="s">
        <v>249</v>
      </c>
      <c r="F319" s="365"/>
      <c r="G319" s="106" t="str">
        <f t="shared" si="1"/>
        <v>NÃO ATINGIDO</v>
      </c>
      <c r="H319" s="142">
        <v>1</v>
      </c>
      <c r="I319" s="142">
        <f>G292</f>
        <v>0</v>
      </c>
      <c r="J319" s="132">
        <f t="shared" si="0"/>
        <v>-1</v>
      </c>
      <c r="K319" s="361"/>
    </row>
    <row r="320" spans="4:11" ht="14.95" thickBot="1" x14ac:dyDescent="0.3">
      <c r="D320" s="144" t="s">
        <v>251</v>
      </c>
      <c r="E320" s="384" t="s">
        <v>250</v>
      </c>
      <c r="F320" s="385"/>
      <c r="G320" s="147" t="e">
        <f t="shared" si="1"/>
        <v>#REF!</v>
      </c>
      <c r="H320" s="148">
        <v>0.98</v>
      </c>
      <c r="I320" s="149" t="e">
        <f>GETPIVOTDATA("DESEMPENHO  %",$E$186,"COLABORADOR","PABLYNE SANTANA")</f>
        <v>#REF!</v>
      </c>
      <c r="J320" s="150" t="e">
        <f t="shared" si="0"/>
        <v>#REF!</v>
      </c>
      <c r="K320" s="386" t="e">
        <f>AVERAGE(I320:I323)</f>
        <v>#REF!</v>
      </c>
    </row>
    <row r="321" spans="4:11" ht="14.95" thickBot="1" x14ac:dyDescent="0.3">
      <c r="D321" s="144" t="s">
        <v>251</v>
      </c>
      <c r="E321" s="389" t="s">
        <v>247</v>
      </c>
      <c r="F321" s="390"/>
      <c r="G321" s="147" t="str">
        <f t="shared" si="1"/>
        <v>NÃO ATINGIDO</v>
      </c>
      <c r="H321" s="154">
        <v>0.25</v>
      </c>
      <c r="I321" s="154">
        <f>F237</f>
        <v>0</v>
      </c>
      <c r="J321" s="150">
        <f t="shared" si="0"/>
        <v>-0.25</v>
      </c>
      <c r="K321" s="387"/>
    </row>
    <row r="322" spans="4:11" ht="14.95" thickBot="1" x14ac:dyDescent="0.3">
      <c r="D322" s="144" t="s">
        <v>251</v>
      </c>
      <c r="E322" s="389" t="s">
        <v>248</v>
      </c>
      <c r="F322" s="390"/>
      <c r="G322" s="147" t="str">
        <f t="shared" si="1"/>
        <v>NÃO ATINGIDO</v>
      </c>
      <c r="H322" s="154">
        <v>0.25</v>
      </c>
      <c r="I322" s="154">
        <f>F270</f>
        <v>0</v>
      </c>
      <c r="J322" s="150">
        <f t="shared" si="0"/>
        <v>-0.25</v>
      </c>
      <c r="K322" s="387"/>
    </row>
    <row r="323" spans="4:11" ht="14.95" thickBot="1" x14ac:dyDescent="0.3">
      <c r="D323" s="156" t="s">
        <v>251</v>
      </c>
      <c r="E323" s="391" t="s">
        <v>249</v>
      </c>
      <c r="F323" s="392"/>
      <c r="G323" s="159" t="str">
        <f t="shared" si="1"/>
        <v>NÃO ATINGIDO</v>
      </c>
      <c r="H323" s="160">
        <v>1</v>
      </c>
      <c r="I323" s="160">
        <f>G290</f>
        <v>0</v>
      </c>
      <c r="J323" s="150">
        <f t="shared" si="0"/>
        <v>-1</v>
      </c>
      <c r="K323" s="388"/>
    </row>
    <row r="324" spans="4:11" ht="14.95" thickBot="1" x14ac:dyDescent="0.3">
      <c r="D324" s="162" t="s">
        <v>213</v>
      </c>
      <c r="E324" s="375" t="s">
        <v>250</v>
      </c>
      <c r="F324" s="376"/>
      <c r="G324" s="95" t="e">
        <f t="shared" si="1"/>
        <v>#REF!</v>
      </c>
      <c r="H324" s="165">
        <v>0.98</v>
      </c>
      <c r="I324" s="166" t="e">
        <f>GETPIVOTDATA("DESEMPENHO  %",$E$186,"COLABORADOR","IGOR")</f>
        <v>#REF!</v>
      </c>
      <c r="J324" s="167" t="e">
        <f t="shared" si="0"/>
        <v>#REF!</v>
      </c>
      <c r="K324" s="377" t="e">
        <f>AVERAGE(I324:I327)</f>
        <v>#REF!</v>
      </c>
    </row>
    <row r="325" spans="4:11" ht="14.95" thickBot="1" x14ac:dyDescent="0.3">
      <c r="D325" s="162" t="s">
        <v>213</v>
      </c>
      <c r="E325" s="380" t="s">
        <v>247</v>
      </c>
      <c r="F325" s="381"/>
      <c r="G325" s="95" t="str">
        <f t="shared" si="1"/>
        <v>NÃO ATINGIDO</v>
      </c>
      <c r="H325" s="171">
        <v>0.25</v>
      </c>
      <c r="I325" s="171">
        <f>F243</f>
        <v>0</v>
      </c>
      <c r="J325" s="167">
        <f t="shared" si="0"/>
        <v>-0.25</v>
      </c>
      <c r="K325" s="378"/>
    </row>
    <row r="326" spans="4:11" ht="14.95" thickBot="1" x14ac:dyDescent="0.3">
      <c r="D326" s="162" t="s">
        <v>213</v>
      </c>
      <c r="E326" s="380" t="s">
        <v>248</v>
      </c>
      <c r="F326" s="381"/>
      <c r="G326" s="95" t="str">
        <f t="shared" si="1"/>
        <v>NÃO ATINGIDO</v>
      </c>
      <c r="H326" s="171">
        <v>0.25</v>
      </c>
      <c r="I326" s="171">
        <f>F263</f>
        <v>0</v>
      </c>
      <c r="J326" s="167">
        <f t="shared" si="0"/>
        <v>-0.25</v>
      </c>
      <c r="K326" s="378"/>
    </row>
    <row r="327" spans="4:11" ht="14.95" thickBot="1" x14ac:dyDescent="0.3">
      <c r="D327" s="173" t="s">
        <v>213</v>
      </c>
      <c r="E327" s="382" t="s">
        <v>249</v>
      </c>
      <c r="F327" s="383"/>
      <c r="G327" s="106" t="str">
        <f t="shared" si="1"/>
        <v>NÃO ATINGIDO</v>
      </c>
      <c r="H327" s="176">
        <v>1</v>
      </c>
      <c r="I327" s="176">
        <f>G291</f>
        <v>0</v>
      </c>
      <c r="J327" s="167">
        <f t="shared" si="0"/>
        <v>-1</v>
      </c>
      <c r="K327" s="379"/>
    </row>
    <row r="328" spans="4:11" ht="14.95" thickBot="1" x14ac:dyDescent="0.3">
      <c r="D328" s="178" t="s">
        <v>211</v>
      </c>
      <c r="E328" s="402" t="s">
        <v>250</v>
      </c>
      <c r="F328" s="403"/>
      <c r="G328" s="95" t="e">
        <f t="shared" si="1"/>
        <v>#REF!</v>
      </c>
      <c r="H328" s="181">
        <v>0.98</v>
      </c>
      <c r="I328" s="182" t="e">
        <f>GETPIVOTDATA("DESEMPENHO  %",$E$186,"COLABORADOR","FERNANDO BORGES")</f>
        <v>#REF!</v>
      </c>
      <c r="J328" s="183" t="e">
        <f t="shared" si="0"/>
        <v>#REF!</v>
      </c>
      <c r="K328" s="404" t="e">
        <f>AVERAGE(I328:I331)</f>
        <v>#REF!</v>
      </c>
    </row>
    <row r="329" spans="4:11" ht="14.95" thickBot="1" x14ac:dyDescent="0.3">
      <c r="D329" s="178" t="s">
        <v>211</v>
      </c>
      <c r="E329" s="407" t="s">
        <v>247</v>
      </c>
      <c r="F329" s="408"/>
      <c r="G329" s="95" t="str">
        <f t="shared" si="1"/>
        <v>NÃO ATINGIDO</v>
      </c>
      <c r="H329" s="187">
        <v>0.25</v>
      </c>
      <c r="I329" s="187">
        <f>F241</f>
        <v>0</v>
      </c>
      <c r="J329" s="183">
        <f t="shared" si="0"/>
        <v>-0.25</v>
      </c>
      <c r="K329" s="405"/>
    </row>
    <row r="330" spans="4:11" ht="14.95" thickBot="1" x14ac:dyDescent="0.3">
      <c r="D330" s="178" t="s">
        <v>211</v>
      </c>
      <c r="E330" s="407" t="s">
        <v>248</v>
      </c>
      <c r="F330" s="408"/>
      <c r="G330" s="95" t="str">
        <f t="shared" si="1"/>
        <v>NÃO ATINGIDO</v>
      </c>
      <c r="H330" s="187">
        <v>0.25</v>
      </c>
      <c r="I330" s="187">
        <f>F265</f>
        <v>0</v>
      </c>
      <c r="J330" s="183">
        <f t="shared" si="0"/>
        <v>-0.25</v>
      </c>
      <c r="K330" s="405"/>
    </row>
    <row r="331" spans="4:11" ht="14.95" thickBot="1" x14ac:dyDescent="0.3">
      <c r="D331" s="189" t="s">
        <v>211</v>
      </c>
      <c r="E331" s="409" t="s">
        <v>249</v>
      </c>
      <c r="F331" s="410"/>
      <c r="G331" s="106" t="str">
        <f t="shared" si="1"/>
        <v>NÃO ATINGIDO</v>
      </c>
      <c r="H331" s="192">
        <v>1</v>
      </c>
      <c r="I331" s="192">
        <f>G293</f>
        <v>0</v>
      </c>
      <c r="J331" s="183">
        <f t="shared" si="0"/>
        <v>-1</v>
      </c>
      <c r="K331" s="406"/>
    </row>
    <row r="332" spans="4:11" ht="14.95" thickBot="1" x14ac:dyDescent="0.3">
      <c r="D332" s="194" t="s">
        <v>252</v>
      </c>
      <c r="E332" s="393" t="s">
        <v>250</v>
      </c>
      <c r="F332" s="394"/>
      <c r="G332" s="95" t="e">
        <f>IF(I332&gt;=H332,"ATINGIDO","NÃO ATINGIDO")</f>
        <v>#REF!</v>
      </c>
      <c r="H332" s="197">
        <v>0.98</v>
      </c>
      <c r="I332" s="198" t="e">
        <f>GETPIVOTDATA("DESEMPENHO  %",$E$186,"COLABORADOR","ARMANDO SANTOS")</f>
        <v>#REF!</v>
      </c>
      <c r="J332" s="199" t="e">
        <f t="shared" si="0"/>
        <v>#REF!</v>
      </c>
      <c r="K332" s="395" t="e">
        <f>AVERAGE(I332:I335)</f>
        <v>#REF!</v>
      </c>
    </row>
    <row r="333" spans="4:11" ht="14.95" thickBot="1" x14ac:dyDescent="0.3">
      <c r="D333" s="194" t="s">
        <v>252</v>
      </c>
      <c r="E333" s="398" t="s">
        <v>247</v>
      </c>
      <c r="F333" s="399"/>
      <c r="G333" s="95" t="str">
        <f t="shared" si="1"/>
        <v>NÃO ATINGIDO</v>
      </c>
      <c r="H333" s="203">
        <v>0.25</v>
      </c>
      <c r="I333" s="203">
        <f>F240</f>
        <v>0</v>
      </c>
      <c r="J333" s="199">
        <f t="shared" si="0"/>
        <v>-0.25</v>
      </c>
      <c r="K333" s="396"/>
    </row>
    <row r="334" spans="4:11" ht="14.95" thickBot="1" x14ac:dyDescent="0.3">
      <c r="D334" s="194" t="s">
        <v>252</v>
      </c>
      <c r="E334" s="398" t="s">
        <v>248</v>
      </c>
      <c r="F334" s="399"/>
      <c r="G334" s="95" t="str">
        <f t="shared" si="1"/>
        <v>NÃO ATINGIDO</v>
      </c>
      <c r="H334" s="203">
        <v>0.25</v>
      </c>
      <c r="I334" s="203">
        <f>F267</f>
        <v>0</v>
      </c>
      <c r="J334" s="199">
        <f t="shared" si="0"/>
        <v>-0.25</v>
      </c>
      <c r="K334" s="396"/>
    </row>
    <row r="335" spans="4:11" ht="14.95" thickBot="1" x14ac:dyDescent="0.3">
      <c r="D335" s="205" t="s">
        <v>252</v>
      </c>
      <c r="E335" s="400" t="s">
        <v>249</v>
      </c>
      <c r="F335" s="401"/>
      <c r="G335" s="106" t="str">
        <f t="shared" si="1"/>
        <v>NÃO ATINGIDO</v>
      </c>
      <c r="H335" s="208">
        <v>1</v>
      </c>
      <c r="I335" s="209">
        <f>G297</f>
        <v>0</v>
      </c>
      <c r="J335" s="199">
        <f t="shared" si="0"/>
        <v>-1</v>
      </c>
      <c r="K335" s="397"/>
    </row>
    <row r="336" spans="4:11" ht="14.95" thickBot="1" x14ac:dyDescent="0.3">
      <c r="D336" s="211" t="s">
        <v>214</v>
      </c>
      <c r="E336" s="420" t="s">
        <v>250</v>
      </c>
      <c r="F336" s="421"/>
      <c r="G336" s="95" t="e">
        <f t="shared" si="1"/>
        <v>#REF!</v>
      </c>
      <c r="H336" s="214">
        <v>0.98</v>
      </c>
      <c r="I336" s="215" t="e">
        <f>GETPIVOTDATA("DESEMPENHO  %",$E$186,"COLABORADOR","WILSON JUNIOR")</f>
        <v>#REF!</v>
      </c>
      <c r="J336" s="216" t="e">
        <f t="shared" si="0"/>
        <v>#REF!</v>
      </c>
      <c r="K336" s="422" t="e">
        <f>AVERAGE(I336:I339)</f>
        <v>#REF!</v>
      </c>
    </row>
    <row r="337" spans="4:11" ht="14.95" thickBot="1" x14ac:dyDescent="0.3">
      <c r="D337" s="211" t="s">
        <v>214</v>
      </c>
      <c r="E337" s="425" t="s">
        <v>247</v>
      </c>
      <c r="F337" s="426"/>
      <c r="G337" s="95" t="str">
        <f t="shared" si="1"/>
        <v>NÃO ATINGIDO</v>
      </c>
      <c r="H337" s="220">
        <v>0.25</v>
      </c>
      <c r="I337" s="220">
        <f>F238</f>
        <v>0</v>
      </c>
      <c r="J337" s="216">
        <f t="shared" si="0"/>
        <v>-0.25</v>
      </c>
      <c r="K337" s="423"/>
    </row>
    <row r="338" spans="4:11" ht="14.95" thickBot="1" x14ac:dyDescent="0.3">
      <c r="D338" s="211" t="s">
        <v>214</v>
      </c>
      <c r="E338" s="425" t="s">
        <v>248</v>
      </c>
      <c r="F338" s="426"/>
      <c r="G338" s="95" t="str">
        <f t="shared" si="1"/>
        <v>NÃO ATINGIDO</v>
      </c>
      <c r="H338" s="220">
        <v>0.25</v>
      </c>
      <c r="I338" s="220">
        <f>F270</f>
        <v>0</v>
      </c>
      <c r="J338" s="216">
        <f t="shared" si="0"/>
        <v>-0.25</v>
      </c>
      <c r="K338" s="423"/>
    </row>
    <row r="339" spans="4:11" ht="14.95" thickBot="1" x14ac:dyDescent="0.3">
      <c r="D339" s="222" t="s">
        <v>214</v>
      </c>
      <c r="E339" s="427" t="s">
        <v>249</v>
      </c>
      <c r="F339" s="428"/>
      <c r="G339" s="106" t="str">
        <f t="shared" si="1"/>
        <v>NÃO ATINGIDO</v>
      </c>
      <c r="H339" s="225">
        <v>1</v>
      </c>
      <c r="I339" s="226">
        <f>G298</f>
        <v>0</v>
      </c>
      <c r="J339" s="216">
        <f t="shared" si="0"/>
        <v>-1</v>
      </c>
      <c r="K339" s="424"/>
    </row>
    <row r="340" spans="4:11" ht="14.95" thickBot="1" x14ac:dyDescent="0.3">
      <c r="D340" s="228" t="s">
        <v>253</v>
      </c>
      <c r="E340" s="411" t="s">
        <v>250</v>
      </c>
      <c r="F340" s="412"/>
      <c r="G340" s="95" t="e">
        <f t="shared" si="1"/>
        <v>#REF!</v>
      </c>
      <c r="H340" s="231">
        <v>0.98</v>
      </c>
      <c r="I340" s="232" t="e">
        <f>GETPIVOTDATA("DESEMPENHO  %",$E$186,"COLABORADOR","RONALDO JOSE")</f>
        <v>#REF!</v>
      </c>
      <c r="J340" s="233" t="e">
        <f t="shared" si="0"/>
        <v>#REF!</v>
      </c>
      <c r="K340" s="413" t="e">
        <f>AVERAGE(I340:I343)</f>
        <v>#REF!</v>
      </c>
    </row>
    <row r="341" spans="4:11" ht="14.95" thickBot="1" x14ac:dyDescent="0.3">
      <c r="D341" s="228" t="s">
        <v>253</v>
      </c>
      <c r="E341" s="416" t="s">
        <v>247</v>
      </c>
      <c r="F341" s="417"/>
      <c r="G341" s="95" t="str">
        <f t="shared" si="1"/>
        <v>NÃO ATINGIDO</v>
      </c>
      <c r="H341" s="237">
        <v>0.25</v>
      </c>
      <c r="I341" s="237">
        <f>F242</f>
        <v>0</v>
      </c>
      <c r="J341" s="233">
        <f t="shared" si="0"/>
        <v>-0.25</v>
      </c>
      <c r="K341" s="414"/>
    </row>
    <row r="342" spans="4:11" ht="14.95" thickBot="1" x14ac:dyDescent="0.3">
      <c r="D342" s="228" t="s">
        <v>253</v>
      </c>
      <c r="E342" s="416" t="s">
        <v>248</v>
      </c>
      <c r="F342" s="417"/>
      <c r="G342" s="95" t="str">
        <f t="shared" si="1"/>
        <v>NÃO ATINGIDO</v>
      </c>
      <c r="H342" s="237">
        <v>0.25</v>
      </c>
      <c r="I342" s="237">
        <f>F266</f>
        <v>0</v>
      </c>
      <c r="J342" s="233">
        <f t="shared" si="0"/>
        <v>-0.25</v>
      </c>
      <c r="K342" s="414"/>
    </row>
    <row r="343" spans="4:11" ht="14.95" thickBot="1" x14ac:dyDescent="0.3">
      <c r="D343" s="239" t="s">
        <v>253</v>
      </c>
      <c r="E343" s="418" t="s">
        <v>249</v>
      </c>
      <c r="F343" s="419"/>
      <c r="G343" s="106" t="str">
        <f t="shared" si="1"/>
        <v>NÃO ATINGIDO</v>
      </c>
      <c r="H343" s="242">
        <v>1</v>
      </c>
      <c r="I343" s="242">
        <f>G296</f>
        <v>0</v>
      </c>
      <c r="J343" s="233">
        <f t="shared" si="0"/>
        <v>-1</v>
      </c>
      <c r="K343" s="415"/>
    </row>
  </sheetData>
  <mergeCells count="55">
    <mergeCell ref="E336:F336"/>
    <mergeCell ref="K336:K339"/>
    <mergeCell ref="E337:F337"/>
    <mergeCell ref="E338:F338"/>
    <mergeCell ref="E339:F339"/>
    <mergeCell ref="E340:F340"/>
    <mergeCell ref="K340:K343"/>
    <mergeCell ref="E341:F341"/>
    <mergeCell ref="E342:F342"/>
    <mergeCell ref="E343:F343"/>
    <mergeCell ref="E328:F328"/>
    <mergeCell ref="K328:K331"/>
    <mergeCell ref="E329:F329"/>
    <mergeCell ref="E330:F330"/>
    <mergeCell ref="E331:F331"/>
    <mergeCell ref="E332:F332"/>
    <mergeCell ref="K332:K335"/>
    <mergeCell ref="E333:F333"/>
    <mergeCell ref="E334:F334"/>
    <mergeCell ref="E335:F335"/>
    <mergeCell ref="E320:F320"/>
    <mergeCell ref="K320:K323"/>
    <mergeCell ref="E321:F321"/>
    <mergeCell ref="E322:F322"/>
    <mergeCell ref="E323:F323"/>
    <mergeCell ref="E324:F324"/>
    <mergeCell ref="K324:K327"/>
    <mergeCell ref="E325:F325"/>
    <mergeCell ref="E326:F326"/>
    <mergeCell ref="E327:F327"/>
    <mergeCell ref="E312:F312"/>
    <mergeCell ref="K312:K315"/>
    <mergeCell ref="E313:F313"/>
    <mergeCell ref="E314:F314"/>
    <mergeCell ref="E315:F315"/>
    <mergeCell ref="E316:F316"/>
    <mergeCell ref="K316:K319"/>
    <mergeCell ref="E317:F317"/>
    <mergeCell ref="E318:F318"/>
    <mergeCell ref="E319:F319"/>
    <mergeCell ref="D243:G244"/>
    <mergeCell ref="D272:G273"/>
    <mergeCell ref="D306:K306"/>
    <mergeCell ref="E307:F307"/>
    <mergeCell ref="E308:F308"/>
    <mergeCell ref="K308:K311"/>
    <mergeCell ref="E309:F309"/>
    <mergeCell ref="E310:F310"/>
    <mergeCell ref="E311:F311"/>
    <mergeCell ref="D211:G213"/>
    <mergeCell ref="C43:D43"/>
    <mergeCell ref="C44:D44"/>
    <mergeCell ref="D81:E81"/>
    <mergeCell ref="D82:E82"/>
    <mergeCell ref="D183:G184"/>
  </mergeCells>
  <conditionalFormatting sqref="G308:G343">
    <cfRule type="containsText" dxfId="1" priority="1" operator="containsText" text="NÃO">
      <formula>NOT(ISERROR(SEARCH("NÃO",G308)))</formula>
    </cfRule>
    <cfRule type="containsText" dxfId="0" priority="2" operator="containsText" text="ATINGIDO">
      <formula>NOT(ISERROR(SEARCH("ATINGIDO",G308)))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0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5F4E-9A76-43D1-94F2-E45D35CD58F5}">
  <dimension ref="A1:N386"/>
  <sheetViews>
    <sheetView showGridLines="0" zoomScale="90" zoomScaleNormal="90" workbookViewId="0">
      <selection activeCell="K9" sqref="K9"/>
    </sheetView>
  </sheetViews>
  <sheetFormatPr defaultRowHeight="14.3" x14ac:dyDescent="0.25"/>
  <cols>
    <col min="1" max="1" width="43.25" bestFit="1" customWidth="1"/>
    <col min="2" max="2" width="17.625" bestFit="1" customWidth="1"/>
    <col min="3" max="3" width="39.125" bestFit="1" customWidth="1"/>
    <col min="4" max="4" width="36.375" style="6" bestFit="1" customWidth="1"/>
    <col min="5" max="5" width="39.125" bestFit="1" customWidth="1"/>
    <col min="6" max="6" width="31.5" bestFit="1" customWidth="1"/>
    <col min="9" max="9" width="18.125" bestFit="1" customWidth="1"/>
    <col min="10" max="11" width="31.5" bestFit="1" customWidth="1"/>
    <col min="12" max="12" width="18.125" bestFit="1" customWidth="1"/>
    <col min="13" max="13" width="25.25" style="17" bestFit="1" customWidth="1"/>
    <col min="14" max="14" width="7.125" bestFit="1" customWidth="1"/>
    <col min="15" max="21" width="4.875" bestFit="1" customWidth="1"/>
    <col min="22" max="22" width="5.875" bestFit="1" customWidth="1"/>
    <col min="23" max="23" width="4.875" bestFit="1" customWidth="1"/>
    <col min="24" max="24" width="5.875" bestFit="1" customWidth="1"/>
    <col min="25" max="188" width="4.875" bestFit="1" customWidth="1"/>
    <col min="189" max="189" width="5.875" bestFit="1" customWidth="1"/>
    <col min="190" max="223" width="4.875" bestFit="1" customWidth="1"/>
    <col min="224" max="224" width="9.375" bestFit="1" customWidth="1"/>
  </cols>
  <sheetData>
    <row r="1" spans="1:14" x14ac:dyDescent="0.25">
      <c r="A1" s="18" t="s">
        <v>133</v>
      </c>
      <c r="B1" t="s">
        <v>134</v>
      </c>
      <c r="C1">
        <f>GETPIVOTDATA("VOLUMES",$A$1)</f>
        <v>6187</v>
      </c>
      <c r="E1" s="18" t="s">
        <v>133</v>
      </c>
      <c r="F1" t="s">
        <v>135</v>
      </c>
      <c r="G1">
        <f>GETPIVOTDATA("N° PEDIDO COMPRA",$E$1)</f>
        <v>306</v>
      </c>
      <c r="I1" s="18" t="s">
        <v>133</v>
      </c>
      <c r="J1" t="s">
        <v>136</v>
      </c>
      <c r="K1" s="7">
        <f>GETPIVOTDATA("% SLA CONFORMIDADES",$I$1)</f>
        <v>0.94117647058823528</v>
      </c>
      <c r="L1" s="18" t="s">
        <v>133</v>
      </c>
      <c r="M1" t="s">
        <v>137</v>
      </c>
      <c r="N1" s="7">
        <f>GETPIVOTDATA("ACURA.CONF",$L$1)</f>
        <v>0.97058823529411764</v>
      </c>
    </row>
    <row r="2" spans="1:14" x14ac:dyDescent="0.25">
      <c r="A2" s="8">
        <v>46024</v>
      </c>
      <c r="B2">
        <v>874</v>
      </c>
      <c r="E2" s="9" t="s">
        <v>143</v>
      </c>
      <c r="F2">
        <v>1</v>
      </c>
      <c r="I2" s="8">
        <v>46024</v>
      </c>
      <c r="J2" s="10">
        <v>0.94117647058823528</v>
      </c>
      <c r="L2" s="8">
        <v>46024</v>
      </c>
      <c r="M2" s="10">
        <v>0.94117647058823528</v>
      </c>
    </row>
    <row r="3" spans="1:14" x14ac:dyDescent="0.25">
      <c r="A3" s="8">
        <v>46027</v>
      </c>
      <c r="B3">
        <v>135</v>
      </c>
      <c r="E3" s="9" t="s">
        <v>153</v>
      </c>
      <c r="F3">
        <v>1</v>
      </c>
      <c r="I3" s="8">
        <v>46027</v>
      </c>
      <c r="J3" s="10">
        <v>0.9</v>
      </c>
      <c r="L3" s="8">
        <v>46027</v>
      </c>
      <c r="M3" s="10">
        <v>1</v>
      </c>
    </row>
    <row r="4" spans="1:14" x14ac:dyDescent="0.25">
      <c r="A4" s="8">
        <v>46028</v>
      </c>
      <c r="B4">
        <v>102</v>
      </c>
      <c r="E4" s="9" t="s">
        <v>151</v>
      </c>
      <c r="F4">
        <v>1</v>
      </c>
      <c r="I4" s="8">
        <v>46028</v>
      </c>
      <c r="J4" s="10">
        <v>0.83333333333333337</v>
      </c>
      <c r="L4" s="8">
        <v>46028</v>
      </c>
      <c r="M4" s="10">
        <v>1</v>
      </c>
    </row>
    <row r="5" spans="1:14" x14ac:dyDescent="0.25">
      <c r="A5" s="8">
        <v>46029</v>
      </c>
      <c r="B5">
        <v>155</v>
      </c>
      <c r="E5" s="9" t="s">
        <v>142</v>
      </c>
      <c r="F5">
        <v>1</v>
      </c>
      <c r="I5" s="8">
        <v>46029</v>
      </c>
      <c r="J5" s="10">
        <v>0.9</v>
      </c>
      <c r="L5" s="8">
        <v>46029</v>
      </c>
      <c r="M5" s="10">
        <v>1</v>
      </c>
    </row>
    <row r="6" spans="1:14" x14ac:dyDescent="0.25">
      <c r="A6" s="8">
        <v>46030</v>
      </c>
      <c r="B6">
        <v>264</v>
      </c>
      <c r="E6" s="9" t="s">
        <v>386</v>
      </c>
      <c r="F6">
        <v>1</v>
      </c>
      <c r="I6" s="8">
        <v>46030</v>
      </c>
      <c r="J6" s="10">
        <v>0.8</v>
      </c>
      <c r="L6" s="8">
        <v>46030</v>
      </c>
      <c r="M6" s="10">
        <v>1</v>
      </c>
    </row>
    <row r="7" spans="1:14" x14ac:dyDescent="0.25">
      <c r="A7" s="8">
        <v>46031</v>
      </c>
      <c r="B7">
        <v>128</v>
      </c>
      <c r="E7" s="9" t="s">
        <v>387</v>
      </c>
      <c r="F7">
        <v>1</v>
      </c>
      <c r="I7" s="8">
        <v>46031</v>
      </c>
      <c r="J7" s="10">
        <v>0</v>
      </c>
      <c r="L7" s="8">
        <v>46031</v>
      </c>
      <c r="M7" s="10">
        <v>1</v>
      </c>
    </row>
    <row r="8" spans="1:14" x14ac:dyDescent="0.25">
      <c r="A8" s="8">
        <v>46034</v>
      </c>
      <c r="B8">
        <v>17</v>
      </c>
      <c r="E8" s="9" t="s">
        <v>388</v>
      </c>
      <c r="F8">
        <v>1</v>
      </c>
      <c r="I8" s="8">
        <v>46034</v>
      </c>
      <c r="J8" s="10">
        <v>1</v>
      </c>
      <c r="L8" s="8">
        <v>46034</v>
      </c>
      <c r="M8" s="10">
        <v>1</v>
      </c>
    </row>
    <row r="9" spans="1:14" x14ac:dyDescent="0.25">
      <c r="A9" s="8">
        <v>46035</v>
      </c>
      <c r="B9">
        <v>9</v>
      </c>
      <c r="E9" s="9" t="s">
        <v>140</v>
      </c>
      <c r="F9">
        <v>1</v>
      </c>
      <c r="I9" s="8">
        <v>46035</v>
      </c>
      <c r="J9" s="10">
        <v>1</v>
      </c>
      <c r="L9" s="8">
        <v>46035</v>
      </c>
      <c r="M9" s="10">
        <v>1</v>
      </c>
    </row>
    <row r="10" spans="1:14" x14ac:dyDescent="0.25">
      <c r="A10" s="8">
        <v>46036</v>
      </c>
      <c r="B10">
        <v>192</v>
      </c>
      <c r="E10" s="9" t="s">
        <v>389</v>
      </c>
      <c r="F10">
        <v>1</v>
      </c>
      <c r="I10" s="8">
        <v>46036</v>
      </c>
      <c r="J10" s="10">
        <v>1</v>
      </c>
      <c r="L10" s="8">
        <v>46036</v>
      </c>
      <c r="M10" s="10">
        <v>1</v>
      </c>
    </row>
    <row r="11" spans="1:14" x14ac:dyDescent="0.25">
      <c r="A11" s="8">
        <v>46037</v>
      </c>
      <c r="B11">
        <v>176</v>
      </c>
      <c r="E11" s="9" t="s">
        <v>156</v>
      </c>
      <c r="F11">
        <v>1</v>
      </c>
      <c r="I11" s="8">
        <v>46037</v>
      </c>
      <c r="J11" s="10">
        <v>0.875</v>
      </c>
      <c r="L11" s="8">
        <v>46037</v>
      </c>
      <c r="M11" s="10">
        <v>0.875</v>
      </c>
    </row>
    <row r="12" spans="1:14" x14ac:dyDescent="0.25">
      <c r="A12" s="8">
        <v>46038</v>
      </c>
      <c r="B12">
        <v>69</v>
      </c>
      <c r="E12" s="9" t="s">
        <v>155</v>
      </c>
      <c r="F12">
        <v>1</v>
      </c>
      <c r="I12" s="8">
        <v>46038</v>
      </c>
      <c r="J12" s="10">
        <v>0.90909090909090906</v>
      </c>
      <c r="L12" s="8">
        <v>46038</v>
      </c>
      <c r="M12" s="10">
        <v>0.72727272727272729</v>
      </c>
    </row>
    <row r="13" spans="1:14" x14ac:dyDescent="0.25">
      <c r="A13" s="8">
        <v>46041</v>
      </c>
      <c r="B13">
        <v>12</v>
      </c>
      <c r="E13" s="9" t="s">
        <v>390</v>
      </c>
      <c r="F13">
        <v>1</v>
      </c>
      <c r="I13" s="8">
        <v>46041</v>
      </c>
      <c r="J13" s="10">
        <v>1</v>
      </c>
      <c r="L13" s="8">
        <v>46041</v>
      </c>
      <c r="M13" s="10">
        <v>1</v>
      </c>
    </row>
    <row r="14" spans="1:14" x14ac:dyDescent="0.25">
      <c r="A14" s="8">
        <v>46052</v>
      </c>
      <c r="B14">
        <v>5</v>
      </c>
      <c r="E14" s="9" t="s">
        <v>138</v>
      </c>
      <c r="F14">
        <v>1</v>
      </c>
      <c r="I14" s="8">
        <v>46052</v>
      </c>
      <c r="J14" s="10">
        <v>1</v>
      </c>
      <c r="L14" s="8">
        <v>46052</v>
      </c>
      <c r="M14" s="10">
        <v>1</v>
      </c>
    </row>
    <row r="15" spans="1:14" x14ac:dyDescent="0.25">
      <c r="A15" s="8">
        <v>46053</v>
      </c>
      <c r="B15">
        <v>170</v>
      </c>
      <c r="E15" s="9" t="s">
        <v>391</v>
      </c>
      <c r="F15">
        <v>1</v>
      </c>
      <c r="I15" s="8">
        <v>46053</v>
      </c>
      <c r="J15" s="10">
        <v>0.5</v>
      </c>
      <c r="L15" s="8">
        <v>46053</v>
      </c>
      <c r="M15" s="10">
        <v>1</v>
      </c>
    </row>
    <row r="16" spans="1:14" x14ac:dyDescent="0.25">
      <c r="A16" s="8">
        <v>46055</v>
      </c>
      <c r="B16">
        <v>39</v>
      </c>
      <c r="E16" s="9" t="s">
        <v>139</v>
      </c>
      <c r="F16">
        <v>1</v>
      </c>
      <c r="I16" s="8">
        <v>46055</v>
      </c>
      <c r="J16" s="10">
        <v>1</v>
      </c>
      <c r="L16" s="8">
        <v>46055</v>
      </c>
      <c r="M16" s="10">
        <v>1</v>
      </c>
    </row>
    <row r="17" spans="1:13" x14ac:dyDescent="0.25">
      <c r="A17" s="8">
        <v>46056</v>
      </c>
      <c r="B17">
        <v>322</v>
      </c>
      <c r="E17" s="9" t="s">
        <v>150</v>
      </c>
      <c r="F17">
        <v>1</v>
      </c>
      <c r="I17" s="8">
        <v>46056</v>
      </c>
      <c r="J17" s="10">
        <v>0.92307692307692313</v>
      </c>
      <c r="L17" s="8">
        <v>46056</v>
      </c>
      <c r="M17" s="10">
        <v>0.84615384615384615</v>
      </c>
    </row>
    <row r="18" spans="1:13" x14ac:dyDescent="0.25">
      <c r="A18" s="8">
        <v>46057</v>
      </c>
      <c r="B18">
        <v>56</v>
      </c>
      <c r="E18" s="9" t="s">
        <v>154</v>
      </c>
      <c r="F18">
        <v>1</v>
      </c>
      <c r="I18" s="8">
        <v>46057</v>
      </c>
      <c r="J18" s="10">
        <v>0.83333333333333337</v>
      </c>
      <c r="L18" s="8">
        <v>46057</v>
      </c>
      <c r="M18" s="10">
        <v>1</v>
      </c>
    </row>
    <row r="19" spans="1:13" x14ac:dyDescent="0.25">
      <c r="A19" s="8">
        <v>46058</v>
      </c>
      <c r="B19">
        <v>299</v>
      </c>
      <c r="E19" s="9" t="s">
        <v>392</v>
      </c>
      <c r="F19">
        <v>1</v>
      </c>
      <c r="I19" s="8">
        <v>46058</v>
      </c>
      <c r="J19" s="10">
        <v>1</v>
      </c>
      <c r="L19" s="8">
        <v>46058</v>
      </c>
      <c r="M19" s="10">
        <v>1</v>
      </c>
    </row>
    <row r="20" spans="1:13" x14ac:dyDescent="0.25">
      <c r="A20" s="8">
        <v>46059</v>
      </c>
      <c r="B20">
        <v>112</v>
      </c>
      <c r="E20" s="9" t="s">
        <v>147</v>
      </c>
      <c r="F20">
        <v>1</v>
      </c>
      <c r="I20" s="8">
        <v>46059</v>
      </c>
      <c r="J20" s="10">
        <v>0.91666666666666663</v>
      </c>
      <c r="L20" s="8">
        <v>46059</v>
      </c>
      <c r="M20" s="10">
        <v>1</v>
      </c>
    </row>
    <row r="21" spans="1:13" x14ac:dyDescent="0.25">
      <c r="A21" s="8">
        <v>46062</v>
      </c>
      <c r="B21">
        <v>176</v>
      </c>
      <c r="E21" s="9" t="s">
        <v>393</v>
      </c>
      <c r="F21">
        <v>1</v>
      </c>
      <c r="I21" s="8">
        <v>46062</v>
      </c>
      <c r="J21" s="10">
        <v>1</v>
      </c>
      <c r="L21" s="8">
        <v>46062</v>
      </c>
      <c r="M21" s="10">
        <v>1</v>
      </c>
    </row>
    <row r="22" spans="1:13" x14ac:dyDescent="0.25">
      <c r="A22" s="8">
        <v>46063</v>
      </c>
      <c r="B22">
        <v>36</v>
      </c>
      <c r="E22" s="9" t="s">
        <v>144</v>
      </c>
      <c r="F22">
        <v>2</v>
      </c>
      <c r="I22" s="8">
        <v>46063</v>
      </c>
      <c r="J22" s="10">
        <v>1</v>
      </c>
      <c r="L22" s="8">
        <v>46063</v>
      </c>
      <c r="M22" s="10">
        <v>1</v>
      </c>
    </row>
    <row r="23" spans="1:13" x14ac:dyDescent="0.25">
      <c r="A23" s="8">
        <v>46064</v>
      </c>
      <c r="B23">
        <v>407</v>
      </c>
      <c r="E23" s="9" t="s">
        <v>162</v>
      </c>
      <c r="F23">
        <v>2</v>
      </c>
      <c r="I23" s="8">
        <v>46064</v>
      </c>
      <c r="J23" s="10">
        <v>1</v>
      </c>
      <c r="L23" s="8">
        <v>46064</v>
      </c>
      <c r="M23" s="10">
        <v>1</v>
      </c>
    </row>
    <row r="24" spans="1:13" x14ac:dyDescent="0.25">
      <c r="A24" s="8">
        <v>46065</v>
      </c>
      <c r="B24">
        <v>153</v>
      </c>
      <c r="E24" s="9" t="s">
        <v>152</v>
      </c>
      <c r="F24">
        <v>2</v>
      </c>
      <c r="I24" s="8">
        <v>46065</v>
      </c>
      <c r="J24" s="10">
        <v>1</v>
      </c>
      <c r="L24" s="8">
        <v>46065</v>
      </c>
      <c r="M24" s="10">
        <v>1</v>
      </c>
    </row>
    <row r="25" spans="1:13" x14ac:dyDescent="0.25">
      <c r="A25" s="8">
        <v>46066</v>
      </c>
      <c r="B25">
        <v>309</v>
      </c>
      <c r="E25" s="9" t="s">
        <v>149</v>
      </c>
      <c r="F25">
        <v>2</v>
      </c>
      <c r="I25" s="8">
        <v>46066</v>
      </c>
      <c r="J25" s="10">
        <v>0.92307692307692313</v>
      </c>
      <c r="L25" s="8">
        <v>46066</v>
      </c>
      <c r="M25" s="10">
        <v>1</v>
      </c>
    </row>
    <row r="26" spans="1:13" x14ac:dyDescent="0.25">
      <c r="A26" s="8">
        <v>46067</v>
      </c>
      <c r="B26">
        <v>44</v>
      </c>
      <c r="E26" s="9" t="s">
        <v>145</v>
      </c>
      <c r="F26">
        <v>2</v>
      </c>
      <c r="I26" s="8">
        <v>46067</v>
      </c>
      <c r="J26" s="10">
        <v>1</v>
      </c>
      <c r="L26" s="8">
        <v>46067</v>
      </c>
      <c r="M26" s="10">
        <v>1</v>
      </c>
    </row>
    <row r="27" spans="1:13" x14ac:dyDescent="0.25">
      <c r="A27" s="8">
        <v>46069</v>
      </c>
      <c r="B27">
        <v>49</v>
      </c>
      <c r="E27" s="9" t="s">
        <v>161</v>
      </c>
      <c r="F27">
        <v>2</v>
      </c>
      <c r="I27" s="8">
        <v>46069</v>
      </c>
      <c r="J27" s="10">
        <v>1</v>
      </c>
      <c r="L27" s="8">
        <v>46069</v>
      </c>
      <c r="M27" s="10">
        <v>1</v>
      </c>
    </row>
    <row r="28" spans="1:13" x14ac:dyDescent="0.25">
      <c r="A28" s="8">
        <v>46071</v>
      </c>
      <c r="B28">
        <v>120</v>
      </c>
      <c r="E28" s="9" t="s">
        <v>163</v>
      </c>
      <c r="F28">
        <v>2</v>
      </c>
      <c r="I28" s="8">
        <v>46071</v>
      </c>
      <c r="J28" s="10">
        <v>1</v>
      </c>
      <c r="L28" s="8">
        <v>46071</v>
      </c>
      <c r="M28" s="10">
        <v>1</v>
      </c>
    </row>
    <row r="29" spans="1:13" x14ac:dyDescent="0.25">
      <c r="A29" s="8">
        <v>46072</v>
      </c>
      <c r="B29">
        <v>106</v>
      </c>
      <c r="E29" s="9" t="s">
        <v>159</v>
      </c>
      <c r="F29">
        <v>2</v>
      </c>
      <c r="I29" s="8">
        <v>46072</v>
      </c>
      <c r="J29" s="10">
        <v>1</v>
      </c>
      <c r="L29" s="8">
        <v>46072</v>
      </c>
      <c r="M29" s="10">
        <v>1</v>
      </c>
    </row>
    <row r="30" spans="1:13" x14ac:dyDescent="0.25">
      <c r="A30" s="8">
        <v>46073</v>
      </c>
      <c r="B30">
        <v>111</v>
      </c>
      <c r="E30" s="9" t="s">
        <v>148</v>
      </c>
      <c r="F30">
        <v>2</v>
      </c>
      <c r="I30" s="8">
        <v>46073</v>
      </c>
      <c r="J30" s="10">
        <v>1</v>
      </c>
      <c r="L30" s="8">
        <v>46073</v>
      </c>
      <c r="M30" s="10">
        <v>1</v>
      </c>
    </row>
    <row r="31" spans="1:13" x14ac:dyDescent="0.25">
      <c r="A31" s="8">
        <v>46074</v>
      </c>
      <c r="B31">
        <v>114</v>
      </c>
      <c r="E31" s="9" t="s">
        <v>165</v>
      </c>
      <c r="F31">
        <v>3</v>
      </c>
      <c r="I31" s="8">
        <v>46074</v>
      </c>
      <c r="J31" s="10">
        <v>1</v>
      </c>
      <c r="L31" s="8">
        <v>46074</v>
      </c>
      <c r="M31" s="10">
        <v>1</v>
      </c>
    </row>
    <row r="32" spans="1:13" x14ac:dyDescent="0.25">
      <c r="A32" s="8">
        <v>46076</v>
      </c>
      <c r="B32">
        <v>77</v>
      </c>
      <c r="E32" s="9" t="s">
        <v>168</v>
      </c>
      <c r="F32">
        <v>3</v>
      </c>
      <c r="I32" s="8">
        <v>46076</v>
      </c>
      <c r="J32" s="10">
        <v>1</v>
      </c>
      <c r="L32" s="8">
        <v>46076</v>
      </c>
      <c r="M32" s="10">
        <v>1</v>
      </c>
    </row>
    <row r="33" spans="1:13" x14ac:dyDescent="0.25">
      <c r="A33" s="8">
        <v>46077</v>
      </c>
      <c r="B33">
        <v>125</v>
      </c>
      <c r="E33" s="9" t="s">
        <v>158</v>
      </c>
      <c r="F33">
        <v>3</v>
      </c>
      <c r="I33" s="8">
        <v>46077</v>
      </c>
      <c r="J33" s="10">
        <v>0.75</v>
      </c>
      <c r="L33" s="8">
        <v>46077</v>
      </c>
      <c r="M33" s="10">
        <v>0.875</v>
      </c>
    </row>
    <row r="34" spans="1:13" x14ac:dyDescent="0.25">
      <c r="A34" s="8">
        <v>46078</v>
      </c>
      <c r="B34">
        <v>85</v>
      </c>
      <c r="E34" s="9" t="s">
        <v>146</v>
      </c>
      <c r="F34">
        <v>3</v>
      </c>
      <c r="I34" s="8">
        <v>46078</v>
      </c>
      <c r="J34" s="10">
        <v>1</v>
      </c>
      <c r="L34" s="8">
        <v>46078</v>
      </c>
      <c r="M34" s="10">
        <v>1</v>
      </c>
    </row>
    <row r="35" spans="1:13" x14ac:dyDescent="0.25">
      <c r="A35" s="8">
        <v>46079</v>
      </c>
      <c r="B35">
        <v>512</v>
      </c>
      <c r="E35" s="9" t="s">
        <v>141</v>
      </c>
      <c r="F35">
        <v>4</v>
      </c>
      <c r="I35" s="8">
        <v>46079</v>
      </c>
      <c r="J35" s="10">
        <v>0.9</v>
      </c>
      <c r="L35" s="8">
        <v>46079</v>
      </c>
      <c r="M35" s="10">
        <v>0.9</v>
      </c>
    </row>
    <row r="36" spans="1:13" x14ac:dyDescent="0.25">
      <c r="A36" s="8">
        <v>46080</v>
      </c>
      <c r="B36">
        <v>597</v>
      </c>
      <c r="E36" s="9" t="s">
        <v>170</v>
      </c>
      <c r="F36">
        <v>4</v>
      </c>
      <c r="I36" s="8">
        <v>46080</v>
      </c>
      <c r="J36" s="10">
        <v>0.92307692307692313</v>
      </c>
      <c r="L36" s="8">
        <v>46080</v>
      </c>
      <c r="M36" s="10">
        <v>1</v>
      </c>
    </row>
    <row r="37" spans="1:13" x14ac:dyDescent="0.25">
      <c r="A37" s="8">
        <v>46081</v>
      </c>
      <c r="B37">
        <v>30</v>
      </c>
      <c r="E37" s="9" t="s">
        <v>171</v>
      </c>
      <c r="F37">
        <v>4</v>
      </c>
      <c r="I37" s="8">
        <v>46081</v>
      </c>
      <c r="J37" s="10">
        <v>1</v>
      </c>
      <c r="L37" s="8">
        <v>46081</v>
      </c>
      <c r="M37" s="10">
        <v>1</v>
      </c>
    </row>
    <row r="38" spans="1:13" x14ac:dyDescent="0.25">
      <c r="A38" s="8" t="s">
        <v>160</v>
      </c>
      <c r="B38">
        <v>6187</v>
      </c>
      <c r="E38" s="9" t="s">
        <v>164</v>
      </c>
      <c r="F38">
        <v>4</v>
      </c>
      <c r="I38" s="8" t="s">
        <v>160</v>
      </c>
      <c r="J38" s="5">
        <v>0.94117647058823528</v>
      </c>
      <c r="L38" s="9" t="s">
        <v>160</v>
      </c>
      <c r="M38" s="5">
        <v>0.97058823529411764</v>
      </c>
    </row>
    <row r="39" spans="1:13" x14ac:dyDescent="0.25">
      <c r="E39" s="9" t="s">
        <v>157</v>
      </c>
      <c r="F39">
        <v>4</v>
      </c>
      <c r="M39"/>
    </row>
    <row r="40" spans="1:13" x14ac:dyDescent="0.25">
      <c r="E40" s="9" t="s">
        <v>167</v>
      </c>
      <c r="F40">
        <v>5</v>
      </c>
      <c r="M40"/>
    </row>
    <row r="41" spans="1:13" x14ac:dyDescent="0.25">
      <c r="E41" s="9" t="s">
        <v>172</v>
      </c>
      <c r="F41">
        <v>6</v>
      </c>
      <c r="M41"/>
    </row>
    <row r="42" spans="1:13" x14ac:dyDescent="0.25">
      <c r="E42" s="9" t="s">
        <v>179</v>
      </c>
      <c r="F42">
        <v>7</v>
      </c>
      <c r="M42"/>
    </row>
    <row r="43" spans="1:13" x14ac:dyDescent="0.25">
      <c r="E43" s="9" t="s">
        <v>180</v>
      </c>
      <c r="F43">
        <v>7</v>
      </c>
      <c r="M43"/>
    </row>
    <row r="44" spans="1:13" x14ac:dyDescent="0.25">
      <c r="E44" s="9" t="s">
        <v>176</v>
      </c>
      <c r="F44">
        <v>7</v>
      </c>
      <c r="M44"/>
    </row>
    <row r="45" spans="1:13" x14ac:dyDescent="0.25">
      <c r="E45" s="9" t="s">
        <v>169</v>
      </c>
      <c r="F45">
        <v>7</v>
      </c>
      <c r="M45"/>
    </row>
    <row r="46" spans="1:13" x14ac:dyDescent="0.25">
      <c r="E46" s="9" t="s">
        <v>173</v>
      </c>
      <c r="F46">
        <v>7</v>
      </c>
      <c r="M46"/>
    </row>
    <row r="47" spans="1:13" x14ac:dyDescent="0.25">
      <c r="E47" s="9" t="s">
        <v>181</v>
      </c>
      <c r="F47">
        <v>7</v>
      </c>
      <c r="M47"/>
    </row>
    <row r="48" spans="1:13" x14ac:dyDescent="0.25">
      <c r="E48" s="9" t="s">
        <v>166</v>
      </c>
      <c r="F48">
        <v>7</v>
      </c>
      <c r="M48"/>
    </row>
    <row r="49" spans="5:13" x14ac:dyDescent="0.25">
      <c r="E49" s="9" t="s">
        <v>174</v>
      </c>
      <c r="F49">
        <v>8</v>
      </c>
      <c r="M49"/>
    </row>
    <row r="50" spans="5:13" x14ac:dyDescent="0.25">
      <c r="E50" s="9" t="s">
        <v>175</v>
      </c>
      <c r="F50">
        <v>8</v>
      </c>
      <c r="M50"/>
    </row>
    <row r="51" spans="5:13" x14ac:dyDescent="0.25">
      <c r="E51" s="9" t="s">
        <v>178</v>
      </c>
      <c r="F51">
        <v>8</v>
      </c>
      <c r="M51"/>
    </row>
    <row r="52" spans="5:13" x14ac:dyDescent="0.25">
      <c r="E52" s="9" t="s">
        <v>177</v>
      </c>
      <c r="F52">
        <v>10</v>
      </c>
      <c r="M52"/>
    </row>
    <row r="53" spans="5:13" x14ac:dyDescent="0.25">
      <c r="E53" s="9" t="s">
        <v>182</v>
      </c>
      <c r="F53">
        <v>11</v>
      </c>
      <c r="M53"/>
    </row>
    <row r="54" spans="5:13" x14ac:dyDescent="0.25">
      <c r="E54" s="9" t="s">
        <v>183</v>
      </c>
      <c r="F54">
        <v>12</v>
      </c>
      <c r="M54"/>
    </row>
    <row r="55" spans="5:13" x14ac:dyDescent="0.25">
      <c r="E55" s="9" t="s">
        <v>185</v>
      </c>
      <c r="F55">
        <v>14</v>
      </c>
      <c r="M55"/>
    </row>
    <row r="56" spans="5:13" x14ac:dyDescent="0.25">
      <c r="E56" s="9" t="s">
        <v>184</v>
      </c>
      <c r="F56">
        <v>16</v>
      </c>
      <c r="M56"/>
    </row>
    <row r="57" spans="5:13" x14ac:dyDescent="0.25">
      <c r="E57" s="9" t="s">
        <v>186</v>
      </c>
      <c r="F57">
        <v>18</v>
      </c>
      <c r="M57"/>
    </row>
    <row r="58" spans="5:13" x14ac:dyDescent="0.25">
      <c r="E58" s="9" t="s">
        <v>188</v>
      </c>
      <c r="F58">
        <v>20</v>
      </c>
      <c r="M58"/>
    </row>
    <row r="59" spans="5:13" x14ac:dyDescent="0.25">
      <c r="E59" s="9" t="s">
        <v>187</v>
      </c>
      <c r="F59">
        <v>25</v>
      </c>
      <c r="M59"/>
    </row>
    <row r="60" spans="5:13" x14ac:dyDescent="0.25">
      <c r="E60" s="9" t="s">
        <v>189</v>
      </c>
      <c r="F60">
        <v>26</v>
      </c>
      <c r="M60"/>
    </row>
    <row r="61" spans="5:13" x14ac:dyDescent="0.25">
      <c r="E61" s="9" t="s">
        <v>160</v>
      </c>
      <c r="F61">
        <v>306</v>
      </c>
      <c r="M61"/>
    </row>
    <row r="62" spans="5:13" x14ac:dyDescent="0.25">
      <c r="M62"/>
    </row>
    <row r="63" spans="5:13" x14ac:dyDescent="0.25">
      <c r="M63"/>
    </row>
    <row r="64" spans="5:13" x14ac:dyDescent="0.25">
      <c r="M64"/>
    </row>
    <row r="65" spans="13:13" x14ac:dyDescent="0.25">
      <c r="M65"/>
    </row>
    <row r="66" spans="13:13" x14ac:dyDescent="0.25">
      <c r="M66"/>
    </row>
    <row r="67" spans="13:13" x14ac:dyDescent="0.25">
      <c r="M67"/>
    </row>
    <row r="68" spans="13:13" x14ac:dyDescent="0.25">
      <c r="M68"/>
    </row>
    <row r="69" spans="13:13" x14ac:dyDescent="0.25">
      <c r="M69"/>
    </row>
    <row r="70" spans="13:13" x14ac:dyDescent="0.25">
      <c r="M70"/>
    </row>
    <row r="71" spans="13:13" x14ac:dyDescent="0.25">
      <c r="M71"/>
    </row>
    <row r="72" spans="13:13" x14ac:dyDescent="0.25">
      <c r="M72"/>
    </row>
    <row r="73" spans="13:13" x14ac:dyDescent="0.25">
      <c r="M73"/>
    </row>
    <row r="74" spans="13:13" x14ac:dyDescent="0.25">
      <c r="M74"/>
    </row>
    <row r="75" spans="13:13" x14ac:dyDescent="0.25">
      <c r="M75"/>
    </row>
    <row r="76" spans="13:13" x14ac:dyDescent="0.25">
      <c r="M76"/>
    </row>
    <row r="77" spans="13:13" x14ac:dyDescent="0.25">
      <c r="M77"/>
    </row>
    <row r="78" spans="13:13" x14ac:dyDescent="0.25">
      <c r="M78"/>
    </row>
    <row r="79" spans="13:13" x14ac:dyDescent="0.25">
      <c r="M79"/>
    </row>
    <row r="80" spans="13:13" x14ac:dyDescent="0.25">
      <c r="M80"/>
    </row>
    <row r="81" spans="4:13" x14ac:dyDescent="0.25">
      <c r="M81" s="7">
        <f>GETPIVOTDATA("APURACAO LT D+0",$M$83)/GETPIVOTDATA("N° PEDIDO COMPRA",$J$83)</f>
        <v>0.60784313725490191</v>
      </c>
    </row>
    <row r="82" spans="4:13" x14ac:dyDescent="0.25">
      <c r="M82"/>
    </row>
    <row r="83" spans="4:13" x14ac:dyDescent="0.25">
      <c r="J83" s="18" t="s">
        <v>133</v>
      </c>
      <c r="K83" t="s">
        <v>135</v>
      </c>
      <c r="M83" t="s">
        <v>190</v>
      </c>
    </row>
    <row r="84" spans="4:13" x14ac:dyDescent="0.25">
      <c r="J84" s="9">
        <v>7780</v>
      </c>
      <c r="K84">
        <v>1</v>
      </c>
      <c r="M84">
        <v>186</v>
      </c>
    </row>
    <row r="85" spans="4:13" x14ac:dyDescent="0.25">
      <c r="J85" s="9">
        <v>7782</v>
      </c>
      <c r="K85">
        <v>1</v>
      </c>
      <c r="M85"/>
    </row>
    <row r="86" spans="4:13" x14ac:dyDescent="0.25">
      <c r="J86" s="9">
        <v>7808</v>
      </c>
      <c r="K86">
        <v>1</v>
      </c>
      <c r="M86"/>
    </row>
    <row r="87" spans="4:13" x14ac:dyDescent="0.25">
      <c r="J87" s="9">
        <v>7819</v>
      </c>
      <c r="K87">
        <v>1</v>
      </c>
      <c r="M87"/>
    </row>
    <row r="88" spans="4:13" x14ac:dyDescent="0.25">
      <c r="D88" s="11" t="s">
        <v>191</v>
      </c>
      <c r="E88" s="11" t="s">
        <v>192</v>
      </c>
      <c r="J88" s="9">
        <v>7820</v>
      </c>
      <c r="K88">
        <v>1</v>
      </c>
      <c r="M88"/>
    </row>
    <row r="89" spans="4:13" x14ac:dyDescent="0.25">
      <c r="D89" s="12" t="s">
        <v>193</v>
      </c>
      <c r="E89" s="13">
        <f>100%-E90</f>
        <v>0.39215686274509809</v>
      </c>
      <c r="J89" s="9">
        <v>7824</v>
      </c>
      <c r="K89">
        <v>1</v>
      </c>
      <c r="M89"/>
    </row>
    <row r="90" spans="4:13" x14ac:dyDescent="0.25">
      <c r="D90" s="12" t="s">
        <v>194</v>
      </c>
      <c r="E90" s="13">
        <f>M81</f>
        <v>0.60784313725490191</v>
      </c>
      <c r="J90" s="9">
        <v>7826</v>
      </c>
      <c r="K90">
        <v>1</v>
      </c>
      <c r="M90"/>
    </row>
    <row r="91" spans="4:13" x14ac:dyDescent="0.25">
      <c r="J91" s="9">
        <v>7835</v>
      </c>
      <c r="K91">
        <v>1</v>
      </c>
      <c r="M91"/>
    </row>
    <row r="92" spans="4:13" x14ac:dyDescent="0.25">
      <c r="J92" s="9">
        <v>7837</v>
      </c>
      <c r="K92">
        <v>1</v>
      </c>
      <c r="M92"/>
    </row>
    <row r="93" spans="4:13" x14ac:dyDescent="0.25">
      <c r="J93" s="9">
        <v>7838</v>
      </c>
      <c r="K93">
        <v>1</v>
      </c>
      <c r="M93"/>
    </row>
    <row r="94" spans="4:13" x14ac:dyDescent="0.25">
      <c r="J94" s="9">
        <v>7840</v>
      </c>
      <c r="K94">
        <v>1</v>
      </c>
      <c r="M94"/>
    </row>
    <row r="95" spans="4:13" x14ac:dyDescent="0.25">
      <c r="J95" s="9">
        <v>7841</v>
      </c>
      <c r="K95">
        <v>1</v>
      </c>
      <c r="M95"/>
    </row>
    <row r="96" spans="4:13" x14ac:dyDescent="0.25">
      <c r="J96" s="9">
        <v>7847</v>
      </c>
      <c r="K96">
        <v>1</v>
      </c>
      <c r="M96"/>
    </row>
    <row r="97" spans="3:13" x14ac:dyDescent="0.25">
      <c r="D97" s="6">
        <f>GETPIVOTDATA("LEAD TIME DISPONIBILIZACAO",$C$98)</f>
        <v>0.21895424836601307</v>
      </c>
      <c r="J97" s="9">
        <v>7849</v>
      </c>
      <c r="K97">
        <v>1</v>
      </c>
      <c r="M97"/>
    </row>
    <row r="98" spans="3:13" x14ac:dyDescent="0.25">
      <c r="C98" s="18" t="s">
        <v>133</v>
      </c>
      <c r="D98" s="14" t="s">
        <v>195</v>
      </c>
      <c r="J98" s="9">
        <v>7850</v>
      </c>
      <c r="K98">
        <v>1</v>
      </c>
      <c r="M98"/>
    </row>
    <row r="99" spans="3:13" x14ac:dyDescent="0.25">
      <c r="C99" s="9" t="s">
        <v>186</v>
      </c>
      <c r="D99" s="14">
        <v>0.61111111111111116</v>
      </c>
      <c r="J99" s="9">
        <v>7851</v>
      </c>
      <c r="K99">
        <v>1</v>
      </c>
      <c r="M99"/>
    </row>
    <row r="100" spans="3:13" x14ac:dyDescent="0.25">
      <c r="C100" s="9" t="s">
        <v>177</v>
      </c>
      <c r="D100" s="14">
        <v>1.5</v>
      </c>
      <c r="J100" s="9">
        <v>7853</v>
      </c>
      <c r="K100">
        <v>1</v>
      </c>
      <c r="M100"/>
    </row>
    <row r="101" spans="3:13" x14ac:dyDescent="0.25">
      <c r="C101" s="9" t="s">
        <v>178</v>
      </c>
      <c r="D101" s="14">
        <v>0.25</v>
      </c>
      <c r="J101" s="9">
        <v>7855</v>
      </c>
      <c r="K101">
        <v>1</v>
      </c>
      <c r="M101"/>
    </row>
    <row r="102" spans="3:13" x14ac:dyDescent="0.25">
      <c r="C102" s="9" t="s">
        <v>155</v>
      </c>
      <c r="D102" s="14">
        <v>0</v>
      </c>
      <c r="J102" s="9">
        <v>7856</v>
      </c>
      <c r="K102">
        <v>1</v>
      </c>
      <c r="M102"/>
    </row>
    <row r="103" spans="3:13" x14ac:dyDescent="0.25">
      <c r="C103" s="9" t="s">
        <v>176</v>
      </c>
      <c r="D103" s="14">
        <v>0.42857142857142855</v>
      </c>
      <c r="J103" s="9">
        <v>7857</v>
      </c>
      <c r="K103">
        <v>1</v>
      </c>
      <c r="M103"/>
    </row>
    <row r="104" spans="3:13" x14ac:dyDescent="0.25">
      <c r="C104" s="9" t="s">
        <v>187</v>
      </c>
      <c r="D104" s="14">
        <v>1</v>
      </c>
      <c r="J104" s="9">
        <v>7858</v>
      </c>
      <c r="K104">
        <v>1</v>
      </c>
      <c r="M104"/>
    </row>
    <row r="105" spans="3:13" x14ac:dyDescent="0.25">
      <c r="C105" s="9" t="s">
        <v>185</v>
      </c>
      <c r="D105" s="14">
        <v>0.14285714285714285</v>
      </c>
      <c r="J105" s="9">
        <v>7859</v>
      </c>
      <c r="K105">
        <v>1</v>
      </c>
      <c r="M105"/>
    </row>
    <row r="106" spans="3:13" x14ac:dyDescent="0.25">
      <c r="C106" s="9" t="s">
        <v>169</v>
      </c>
      <c r="D106" s="14">
        <v>1.1428571428571428</v>
      </c>
      <c r="J106" s="9">
        <v>7860</v>
      </c>
      <c r="K106">
        <v>1</v>
      </c>
      <c r="M106"/>
    </row>
    <row r="107" spans="3:13" x14ac:dyDescent="0.25">
      <c r="C107" s="9" t="s">
        <v>183</v>
      </c>
      <c r="D107" s="14">
        <v>0.16666666666666666</v>
      </c>
      <c r="J107" s="9">
        <v>7861</v>
      </c>
      <c r="K107">
        <v>1</v>
      </c>
      <c r="M107"/>
    </row>
    <row r="108" spans="3:13" x14ac:dyDescent="0.25">
      <c r="C108" s="9" t="s">
        <v>175</v>
      </c>
      <c r="D108" s="14">
        <v>0.75</v>
      </c>
      <c r="J108" s="9">
        <v>7862</v>
      </c>
      <c r="K108">
        <v>1</v>
      </c>
      <c r="M108"/>
    </row>
    <row r="109" spans="3:13" x14ac:dyDescent="0.25">
      <c r="C109" s="9" t="s">
        <v>189</v>
      </c>
      <c r="D109" s="14">
        <v>-0.42307692307692307</v>
      </c>
      <c r="J109" s="9">
        <v>7863</v>
      </c>
      <c r="K109">
        <v>1</v>
      </c>
      <c r="M109"/>
    </row>
    <row r="110" spans="3:13" x14ac:dyDescent="0.25">
      <c r="C110" s="9" t="s">
        <v>188</v>
      </c>
      <c r="D110" s="14">
        <v>0.35</v>
      </c>
      <c r="J110" s="9">
        <v>7865</v>
      </c>
      <c r="K110">
        <v>1</v>
      </c>
      <c r="M110"/>
    </row>
    <row r="111" spans="3:13" x14ac:dyDescent="0.25">
      <c r="C111" s="9" t="s">
        <v>172</v>
      </c>
      <c r="D111" s="14">
        <v>0.83333333333333337</v>
      </c>
      <c r="J111" s="9">
        <v>7866</v>
      </c>
      <c r="K111">
        <v>1</v>
      </c>
      <c r="M111"/>
    </row>
    <row r="112" spans="3:13" x14ac:dyDescent="0.25">
      <c r="C112" s="9" t="s">
        <v>184</v>
      </c>
      <c r="D112" s="14">
        <v>0.25</v>
      </c>
      <c r="J112" s="9">
        <v>7867</v>
      </c>
      <c r="K112">
        <v>1</v>
      </c>
      <c r="M112"/>
    </row>
    <row r="113" spans="3:13" x14ac:dyDescent="0.25">
      <c r="C113" s="9" t="s">
        <v>168</v>
      </c>
      <c r="D113" s="14">
        <v>-6.333333333333333</v>
      </c>
      <c r="J113" s="9">
        <v>7868</v>
      </c>
      <c r="K113">
        <v>1</v>
      </c>
      <c r="M113"/>
    </row>
    <row r="114" spans="3:13" x14ac:dyDescent="0.25">
      <c r="C114" s="9" t="s">
        <v>182</v>
      </c>
      <c r="D114" s="14">
        <v>-1.1818181818181819</v>
      </c>
      <c r="J114" s="9">
        <v>7869</v>
      </c>
      <c r="K114">
        <v>1</v>
      </c>
      <c r="M114"/>
    </row>
    <row r="115" spans="3:13" x14ac:dyDescent="0.25">
      <c r="C115" s="9" t="s">
        <v>141</v>
      </c>
      <c r="D115" s="14">
        <v>0.25</v>
      </c>
      <c r="J115" s="9">
        <v>7870</v>
      </c>
      <c r="K115">
        <v>1</v>
      </c>
      <c r="M115"/>
    </row>
    <row r="116" spans="3:13" x14ac:dyDescent="0.25">
      <c r="C116" s="9" t="s">
        <v>179</v>
      </c>
      <c r="D116" s="14">
        <v>0.2857142857142857</v>
      </c>
      <c r="J116" s="9">
        <v>7871</v>
      </c>
      <c r="K116">
        <v>1</v>
      </c>
      <c r="M116"/>
    </row>
    <row r="117" spans="3:13" x14ac:dyDescent="0.25">
      <c r="C117" s="9" t="s">
        <v>167</v>
      </c>
      <c r="D117" s="14">
        <v>0</v>
      </c>
      <c r="J117" s="9">
        <v>7872</v>
      </c>
      <c r="K117">
        <v>1</v>
      </c>
      <c r="M117"/>
    </row>
    <row r="118" spans="3:13" x14ac:dyDescent="0.25">
      <c r="C118" s="9" t="s">
        <v>181</v>
      </c>
      <c r="D118" s="14">
        <v>0.2857142857142857</v>
      </c>
      <c r="J118" s="9">
        <v>7873</v>
      </c>
      <c r="K118">
        <v>1</v>
      </c>
      <c r="M118"/>
    </row>
    <row r="119" spans="3:13" x14ac:dyDescent="0.25">
      <c r="C119" s="9" t="s">
        <v>180</v>
      </c>
      <c r="D119" s="14">
        <v>0.42857142857142855</v>
      </c>
      <c r="J119" s="9">
        <v>7874</v>
      </c>
      <c r="K119">
        <v>1</v>
      </c>
      <c r="M119"/>
    </row>
    <row r="120" spans="3:13" x14ac:dyDescent="0.25">
      <c r="C120" s="9" t="s">
        <v>387</v>
      </c>
      <c r="D120" s="14">
        <v>0</v>
      </c>
      <c r="J120" s="9">
        <v>7876</v>
      </c>
      <c r="K120">
        <v>1</v>
      </c>
      <c r="M120"/>
    </row>
    <row r="121" spans="3:13" x14ac:dyDescent="0.25">
      <c r="C121" s="9" t="s">
        <v>171</v>
      </c>
      <c r="D121" s="14">
        <v>0</v>
      </c>
      <c r="J121" s="9">
        <v>7877</v>
      </c>
      <c r="K121">
        <v>1</v>
      </c>
      <c r="M121"/>
    </row>
    <row r="122" spans="3:13" x14ac:dyDescent="0.25">
      <c r="C122" s="9" t="s">
        <v>161</v>
      </c>
      <c r="D122" s="14">
        <v>0</v>
      </c>
      <c r="J122" s="9">
        <v>7878</v>
      </c>
      <c r="K122">
        <v>1</v>
      </c>
      <c r="M122"/>
    </row>
    <row r="123" spans="3:13" x14ac:dyDescent="0.25">
      <c r="C123" s="9" t="s">
        <v>166</v>
      </c>
      <c r="D123" s="14">
        <v>1.1428571428571428</v>
      </c>
      <c r="J123" s="9">
        <v>7879</v>
      </c>
      <c r="K123">
        <v>1</v>
      </c>
      <c r="M123"/>
    </row>
    <row r="124" spans="3:13" x14ac:dyDescent="0.25">
      <c r="C124" s="9" t="s">
        <v>173</v>
      </c>
      <c r="D124" s="14">
        <v>-1.2857142857142858</v>
      </c>
      <c r="J124" s="9">
        <v>7880</v>
      </c>
      <c r="K124">
        <v>1</v>
      </c>
      <c r="M124"/>
    </row>
    <row r="125" spans="3:13" x14ac:dyDescent="0.25">
      <c r="C125" s="9" t="s">
        <v>157</v>
      </c>
      <c r="D125" s="14">
        <v>0</v>
      </c>
      <c r="J125" s="9">
        <v>7881</v>
      </c>
      <c r="K125">
        <v>1</v>
      </c>
      <c r="M125"/>
    </row>
    <row r="126" spans="3:13" x14ac:dyDescent="0.25">
      <c r="C126" s="9" t="s">
        <v>149</v>
      </c>
      <c r="D126" s="14">
        <v>0.5</v>
      </c>
      <c r="J126" s="9">
        <v>7882</v>
      </c>
      <c r="K126">
        <v>1</v>
      </c>
      <c r="M126"/>
    </row>
    <row r="127" spans="3:13" x14ac:dyDescent="0.25">
      <c r="C127" s="9" t="s">
        <v>389</v>
      </c>
      <c r="D127" s="14">
        <v>2</v>
      </c>
      <c r="J127" s="9">
        <v>7884</v>
      </c>
      <c r="K127">
        <v>1</v>
      </c>
      <c r="M127"/>
    </row>
    <row r="128" spans="3:13" x14ac:dyDescent="0.25">
      <c r="C128" s="9" t="s">
        <v>143</v>
      </c>
      <c r="D128" s="14">
        <v>-2</v>
      </c>
      <c r="J128" s="9">
        <v>7885</v>
      </c>
      <c r="K128">
        <v>1</v>
      </c>
      <c r="M128"/>
    </row>
    <row r="129" spans="3:13" x14ac:dyDescent="0.25">
      <c r="C129" s="9" t="s">
        <v>153</v>
      </c>
      <c r="D129" s="14">
        <v>-1</v>
      </c>
      <c r="J129" s="9">
        <v>7887</v>
      </c>
      <c r="K129">
        <v>1</v>
      </c>
      <c r="M129"/>
    </row>
    <row r="130" spans="3:13" x14ac:dyDescent="0.25">
      <c r="C130" s="9" t="s">
        <v>174</v>
      </c>
      <c r="D130" s="14">
        <v>0</v>
      </c>
      <c r="J130" s="9">
        <v>7888</v>
      </c>
      <c r="K130">
        <v>1</v>
      </c>
      <c r="M130"/>
    </row>
    <row r="131" spans="3:13" x14ac:dyDescent="0.25">
      <c r="C131" s="9" t="s">
        <v>145</v>
      </c>
      <c r="D131" s="14">
        <v>0</v>
      </c>
      <c r="J131" s="9">
        <v>7889</v>
      </c>
      <c r="K131">
        <v>1</v>
      </c>
      <c r="M131"/>
    </row>
    <row r="132" spans="3:13" x14ac:dyDescent="0.25">
      <c r="C132" s="9" t="s">
        <v>158</v>
      </c>
      <c r="D132" s="14">
        <v>0</v>
      </c>
      <c r="J132" s="9">
        <v>7890</v>
      </c>
      <c r="K132">
        <v>1</v>
      </c>
      <c r="M132"/>
    </row>
    <row r="133" spans="3:13" x14ac:dyDescent="0.25">
      <c r="C133" s="9" t="s">
        <v>151</v>
      </c>
      <c r="D133" s="14">
        <v>0</v>
      </c>
      <c r="J133" s="9">
        <v>7891</v>
      </c>
      <c r="K133">
        <v>1</v>
      </c>
      <c r="M133"/>
    </row>
    <row r="134" spans="3:13" x14ac:dyDescent="0.25">
      <c r="C134" s="9" t="s">
        <v>147</v>
      </c>
      <c r="D134" s="14">
        <v>-1</v>
      </c>
      <c r="J134" s="9">
        <v>7892</v>
      </c>
      <c r="K134">
        <v>1</v>
      </c>
      <c r="M134"/>
    </row>
    <row r="135" spans="3:13" x14ac:dyDescent="0.25">
      <c r="C135" s="9" t="s">
        <v>138</v>
      </c>
      <c r="D135" s="14">
        <v>0</v>
      </c>
      <c r="J135" s="9">
        <v>7893</v>
      </c>
      <c r="K135">
        <v>1</v>
      </c>
      <c r="M135"/>
    </row>
    <row r="136" spans="3:13" x14ac:dyDescent="0.25">
      <c r="C136" s="9" t="s">
        <v>388</v>
      </c>
      <c r="D136" s="14">
        <v>2</v>
      </c>
      <c r="J136" s="9">
        <v>7895</v>
      </c>
      <c r="K136">
        <v>1</v>
      </c>
      <c r="M136"/>
    </row>
    <row r="137" spans="3:13" x14ac:dyDescent="0.25">
      <c r="C137" s="9" t="s">
        <v>140</v>
      </c>
      <c r="D137" s="14">
        <v>0</v>
      </c>
      <c r="J137" s="9">
        <v>7896</v>
      </c>
      <c r="K137">
        <v>1</v>
      </c>
      <c r="M137"/>
    </row>
    <row r="138" spans="3:13" x14ac:dyDescent="0.25">
      <c r="C138" s="9" t="s">
        <v>170</v>
      </c>
      <c r="D138" s="14">
        <v>-1</v>
      </c>
      <c r="J138" s="9">
        <v>7897</v>
      </c>
      <c r="K138">
        <v>1</v>
      </c>
      <c r="M138"/>
    </row>
    <row r="139" spans="3:13" x14ac:dyDescent="0.25">
      <c r="C139" s="9" t="s">
        <v>142</v>
      </c>
      <c r="D139" s="14">
        <v>0</v>
      </c>
      <c r="J139" s="9">
        <v>7898</v>
      </c>
      <c r="K139">
        <v>1</v>
      </c>
      <c r="M139"/>
    </row>
    <row r="140" spans="3:13" x14ac:dyDescent="0.25">
      <c r="C140" s="9" t="s">
        <v>386</v>
      </c>
      <c r="D140" s="14">
        <v>0</v>
      </c>
      <c r="J140" s="9">
        <v>7901</v>
      </c>
      <c r="K140">
        <v>1</v>
      </c>
      <c r="M140"/>
    </row>
    <row r="141" spans="3:13" x14ac:dyDescent="0.25">
      <c r="C141" s="9" t="s">
        <v>144</v>
      </c>
      <c r="D141" s="14">
        <v>2.5</v>
      </c>
      <c r="J141" s="9">
        <v>7902</v>
      </c>
      <c r="K141">
        <v>1</v>
      </c>
      <c r="M141"/>
    </row>
    <row r="142" spans="3:13" x14ac:dyDescent="0.25">
      <c r="C142" s="9" t="s">
        <v>159</v>
      </c>
      <c r="D142" s="14">
        <v>0.5</v>
      </c>
      <c r="J142" s="9">
        <v>7904</v>
      </c>
      <c r="K142">
        <v>1</v>
      </c>
      <c r="M142"/>
    </row>
    <row r="143" spans="3:13" x14ac:dyDescent="0.25">
      <c r="C143" s="9" t="s">
        <v>390</v>
      </c>
      <c r="D143" s="14">
        <v>0</v>
      </c>
      <c r="J143" s="9">
        <v>7905</v>
      </c>
      <c r="K143">
        <v>1</v>
      </c>
      <c r="M143"/>
    </row>
    <row r="144" spans="3:13" x14ac:dyDescent="0.25">
      <c r="C144" s="9" t="s">
        <v>146</v>
      </c>
      <c r="D144" s="14">
        <v>0.66666666666666663</v>
      </c>
      <c r="J144" s="9">
        <v>7906</v>
      </c>
      <c r="K144">
        <v>1</v>
      </c>
      <c r="M144"/>
    </row>
    <row r="145" spans="3:13" x14ac:dyDescent="0.25">
      <c r="C145" s="9" t="s">
        <v>148</v>
      </c>
      <c r="D145" s="14">
        <v>1</v>
      </c>
      <c r="J145" s="9">
        <v>7907</v>
      </c>
      <c r="K145">
        <v>1</v>
      </c>
      <c r="M145"/>
    </row>
    <row r="146" spans="3:13" x14ac:dyDescent="0.25">
      <c r="C146" s="9" t="s">
        <v>391</v>
      </c>
      <c r="D146" s="14">
        <v>0</v>
      </c>
      <c r="J146" s="9">
        <v>7908</v>
      </c>
      <c r="K146">
        <v>1</v>
      </c>
      <c r="M146"/>
    </row>
    <row r="147" spans="3:13" x14ac:dyDescent="0.25">
      <c r="C147" s="9" t="s">
        <v>150</v>
      </c>
      <c r="D147" s="14">
        <v>0</v>
      </c>
      <c r="J147" s="9">
        <v>7909</v>
      </c>
      <c r="K147">
        <v>1</v>
      </c>
      <c r="M147"/>
    </row>
    <row r="148" spans="3:13" x14ac:dyDescent="0.25">
      <c r="C148" s="9" t="s">
        <v>392</v>
      </c>
      <c r="D148" s="14">
        <v>6</v>
      </c>
      <c r="J148" s="9">
        <v>7910</v>
      </c>
      <c r="K148">
        <v>1</v>
      </c>
      <c r="M148"/>
    </row>
    <row r="149" spans="3:13" x14ac:dyDescent="0.25">
      <c r="C149" s="9" t="s">
        <v>162</v>
      </c>
      <c r="D149" s="14">
        <v>-2</v>
      </c>
      <c r="J149" s="9">
        <v>7911</v>
      </c>
      <c r="K149">
        <v>1</v>
      </c>
      <c r="M149"/>
    </row>
    <row r="150" spans="3:13" x14ac:dyDescent="0.25">
      <c r="C150" s="9" t="s">
        <v>152</v>
      </c>
      <c r="D150" s="14">
        <v>0</v>
      </c>
      <c r="J150" s="9">
        <v>7912</v>
      </c>
      <c r="K150">
        <v>1</v>
      </c>
      <c r="M150"/>
    </row>
    <row r="151" spans="3:13" x14ac:dyDescent="0.25">
      <c r="C151" s="9" t="s">
        <v>164</v>
      </c>
      <c r="D151" s="14">
        <v>0</v>
      </c>
      <c r="J151" s="9">
        <v>7913</v>
      </c>
      <c r="K151">
        <v>1</v>
      </c>
      <c r="M151"/>
    </row>
    <row r="152" spans="3:13" x14ac:dyDescent="0.25">
      <c r="C152" s="9" t="s">
        <v>393</v>
      </c>
      <c r="D152" s="14">
        <v>0</v>
      </c>
      <c r="J152" s="9">
        <v>7914</v>
      </c>
      <c r="K152">
        <v>1</v>
      </c>
      <c r="M152"/>
    </row>
    <row r="153" spans="3:13" x14ac:dyDescent="0.25">
      <c r="C153" s="9" t="s">
        <v>163</v>
      </c>
      <c r="D153" s="14">
        <v>1.5</v>
      </c>
      <c r="J153" s="9">
        <v>7916</v>
      </c>
      <c r="K153">
        <v>1</v>
      </c>
      <c r="M153"/>
    </row>
    <row r="154" spans="3:13" x14ac:dyDescent="0.25">
      <c r="C154" s="9" t="s">
        <v>154</v>
      </c>
      <c r="D154" s="14">
        <v>0</v>
      </c>
      <c r="J154" s="9">
        <v>7917</v>
      </c>
      <c r="K154">
        <v>1</v>
      </c>
      <c r="M154"/>
    </row>
    <row r="155" spans="3:13" x14ac:dyDescent="0.25">
      <c r="C155" s="9" t="s">
        <v>156</v>
      </c>
      <c r="D155" s="14">
        <v>0</v>
      </c>
      <c r="J155" s="9">
        <v>7918</v>
      </c>
      <c r="K155">
        <v>1</v>
      </c>
      <c r="M155"/>
    </row>
    <row r="156" spans="3:13" x14ac:dyDescent="0.25">
      <c r="C156" s="9" t="s">
        <v>165</v>
      </c>
      <c r="D156" s="14">
        <v>0.33333333333333331</v>
      </c>
      <c r="J156" s="9">
        <v>7919</v>
      </c>
      <c r="K156">
        <v>1</v>
      </c>
      <c r="M156"/>
    </row>
    <row r="157" spans="3:13" x14ac:dyDescent="0.25">
      <c r="C157" s="9" t="s">
        <v>139</v>
      </c>
      <c r="D157" s="14">
        <v>0</v>
      </c>
      <c r="J157" s="9">
        <v>7920</v>
      </c>
      <c r="K157">
        <v>1</v>
      </c>
      <c r="M157"/>
    </row>
    <row r="158" spans="3:13" x14ac:dyDescent="0.25">
      <c r="C158" s="9" t="s">
        <v>160</v>
      </c>
      <c r="D158" s="15">
        <v>0.21895424836601307</v>
      </c>
      <c r="J158" s="9">
        <v>7921</v>
      </c>
      <c r="K158">
        <v>1</v>
      </c>
      <c r="M158"/>
    </row>
    <row r="159" spans="3:13" x14ac:dyDescent="0.25">
      <c r="D159"/>
      <c r="J159" s="9">
        <v>7922</v>
      </c>
      <c r="K159">
        <v>1</v>
      </c>
      <c r="M159"/>
    </row>
    <row r="160" spans="3:13" x14ac:dyDescent="0.25">
      <c r="D160"/>
      <c r="J160" s="9">
        <v>7923</v>
      </c>
      <c r="K160">
        <v>1</v>
      </c>
      <c r="M160"/>
    </row>
    <row r="161" spans="1:13" x14ac:dyDescent="0.25">
      <c r="D161"/>
      <c r="J161" s="9">
        <v>7924</v>
      </c>
      <c r="K161">
        <v>1</v>
      </c>
      <c r="M161"/>
    </row>
    <row r="162" spans="1:13" x14ac:dyDescent="0.25">
      <c r="D162"/>
      <c r="J162" s="9">
        <v>7926</v>
      </c>
      <c r="K162">
        <v>1</v>
      </c>
      <c r="M162"/>
    </row>
    <row r="163" spans="1:13" x14ac:dyDescent="0.25">
      <c r="D163"/>
      <c r="J163" s="9">
        <v>7929</v>
      </c>
      <c r="K163">
        <v>1</v>
      </c>
      <c r="M163"/>
    </row>
    <row r="164" spans="1:13" x14ac:dyDescent="0.25">
      <c r="D164"/>
      <c r="J164" s="9">
        <v>7931</v>
      </c>
      <c r="K164">
        <v>1</v>
      </c>
      <c r="M164"/>
    </row>
    <row r="165" spans="1:13" x14ac:dyDescent="0.25">
      <c r="D165"/>
      <c r="J165" s="9">
        <v>7932</v>
      </c>
      <c r="K165">
        <v>1</v>
      </c>
      <c r="M165"/>
    </row>
    <row r="166" spans="1:13" x14ac:dyDescent="0.25">
      <c r="D166"/>
      <c r="J166" s="9">
        <v>7935</v>
      </c>
      <c r="K166">
        <v>1</v>
      </c>
      <c r="M166"/>
    </row>
    <row r="167" spans="1:13" x14ac:dyDescent="0.25">
      <c r="D167"/>
      <c r="J167" s="9">
        <v>7937</v>
      </c>
      <c r="K167">
        <v>1</v>
      </c>
      <c r="M167"/>
    </row>
    <row r="168" spans="1:13" x14ac:dyDescent="0.25">
      <c r="D168"/>
      <c r="J168" s="9">
        <v>7938</v>
      </c>
      <c r="K168">
        <v>1</v>
      </c>
      <c r="M168"/>
    </row>
    <row r="169" spans="1:13" x14ac:dyDescent="0.25">
      <c r="A169" s="18" t="s">
        <v>133</v>
      </c>
      <c r="D169"/>
      <c r="J169" s="9">
        <v>7943</v>
      </c>
      <c r="K169">
        <v>1</v>
      </c>
      <c r="M169"/>
    </row>
    <row r="170" spans="1:13" x14ac:dyDescent="0.25">
      <c r="A170" s="9" t="s">
        <v>189</v>
      </c>
      <c r="D170"/>
      <c r="J170" s="9">
        <v>7944</v>
      </c>
      <c r="K170">
        <v>1</v>
      </c>
      <c r="M170"/>
    </row>
    <row r="171" spans="1:13" x14ac:dyDescent="0.25">
      <c r="A171" s="16" t="s">
        <v>198</v>
      </c>
      <c r="D171"/>
      <c r="J171" s="9">
        <v>7946</v>
      </c>
      <c r="K171">
        <v>1</v>
      </c>
      <c r="M171"/>
    </row>
    <row r="172" spans="1:13" x14ac:dyDescent="0.25">
      <c r="A172" s="16" t="s">
        <v>196</v>
      </c>
      <c r="D172"/>
      <c r="J172" s="9">
        <v>7947</v>
      </c>
      <c r="K172">
        <v>1</v>
      </c>
      <c r="M172"/>
    </row>
    <row r="173" spans="1:13" x14ac:dyDescent="0.25">
      <c r="A173" s="16" t="s">
        <v>197</v>
      </c>
      <c r="D173"/>
      <c r="J173" s="9">
        <v>7948</v>
      </c>
      <c r="K173">
        <v>1</v>
      </c>
      <c r="M173"/>
    </row>
    <row r="174" spans="1:13" x14ac:dyDescent="0.25">
      <c r="A174" s="9" t="s">
        <v>183</v>
      </c>
      <c r="D174"/>
      <c r="J174" s="9">
        <v>7949</v>
      </c>
      <c r="K174">
        <v>1</v>
      </c>
      <c r="M174"/>
    </row>
    <row r="175" spans="1:13" x14ac:dyDescent="0.25">
      <c r="A175" s="16" t="s">
        <v>196</v>
      </c>
      <c r="D175"/>
      <c r="J175" s="9">
        <v>7951</v>
      </c>
      <c r="K175">
        <v>1</v>
      </c>
      <c r="M175"/>
    </row>
    <row r="176" spans="1:13" x14ac:dyDescent="0.25">
      <c r="A176" s="9" t="s">
        <v>187</v>
      </c>
      <c r="D176"/>
      <c r="J176" s="9">
        <v>7956</v>
      </c>
      <c r="K176">
        <v>1</v>
      </c>
      <c r="M176"/>
    </row>
    <row r="177" spans="1:13" x14ac:dyDescent="0.25">
      <c r="A177" s="16" t="s">
        <v>198</v>
      </c>
      <c r="D177"/>
      <c r="J177" s="9">
        <v>7958</v>
      </c>
      <c r="K177">
        <v>1</v>
      </c>
      <c r="M177"/>
    </row>
    <row r="178" spans="1:13" x14ac:dyDescent="0.25">
      <c r="A178" s="9" t="s">
        <v>167</v>
      </c>
      <c r="D178"/>
      <c r="J178" s="9">
        <v>7960</v>
      </c>
      <c r="K178">
        <v>1</v>
      </c>
      <c r="M178"/>
    </row>
    <row r="179" spans="1:13" x14ac:dyDescent="0.25">
      <c r="A179" s="16" t="s">
        <v>198</v>
      </c>
      <c r="D179"/>
      <c r="J179" s="9">
        <v>7973</v>
      </c>
      <c r="K179">
        <v>1</v>
      </c>
      <c r="M179"/>
    </row>
    <row r="180" spans="1:13" x14ac:dyDescent="0.25">
      <c r="A180" s="9" t="s">
        <v>166</v>
      </c>
      <c r="J180" s="9">
        <v>8030</v>
      </c>
      <c r="K180">
        <v>1</v>
      </c>
      <c r="M180"/>
    </row>
    <row r="181" spans="1:13" x14ac:dyDescent="0.25">
      <c r="A181" s="16" t="s">
        <v>198</v>
      </c>
      <c r="J181" s="9">
        <v>8056</v>
      </c>
      <c r="K181">
        <v>1</v>
      </c>
      <c r="M181"/>
    </row>
    <row r="182" spans="1:13" x14ac:dyDescent="0.25">
      <c r="A182" s="9" t="s">
        <v>169</v>
      </c>
      <c r="J182" s="9">
        <v>8063</v>
      </c>
      <c r="K182">
        <v>1</v>
      </c>
      <c r="M182"/>
    </row>
    <row r="183" spans="1:13" x14ac:dyDescent="0.25">
      <c r="A183" s="16" t="s">
        <v>196</v>
      </c>
      <c r="J183" s="9">
        <v>8072</v>
      </c>
      <c r="K183">
        <v>1</v>
      </c>
      <c r="M183"/>
    </row>
    <row r="184" spans="1:13" x14ac:dyDescent="0.25">
      <c r="A184" s="9" t="s">
        <v>184</v>
      </c>
      <c r="J184" s="9">
        <v>8073</v>
      </c>
      <c r="K184">
        <v>1</v>
      </c>
      <c r="M184"/>
    </row>
    <row r="185" spans="1:13" x14ac:dyDescent="0.25">
      <c r="A185" s="16" t="s">
        <v>196</v>
      </c>
      <c r="J185" s="9">
        <v>8074</v>
      </c>
      <c r="K185">
        <v>1</v>
      </c>
      <c r="M185"/>
    </row>
    <row r="186" spans="1:13" x14ac:dyDescent="0.25">
      <c r="A186" s="9" t="s">
        <v>188</v>
      </c>
      <c r="J186" s="9">
        <v>8076</v>
      </c>
      <c r="K186">
        <v>1</v>
      </c>
      <c r="M186"/>
    </row>
    <row r="187" spans="1:13" x14ac:dyDescent="0.25">
      <c r="A187" s="16" t="s">
        <v>198</v>
      </c>
      <c r="J187" s="9">
        <v>8077</v>
      </c>
      <c r="K187">
        <v>1</v>
      </c>
      <c r="M187"/>
    </row>
    <row r="188" spans="1:13" x14ac:dyDescent="0.25">
      <c r="A188" s="9" t="s">
        <v>172</v>
      </c>
      <c r="J188" s="9">
        <v>8078</v>
      </c>
      <c r="K188">
        <v>1</v>
      </c>
      <c r="M188"/>
    </row>
    <row r="189" spans="1:13" x14ac:dyDescent="0.25">
      <c r="A189" s="16" t="s">
        <v>198</v>
      </c>
      <c r="J189" s="9">
        <v>8084</v>
      </c>
      <c r="K189">
        <v>1</v>
      </c>
      <c r="M189"/>
    </row>
    <row r="190" spans="1:13" x14ac:dyDescent="0.25">
      <c r="A190" s="9" t="s">
        <v>141</v>
      </c>
      <c r="J190" s="9">
        <v>8085</v>
      </c>
      <c r="K190">
        <v>1</v>
      </c>
      <c r="M190"/>
    </row>
    <row r="191" spans="1:13" x14ac:dyDescent="0.25">
      <c r="A191" s="16" t="s">
        <v>394</v>
      </c>
      <c r="J191" s="9">
        <v>8087</v>
      </c>
      <c r="K191">
        <v>1</v>
      </c>
      <c r="M191"/>
    </row>
    <row r="192" spans="1:13" x14ac:dyDescent="0.25">
      <c r="A192" s="9" t="s">
        <v>144</v>
      </c>
      <c r="J192" s="9">
        <v>8088</v>
      </c>
      <c r="K192">
        <v>1</v>
      </c>
      <c r="M192"/>
    </row>
    <row r="193" spans="1:13" x14ac:dyDescent="0.25">
      <c r="A193" s="16" t="s">
        <v>196</v>
      </c>
      <c r="J193" s="9">
        <v>8089</v>
      </c>
      <c r="K193">
        <v>1</v>
      </c>
      <c r="M193"/>
    </row>
    <row r="194" spans="1:13" x14ac:dyDescent="0.25">
      <c r="A194" s="9" t="s">
        <v>148</v>
      </c>
      <c r="J194" s="9">
        <v>8090</v>
      </c>
      <c r="K194">
        <v>1</v>
      </c>
      <c r="M194"/>
    </row>
    <row r="195" spans="1:13" x14ac:dyDescent="0.25">
      <c r="A195" s="16" t="s">
        <v>197</v>
      </c>
      <c r="J195" s="9">
        <v>8092</v>
      </c>
      <c r="K195">
        <v>1</v>
      </c>
      <c r="M195"/>
    </row>
    <row r="196" spans="1:13" x14ac:dyDescent="0.25">
      <c r="A196" s="9" t="s">
        <v>160</v>
      </c>
      <c r="J196" s="9">
        <v>8093</v>
      </c>
      <c r="K196">
        <v>1</v>
      </c>
      <c r="M196"/>
    </row>
    <row r="197" spans="1:13" x14ac:dyDescent="0.25">
      <c r="J197" s="9">
        <v>8094</v>
      </c>
      <c r="K197">
        <v>1</v>
      </c>
      <c r="M197"/>
    </row>
    <row r="198" spans="1:13" x14ac:dyDescent="0.25">
      <c r="J198" s="9">
        <v>8096</v>
      </c>
      <c r="K198">
        <v>1</v>
      </c>
      <c r="M198"/>
    </row>
    <row r="199" spans="1:13" x14ac:dyDescent="0.25">
      <c r="J199" s="9">
        <v>8097</v>
      </c>
      <c r="K199">
        <v>1</v>
      </c>
      <c r="M199"/>
    </row>
    <row r="200" spans="1:13" x14ac:dyDescent="0.25">
      <c r="J200" s="9">
        <v>8099</v>
      </c>
      <c r="K200">
        <v>1</v>
      </c>
      <c r="M200"/>
    </row>
    <row r="201" spans="1:13" x14ac:dyDescent="0.25">
      <c r="J201" s="9">
        <v>8102</v>
      </c>
      <c r="K201">
        <v>1</v>
      </c>
      <c r="M201"/>
    </row>
    <row r="202" spans="1:13" x14ac:dyDescent="0.25">
      <c r="J202" s="9">
        <v>8103</v>
      </c>
      <c r="K202">
        <v>1</v>
      </c>
      <c r="M202"/>
    </row>
    <row r="203" spans="1:13" x14ac:dyDescent="0.25">
      <c r="J203" s="9">
        <v>8104</v>
      </c>
      <c r="K203">
        <v>1</v>
      </c>
      <c r="M203"/>
    </row>
    <row r="204" spans="1:13" x14ac:dyDescent="0.25">
      <c r="J204" s="9">
        <v>8105</v>
      </c>
      <c r="K204">
        <v>1</v>
      </c>
      <c r="M204"/>
    </row>
    <row r="205" spans="1:13" x14ac:dyDescent="0.25">
      <c r="J205" s="9">
        <v>8106</v>
      </c>
      <c r="K205">
        <v>1</v>
      </c>
      <c r="M205"/>
    </row>
    <row r="206" spans="1:13" x14ac:dyDescent="0.25">
      <c r="J206" s="9">
        <v>8107</v>
      </c>
      <c r="K206">
        <v>1</v>
      </c>
      <c r="M206"/>
    </row>
    <row r="207" spans="1:13" x14ac:dyDescent="0.25">
      <c r="J207" s="9">
        <v>8108</v>
      </c>
      <c r="K207">
        <v>1</v>
      </c>
      <c r="M207"/>
    </row>
    <row r="208" spans="1:13" x14ac:dyDescent="0.25">
      <c r="J208" s="9">
        <v>8110</v>
      </c>
      <c r="K208">
        <v>1</v>
      </c>
      <c r="M208"/>
    </row>
    <row r="209" spans="10:13" x14ac:dyDescent="0.25">
      <c r="J209" s="9">
        <v>8111</v>
      </c>
      <c r="K209">
        <v>1</v>
      </c>
      <c r="M209"/>
    </row>
    <row r="210" spans="10:13" x14ac:dyDescent="0.25">
      <c r="J210" s="9">
        <v>8112</v>
      </c>
      <c r="K210">
        <v>1</v>
      </c>
      <c r="M210"/>
    </row>
    <row r="211" spans="10:13" x14ac:dyDescent="0.25">
      <c r="J211" s="9">
        <v>8113</v>
      </c>
      <c r="K211">
        <v>1</v>
      </c>
      <c r="M211"/>
    </row>
    <row r="212" spans="10:13" x14ac:dyDescent="0.25">
      <c r="J212" s="9">
        <v>8115</v>
      </c>
      <c r="K212">
        <v>1</v>
      </c>
      <c r="M212"/>
    </row>
    <row r="213" spans="10:13" x14ac:dyDescent="0.25">
      <c r="J213" s="9">
        <v>8117</v>
      </c>
      <c r="K213">
        <v>1</v>
      </c>
      <c r="M213"/>
    </row>
    <row r="214" spans="10:13" x14ac:dyDescent="0.25">
      <c r="J214" s="9">
        <v>8118</v>
      </c>
      <c r="K214">
        <v>1</v>
      </c>
      <c r="M214"/>
    </row>
    <row r="215" spans="10:13" x14ac:dyDescent="0.25">
      <c r="J215" s="9">
        <v>8119</v>
      </c>
      <c r="K215">
        <v>1</v>
      </c>
      <c r="M215"/>
    </row>
    <row r="216" spans="10:13" x14ac:dyDescent="0.25">
      <c r="J216" s="9">
        <v>8120</v>
      </c>
      <c r="K216">
        <v>1</v>
      </c>
      <c r="M216"/>
    </row>
    <row r="217" spans="10:13" x14ac:dyDescent="0.25">
      <c r="J217" s="9">
        <v>8121</v>
      </c>
      <c r="K217">
        <v>1</v>
      </c>
      <c r="M217"/>
    </row>
    <row r="218" spans="10:13" x14ac:dyDescent="0.25">
      <c r="J218" s="9">
        <v>8122</v>
      </c>
      <c r="K218">
        <v>1</v>
      </c>
      <c r="M218"/>
    </row>
    <row r="219" spans="10:13" x14ac:dyDescent="0.25">
      <c r="J219" s="9">
        <v>8123</v>
      </c>
      <c r="K219">
        <v>1</v>
      </c>
      <c r="M219"/>
    </row>
    <row r="220" spans="10:13" x14ac:dyDescent="0.25">
      <c r="J220" s="9">
        <v>8125</v>
      </c>
      <c r="K220">
        <v>1</v>
      </c>
      <c r="M220"/>
    </row>
    <row r="221" spans="10:13" x14ac:dyDescent="0.25">
      <c r="J221" s="9">
        <v>8126</v>
      </c>
      <c r="K221">
        <v>1</v>
      </c>
      <c r="M221"/>
    </row>
    <row r="222" spans="10:13" x14ac:dyDescent="0.25">
      <c r="J222" s="9">
        <v>8128</v>
      </c>
      <c r="K222">
        <v>1</v>
      </c>
      <c r="M222"/>
    </row>
    <row r="223" spans="10:13" x14ac:dyDescent="0.25">
      <c r="J223" s="9">
        <v>8129</v>
      </c>
      <c r="K223">
        <v>1</v>
      </c>
      <c r="M223"/>
    </row>
    <row r="224" spans="10:13" x14ac:dyDescent="0.25">
      <c r="J224" s="9">
        <v>8130</v>
      </c>
      <c r="K224">
        <v>1</v>
      </c>
      <c r="M224"/>
    </row>
    <row r="225" spans="10:13" x14ac:dyDescent="0.25">
      <c r="J225" s="9">
        <v>8131</v>
      </c>
      <c r="K225">
        <v>1</v>
      </c>
      <c r="M225"/>
    </row>
    <row r="226" spans="10:13" x14ac:dyDescent="0.25">
      <c r="J226" s="9">
        <v>8132</v>
      </c>
      <c r="K226">
        <v>1</v>
      </c>
      <c r="M226"/>
    </row>
    <row r="227" spans="10:13" x14ac:dyDescent="0.25">
      <c r="J227" s="9">
        <v>8133</v>
      </c>
      <c r="K227">
        <v>1</v>
      </c>
      <c r="M227"/>
    </row>
    <row r="228" spans="10:13" x14ac:dyDescent="0.25">
      <c r="J228" s="9">
        <v>8134</v>
      </c>
      <c r="K228">
        <v>1</v>
      </c>
      <c r="M228"/>
    </row>
    <row r="229" spans="10:13" x14ac:dyDescent="0.25">
      <c r="J229" s="9">
        <v>8135</v>
      </c>
      <c r="K229">
        <v>1</v>
      </c>
      <c r="M229"/>
    </row>
    <row r="230" spans="10:13" x14ac:dyDescent="0.25">
      <c r="J230" s="9">
        <v>8136</v>
      </c>
      <c r="K230">
        <v>1</v>
      </c>
      <c r="M230"/>
    </row>
    <row r="231" spans="10:13" x14ac:dyDescent="0.25">
      <c r="J231" s="9">
        <v>8137</v>
      </c>
      <c r="K231">
        <v>1</v>
      </c>
      <c r="M231"/>
    </row>
    <row r="232" spans="10:13" x14ac:dyDescent="0.25">
      <c r="J232" s="9">
        <v>8140</v>
      </c>
      <c r="K232">
        <v>1</v>
      </c>
      <c r="M232"/>
    </row>
    <row r="233" spans="10:13" x14ac:dyDescent="0.25">
      <c r="J233" s="9">
        <v>8141</v>
      </c>
      <c r="K233">
        <v>1</v>
      </c>
      <c r="M233"/>
    </row>
    <row r="234" spans="10:13" x14ac:dyDescent="0.25">
      <c r="J234" s="9">
        <v>8142</v>
      </c>
      <c r="K234">
        <v>1</v>
      </c>
      <c r="M234"/>
    </row>
    <row r="235" spans="10:13" x14ac:dyDescent="0.25">
      <c r="J235" s="9">
        <v>8143</v>
      </c>
      <c r="K235">
        <v>1</v>
      </c>
      <c r="M235"/>
    </row>
    <row r="236" spans="10:13" x14ac:dyDescent="0.25">
      <c r="J236" s="9">
        <v>8144</v>
      </c>
      <c r="K236">
        <v>1</v>
      </c>
      <c r="M236"/>
    </row>
    <row r="237" spans="10:13" x14ac:dyDescent="0.25">
      <c r="J237" s="9">
        <v>8145</v>
      </c>
      <c r="K237">
        <v>1</v>
      </c>
      <c r="M237"/>
    </row>
    <row r="238" spans="10:13" x14ac:dyDescent="0.25">
      <c r="J238" s="9">
        <v>8146</v>
      </c>
      <c r="K238">
        <v>1</v>
      </c>
      <c r="M238"/>
    </row>
    <row r="239" spans="10:13" x14ac:dyDescent="0.25">
      <c r="J239" s="9">
        <v>8147</v>
      </c>
      <c r="K239">
        <v>1</v>
      </c>
      <c r="M239"/>
    </row>
    <row r="240" spans="10:13" x14ac:dyDescent="0.25">
      <c r="J240" s="9">
        <v>8149</v>
      </c>
      <c r="K240">
        <v>1</v>
      </c>
      <c r="M240"/>
    </row>
    <row r="241" spans="10:13" x14ac:dyDescent="0.25">
      <c r="J241" s="9">
        <v>8150</v>
      </c>
      <c r="K241">
        <v>1</v>
      </c>
      <c r="M241"/>
    </row>
    <row r="242" spans="10:13" x14ac:dyDescent="0.25">
      <c r="J242" s="9">
        <v>8151</v>
      </c>
      <c r="K242">
        <v>1</v>
      </c>
      <c r="M242"/>
    </row>
    <row r="243" spans="10:13" x14ac:dyDescent="0.25">
      <c r="J243" s="9">
        <v>8152</v>
      </c>
      <c r="K243">
        <v>1</v>
      </c>
      <c r="M243"/>
    </row>
    <row r="244" spans="10:13" x14ac:dyDescent="0.25">
      <c r="J244" s="9">
        <v>8153</v>
      </c>
      <c r="K244">
        <v>1</v>
      </c>
      <c r="M244"/>
    </row>
    <row r="245" spans="10:13" x14ac:dyDescent="0.25">
      <c r="J245" s="9">
        <v>8154</v>
      </c>
      <c r="K245">
        <v>1</v>
      </c>
      <c r="M245"/>
    </row>
    <row r="246" spans="10:13" x14ac:dyDescent="0.25">
      <c r="J246" s="9">
        <v>8155</v>
      </c>
      <c r="K246">
        <v>1</v>
      </c>
      <c r="M246"/>
    </row>
    <row r="247" spans="10:13" x14ac:dyDescent="0.25">
      <c r="J247" s="9">
        <v>8156</v>
      </c>
      <c r="K247">
        <v>1</v>
      </c>
      <c r="M247"/>
    </row>
    <row r="248" spans="10:13" x14ac:dyDescent="0.25">
      <c r="J248" s="9">
        <v>8157</v>
      </c>
      <c r="K248">
        <v>1</v>
      </c>
      <c r="M248"/>
    </row>
    <row r="249" spans="10:13" x14ac:dyDescent="0.25">
      <c r="J249" s="9">
        <v>8158</v>
      </c>
      <c r="K249">
        <v>1</v>
      </c>
      <c r="M249"/>
    </row>
    <row r="250" spans="10:13" x14ac:dyDescent="0.25">
      <c r="J250" s="9">
        <v>8160</v>
      </c>
      <c r="K250">
        <v>1</v>
      </c>
      <c r="M250"/>
    </row>
    <row r="251" spans="10:13" x14ac:dyDescent="0.25">
      <c r="J251" s="9">
        <v>8161</v>
      </c>
      <c r="K251">
        <v>1</v>
      </c>
      <c r="M251"/>
    </row>
    <row r="252" spans="10:13" x14ac:dyDescent="0.25">
      <c r="J252" s="9">
        <v>8162</v>
      </c>
      <c r="K252">
        <v>1</v>
      </c>
      <c r="M252"/>
    </row>
    <row r="253" spans="10:13" x14ac:dyDescent="0.25">
      <c r="J253" s="9">
        <v>8163</v>
      </c>
      <c r="K253">
        <v>1</v>
      </c>
      <c r="M253"/>
    </row>
    <row r="254" spans="10:13" x14ac:dyDescent="0.25">
      <c r="J254" s="9">
        <v>8164</v>
      </c>
      <c r="K254">
        <v>1</v>
      </c>
      <c r="M254"/>
    </row>
    <row r="255" spans="10:13" x14ac:dyDescent="0.25">
      <c r="J255" s="9">
        <v>8165</v>
      </c>
      <c r="K255">
        <v>1</v>
      </c>
      <c r="M255"/>
    </row>
    <row r="256" spans="10:13" x14ac:dyDescent="0.25">
      <c r="J256" s="9">
        <v>8167</v>
      </c>
      <c r="K256">
        <v>1</v>
      </c>
      <c r="M256"/>
    </row>
    <row r="257" spans="10:13" x14ac:dyDescent="0.25">
      <c r="J257" s="9">
        <v>8168</v>
      </c>
      <c r="K257">
        <v>1</v>
      </c>
      <c r="M257"/>
    </row>
    <row r="258" spans="10:13" x14ac:dyDescent="0.25">
      <c r="J258" s="9">
        <v>8169</v>
      </c>
      <c r="K258">
        <v>1</v>
      </c>
      <c r="M258"/>
    </row>
    <row r="259" spans="10:13" x14ac:dyDescent="0.25">
      <c r="J259" s="9">
        <v>8171</v>
      </c>
      <c r="K259">
        <v>1</v>
      </c>
      <c r="M259"/>
    </row>
    <row r="260" spans="10:13" x14ac:dyDescent="0.25">
      <c r="J260" s="9">
        <v>8173</v>
      </c>
      <c r="K260">
        <v>1</v>
      </c>
      <c r="M260"/>
    </row>
    <row r="261" spans="10:13" x14ac:dyDescent="0.25">
      <c r="J261" s="9">
        <v>8174</v>
      </c>
      <c r="K261">
        <v>1</v>
      </c>
      <c r="M261"/>
    </row>
    <row r="262" spans="10:13" x14ac:dyDescent="0.25">
      <c r="J262" s="9">
        <v>8175</v>
      </c>
      <c r="K262">
        <v>2</v>
      </c>
      <c r="M262"/>
    </row>
    <row r="263" spans="10:13" x14ac:dyDescent="0.25">
      <c r="J263" s="9">
        <v>8176</v>
      </c>
      <c r="K263">
        <v>1</v>
      </c>
      <c r="M263"/>
    </row>
    <row r="264" spans="10:13" x14ac:dyDescent="0.25">
      <c r="J264" s="9">
        <v>8177</v>
      </c>
      <c r="K264">
        <v>1</v>
      </c>
      <c r="M264"/>
    </row>
    <row r="265" spans="10:13" x14ac:dyDescent="0.25">
      <c r="J265" s="9">
        <v>8180</v>
      </c>
      <c r="K265">
        <v>1</v>
      </c>
      <c r="M265"/>
    </row>
    <row r="266" spans="10:13" x14ac:dyDescent="0.25">
      <c r="J266" s="9">
        <v>8181</v>
      </c>
      <c r="K266">
        <v>1</v>
      </c>
      <c r="M266"/>
    </row>
    <row r="267" spans="10:13" x14ac:dyDescent="0.25">
      <c r="J267" s="9">
        <v>8182</v>
      </c>
      <c r="K267">
        <v>1</v>
      </c>
      <c r="M267"/>
    </row>
    <row r="268" spans="10:13" x14ac:dyDescent="0.25">
      <c r="J268" s="9">
        <v>8183</v>
      </c>
      <c r="K268">
        <v>1</v>
      </c>
      <c r="M268"/>
    </row>
    <row r="269" spans="10:13" x14ac:dyDescent="0.25">
      <c r="J269" s="9">
        <v>8184</v>
      </c>
      <c r="K269">
        <v>1</v>
      </c>
      <c r="M269"/>
    </row>
    <row r="270" spans="10:13" x14ac:dyDescent="0.25">
      <c r="J270" s="9">
        <v>8185</v>
      </c>
      <c r="K270">
        <v>1</v>
      </c>
      <c r="M270"/>
    </row>
    <row r="271" spans="10:13" x14ac:dyDescent="0.25">
      <c r="J271" s="9">
        <v>8186</v>
      </c>
      <c r="K271">
        <v>1</v>
      </c>
      <c r="M271"/>
    </row>
    <row r="272" spans="10:13" x14ac:dyDescent="0.25">
      <c r="J272" s="9">
        <v>8187</v>
      </c>
      <c r="K272">
        <v>1</v>
      </c>
      <c r="M272"/>
    </row>
    <row r="273" spans="10:13" x14ac:dyDescent="0.25">
      <c r="J273" s="9">
        <v>8189</v>
      </c>
      <c r="K273">
        <v>1</v>
      </c>
      <c r="M273"/>
    </row>
    <row r="274" spans="10:13" x14ac:dyDescent="0.25">
      <c r="J274" s="9">
        <v>8191</v>
      </c>
      <c r="K274">
        <v>1</v>
      </c>
      <c r="M274"/>
    </row>
    <row r="275" spans="10:13" x14ac:dyDescent="0.25">
      <c r="J275" s="9">
        <v>8192</v>
      </c>
      <c r="K275">
        <v>1</v>
      </c>
      <c r="M275"/>
    </row>
    <row r="276" spans="10:13" x14ac:dyDescent="0.25">
      <c r="J276" s="9">
        <v>8194</v>
      </c>
      <c r="K276">
        <v>1</v>
      </c>
      <c r="M276"/>
    </row>
    <row r="277" spans="10:13" x14ac:dyDescent="0.25">
      <c r="J277" s="9">
        <v>8195</v>
      </c>
      <c r="K277">
        <v>1</v>
      </c>
      <c r="M277"/>
    </row>
    <row r="278" spans="10:13" x14ac:dyDescent="0.25">
      <c r="J278" s="9">
        <v>8196</v>
      </c>
      <c r="K278">
        <v>1</v>
      </c>
      <c r="M278"/>
    </row>
    <row r="279" spans="10:13" x14ac:dyDescent="0.25">
      <c r="J279" s="9">
        <v>8197</v>
      </c>
      <c r="K279">
        <v>1</v>
      </c>
      <c r="M279"/>
    </row>
    <row r="280" spans="10:13" x14ac:dyDescent="0.25">
      <c r="J280" s="9">
        <v>8198</v>
      </c>
      <c r="K280">
        <v>1</v>
      </c>
      <c r="M280"/>
    </row>
    <row r="281" spans="10:13" x14ac:dyDescent="0.25">
      <c r="J281" s="9">
        <v>8199</v>
      </c>
      <c r="K281">
        <v>1</v>
      </c>
      <c r="M281"/>
    </row>
    <row r="282" spans="10:13" x14ac:dyDescent="0.25">
      <c r="J282" s="9">
        <v>8200</v>
      </c>
      <c r="K282">
        <v>1</v>
      </c>
      <c r="M282"/>
    </row>
    <row r="283" spans="10:13" x14ac:dyDescent="0.25">
      <c r="J283" s="9">
        <v>8201</v>
      </c>
      <c r="K283">
        <v>1</v>
      </c>
      <c r="M283"/>
    </row>
    <row r="284" spans="10:13" x14ac:dyDescent="0.25">
      <c r="J284" s="9">
        <v>8202</v>
      </c>
      <c r="K284">
        <v>1</v>
      </c>
      <c r="M284"/>
    </row>
    <row r="285" spans="10:13" x14ac:dyDescent="0.25">
      <c r="J285" s="9">
        <v>8203</v>
      </c>
      <c r="K285">
        <v>1</v>
      </c>
      <c r="M285"/>
    </row>
    <row r="286" spans="10:13" x14ac:dyDescent="0.25">
      <c r="J286" s="9">
        <v>8204</v>
      </c>
      <c r="K286">
        <v>1</v>
      </c>
      <c r="M286"/>
    </row>
    <row r="287" spans="10:13" x14ac:dyDescent="0.25">
      <c r="J287" s="9">
        <v>8205</v>
      </c>
      <c r="K287">
        <v>1</v>
      </c>
      <c r="M287"/>
    </row>
    <row r="288" spans="10:13" x14ac:dyDescent="0.25">
      <c r="J288" s="9">
        <v>8207</v>
      </c>
      <c r="K288">
        <v>1</v>
      </c>
      <c r="M288"/>
    </row>
    <row r="289" spans="10:13" x14ac:dyDescent="0.25">
      <c r="J289" s="9">
        <v>8208</v>
      </c>
      <c r="K289">
        <v>1</v>
      </c>
      <c r="M289"/>
    </row>
    <row r="290" spans="10:13" x14ac:dyDescent="0.25">
      <c r="J290" s="9">
        <v>8209</v>
      </c>
      <c r="K290">
        <v>1</v>
      </c>
      <c r="M290"/>
    </row>
    <row r="291" spans="10:13" x14ac:dyDescent="0.25">
      <c r="J291" s="9">
        <v>8211</v>
      </c>
      <c r="K291">
        <v>1</v>
      </c>
      <c r="M291"/>
    </row>
    <row r="292" spans="10:13" x14ac:dyDescent="0.25">
      <c r="J292" s="9">
        <v>8212</v>
      </c>
      <c r="K292">
        <v>1</v>
      </c>
      <c r="M292"/>
    </row>
    <row r="293" spans="10:13" x14ac:dyDescent="0.25">
      <c r="J293" s="9">
        <v>8213</v>
      </c>
      <c r="K293">
        <v>2</v>
      </c>
      <c r="M293"/>
    </row>
    <row r="294" spans="10:13" x14ac:dyDescent="0.25">
      <c r="J294" s="9">
        <v>8219</v>
      </c>
      <c r="K294">
        <v>1</v>
      </c>
      <c r="M294"/>
    </row>
    <row r="295" spans="10:13" x14ac:dyDescent="0.25">
      <c r="J295" s="9">
        <v>8221</v>
      </c>
      <c r="K295">
        <v>1</v>
      </c>
      <c r="M295"/>
    </row>
    <row r="296" spans="10:13" x14ac:dyDescent="0.25">
      <c r="J296" s="9">
        <v>8222</v>
      </c>
      <c r="K296">
        <v>1</v>
      </c>
      <c r="M296"/>
    </row>
    <row r="297" spans="10:13" x14ac:dyDescent="0.25">
      <c r="J297" s="9">
        <v>8230</v>
      </c>
      <c r="K297">
        <v>1</v>
      </c>
      <c r="M297"/>
    </row>
    <row r="298" spans="10:13" x14ac:dyDescent="0.25">
      <c r="J298" s="9">
        <v>8216</v>
      </c>
      <c r="K298">
        <v>1</v>
      </c>
    </row>
    <row r="299" spans="10:13" x14ac:dyDescent="0.25">
      <c r="J299" s="9">
        <v>8217</v>
      </c>
      <c r="K299">
        <v>1</v>
      </c>
    </row>
    <row r="300" spans="10:13" x14ac:dyDescent="0.25">
      <c r="J300" s="9">
        <v>8235</v>
      </c>
      <c r="K300">
        <v>1</v>
      </c>
    </row>
    <row r="301" spans="10:13" x14ac:dyDescent="0.25">
      <c r="J301" s="9">
        <v>8225</v>
      </c>
      <c r="K301">
        <v>1</v>
      </c>
    </row>
    <row r="302" spans="10:13" x14ac:dyDescent="0.25">
      <c r="J302" s="9">
        <v>8224</v>
      </c>
      <c r="K302">
        <v>1</v>
      </c>
    </row>
    <row r="303" spans="10:13" x14ac:dyDescent="0.25">
      <c r="J303" s="9">
        <v>8223</v>
      </c>
      <c r="K303">
        <v>1</v>
      </c>
    </row>
    <row r="304" spans="10:13" x14ac:dyDescent="0.25">
      <c r="J304" s="9">
        <v>8229</v>
      </c>
      <c r="K304">
        <v>1</v>
      </c>
    </row>
    <row r="305" spans="10:11" x14ac:dyDescent="0.25">
      <c r="J305" s="9">
        <v>8227</v>
      </c>
      <c r="K305">
        <v>1</v>
      </c>
    </row>
    <row r="306" spans="10:11" x14ac:dyDescent="0.25">
      <c r="J306" s="9">
        <v>8228</v>
      </c>
      <c r="K306">
        <v>1</v>
      </c>
    </row>
    <row r="307" spans="10:11" x14ac:dyDescent="0.25">
      <c r="J307" s="9">
        <v>8236</v>
      </c>
      <c r="K307">
        <v>1</v>
      </c>
    </row>
    <row r="308" spans="10:11" x14ac:dyDescent="0.25">
      <c r="J308" s="9">
        <v>8240</v>
      </c>
      <c r="K308">
        <v>1</v>
      </c>
    </row>
    <row r="309" spans="10:11" x14ac:dyDescent="0.25">
      <c r="J309" s="9">
        <v>8232</v>
      </c>
      <c r="K309">
        <v>1</v>
      </c>
    </row>
    <row r="310" spans="10:11" x14ac:dyDescent="0.25">
      <c r="J310" s="9">
        <v>8231</v>
      </c>
      <c r="K310">
        <v>1</v>
      </c>
    </row>
    <row r="311" spans="10:11" x14ac:dyDescent="0.25">
      <c r="J311" s="9">
        <v>8246</v>
      </c>
      <c r="K311">
        <v>1</v>
      </c>
    </row>
    <row r="312" spans="10:11" x14ac:dyDescent="0.25">
      <c r="J312" s="9">
        <v>8250</v>
      </c>
      <c r="K312">
        <v>1</v>
      </c>
    </row>
    <row r="313" spans="10:11" x14ac:dyDescent="0.25">
      <c r="J313" s="9">
        <v>8237</v>
      </c>
      <c r="K313">
        <v>1</v>
      </c>
    </row>
    <row r="314" spans="10:11" x14ac:dyDescent="0.25">
      <c r="J314" s="9">
        <v>8226</v>
      </c>
      <c r="K314">
        <v>2</v>
      </c>
    </row>
    <row r="315" spans="10:11" x14ac:dyDescent="0.25">
      <c r="J315" s="9">
        <v>8248</v>
      </c>
      <c r="K315">
        <v>1</v>
      </c>
    </row>
    <row r="316" spans="10:11" x14ac:dyDescent="0.25">
      <c r="J316" s="9">
        <v>8249</v>
      </c>
      <c r="K316">
        <v>1</v>
      </c>
    </row>
    <row r="317" spans="10:11" x14ac:dyDescent="0.25">
      <c r="J317" s="9">
        <v>8127</v>
      </c>
      <c r="K317">
        <v>1</v>
      </c>
    </row>
    <row r="318" spans="10:11" x14ac:dyDescent="0.25">
      <c r="J318" s="9">
        <v>8243</v>
      </c>
      <c r="K318">
        <v>1</v>
      </c>
    </row>
    <row r="319" spans="10:11" x14ac:dyDescent="0.25">
      <c r="J319" s="9">
        <v>8239</v>
      </c>
      <c r="K319">
        <v>1</v>
      </c>
    </row>
    <row r="320" spans="10:11" x14ac:dyDescent="0.25">
      <c r="J320" s="9">
        <v>8253</v>
      </c>
      <c r="K320">
        <v>1</v>
      </c>
    </row>
    <row r="321" spans="10:11" x14ac:dyDescent="0.25">
      <c r="J321" s="9">
        <v>8264</v>
      </c>
      <c r="K321">
        <v>1</v>
      </c>
    </row>
    <row r="322" spans="10:11" x14ac:dyDescent="0.25">
      <c r="J322" s="9">
        <v>8247</v>
      </c>
      <c r="K322">
        <v>1</v>
      </c>
    </row>
    <row r="323" spans="10:11" x14ac:dyDescent="0.25">
      <c r="J323" s="9">
        <v>8263</v>
      </c>
      <c r="K323">
        <v>1</v>
      </c>
    </row>
    <row r="324" spans="10:11" x14ac:dyDescent="0.25">
      <c r="J324" s="9">
        <v>8268</v>
      </c>
      <c r="K324">
        <v>1</v>
      </c>
    </row>
    <row r="325" spans="10:11" x14ac:dyDescent="0.25">
      <c r="J325" s="9">
        <v>8245</v>
      </c>
      <c r="K325">
        <v>1</v>
      </c>
    </row>
    <row r="326" spans="10:11" x14ac:dyDescent="0.25">
      <c r="J326" s="9">
        <v>8244</v>
      </c>
      <c r="K326">
        <v>1</v>
      </c>
    </row>
    <row r="327" spans="10:11" x14ac:dyDescent="0.25">
      <c r="J327" s="9">
        <v>8242</v>
      </c>
      <c r="K327">
        <v>1</v>
      </c>
    </row>
    <row r="328" spans="10:11" x14ac:dyDescent="0.25">
      <c r="J328" s="9">
        <v>8241</v>
      </c>
      <c r="K328">
        <v>1</v>
      </c>
    </row>
    <row r="329" spans="10:11" x14ac:dyDescent="0.25">
      <c r="J329" s="9">
        <v>8265</v>
      </c>
      <c r="K329">
        <v>1</v>
      </c>
    </row>
    <row r="330" spans="10:11" x14ac:dyDescent="0.25">
      <c r="J330" s="9">
        <v>8267</v>
      </c>
      <c r="K330">
        <v>2</v>
      </c>
    </row>
    <row r="331" spans="10:11" x14ac:dyDescent="0.25">
      <c r="J331" s="9">
        <v>8266</v>
      </c>
      <c r="K331">
        <v>1</v>
      </c>
    </row>
    <row r="332" spans="10:11" x14ac:dyDescent="0.25">
      <c r="J332" s="9" t="s">
        <v>199</v>
      </c>
      <c r="K332">
        <v>1</v>
      </c>
    </row>
    <row r="333" spans="10:11" x14ac:dyDescent="0.25">
      <c r="J333" s="9">
        <v>8252</v>
      </c>
      <c r="K333">
        <v>1</v>
      </c>
    </row>
    <row r="334" spans="10:11" x14ac:dyDescent="0.25">
      <c r="J334" s="9">
        <v>8275</v>
      </c>
      <c r="K334">
        <v>1</v>
      </c>
    </row>
    <row r="335" spans="10:11" x14ac:dyDescent="0.25">
      <c r="J335" s="9">
        <v>8254</v>
      </c>
      <c r="K335">
        <v>1</v>
      </c>
    </row>
    <row r="336" spans="10:11" x14ac:dyDescent="0.25">
      <c r="J336" s="9">
        <v>8288</v>
      </c>
      <c r="K336">
        <v>1</v>
      </c>
    </row>
    <row r="337" spans="10:11" x14ac:dyDescent="0.25">
      <c r="J337" s="9">
        <v>8255</v>
      </c>
      <c r="K337">
        <v>1</v>
      </c>
    </row>
    <row r="338" spans="10:11" x14ac:dyDescent="0.25">
      <c r="J338" s="9">
        <v>8283</v>
      </c>
      <c r="K338">
        <v>1</v>
      </c>
    </row>
    <row r="339" spans="10:11" x14ac:dyDescent="0.25">
      <c r="J339" s="9">
        <v>8285</v>
      </c>
      <c r="K339">
        <v>1</v>
      </c>
    </row>
    <row r="340" spans="10:11" x14ac:dyDescent="0.25">
      <c r="J340" s="9">
        <v>8274</v>
      </c>
      <c r="K340">
        <v>1</v>
      </c>
    </row>
    <row r="341" spans="10:11" x14ac:dyDescent="0.25">
      <c r="J341" s="9">
        <v>8272</v>
      </c>
      <c r="K341">
        <v>1</v>
      </c>
    </row>
    <row r="342" spans="10:11" x14ac:dyDescent="0.25">
      <c r="J342" s="9">
        <v>8273</v>
      </c>
      <c r="K342">
        <v>1</v>
      </c>
    </row>
    <row r="343" spans="10:11" x14ac:dyDescent="0.25">
      <c r="J343" s="9">
        <v>8292</v>
      </c>
      <c r="K343">
        <v>1</v>
      </c>
    </row>
    <row r="344" spans="10:11" x14ac:dyDescent="0.25">
      <c r="J344" s="9">
        <v>8284</v>
      </c>
      <c r="K344">
        <v>1</v>
      </c>
    </row>
    <row r="345" spans="10:11" x14ac:dyDescent="0.25">
      <c r="J345" s="9">
        <v>8269</v>
      </c>
      <c r="K345">
        <v>1</v>
      </c>
    </row>
    <row r="346" spans="10:11" x14ac:dyDescent="0.25">
      <c r="J346" s="9">
        <v>8297</v>
      </c>
      <c r="K346">
        <v>1</v>
      </c>
    </row>
    <row r="347" spans="10:11" x14ac:dyDescent="0.25">
      <c r="J347" s="9">
        <v>8296</v>
      </c>
      <c r="K347">
        <v>1</v>
      </c>
    </row>
    <row r="348" spans="10:11" x14ac:dyDescent="0.25">
      <c r="J348" s="9">
        <v>8277</v>
      </c>
      <c r="K348">
        <v>1</v>
      </c>
    </row>
    <row r="349" spans="10:11" x14ac:dyDescent="0.25">
      <c r="J349" s="9">
        <v>8257</v>
      </c>
      <c r="K349">
        <v>1</v>
      </c>
    </row>
    <row r="350" spans="10:11" x14ac:dyDescent="0.25">
      <c r="J350" s="9">
        <v>8294</v>
      </c>
      <c r="K350">
        <v>1</v>
      </c>
    </row>
    <row r="351" spans="10:11" x14ac:dyDescent="0.25">
      <c r="J351" s="9">
        <v>8301</v>
      </c>
      <c r="K351">
        <v>1</v>
      </c>
    </row>
    <row r="352" spans="10:11" x14ac:dyDescent="0.25">
      <c r="J352" s="9">
        <v>8233</v>
      </c>
      <c r="K352">
        <v>1</v>
      </c>
    </row>
    <row r="353" spans="10:11" x14ac:dyDescent="0.25">
      <c r="J353" s="9">
        <v>8279</v>
      </c>
      <c r="K353">
        <v>1</v>
      </c>
    </row>
    <row r="354" spans="10:11" x14ac:dyDescent="0.25">
      <c r="J354" s="9">
        <v>8278</v>
      </c>
      <c r="K354">
        <v>1</v>
      </c>
    </row>
    <row r="355" spans="10:11" x14ac:dyDescent="0.25">
      <c r="J355" s="9">
        <v>8261</v>
      </c>
      <c r="K355">
        <v>1</v>
      </c>
    </row>
    <row r="356" spans="10:11" x14ac:dyDescent="0.25">
      <c r="J356" s="9">
        <v>8234</v>
      </c>
      <c r="K356">
        <v>1</v>
      </c>
    </row>
    <row r="357" spans="10:11" x14ac:dyDescent="0.25">
      <c r="J357" s="9">
        <v>8262</v>
      </c>
      <c r="K357">
        <v>1</v>
      </c>
    </row>
    <row r="358" spans="10:11" x14ac:dyDescent="0.25">
      <c r="J358" s="9">
        <v>8280</v>
      </c>
      <c r="K358">
        <v>1</v>
      </c>
    </row>
    <row r="359" spans="10:11" x14ac:dyDescent="0.25">
      <c r="J359" s="9">
        <v>8271</v>
      </c>
      <c r="K359">
        <v>1</v>
      </c>
    </row>
    <row r="360" spans="10:11" x14ac:dyDescent="0.25">
      <c r="J360" s="9">
        <v>8293</v>
      </c>
      <c r="K360">
        <v>1</v>
      </c>
    </row>
    <row r="361" spans="10:11" x14ac:dyDescent="0.25">
      <c r="J361" s="9">
        <v>8289</v>
      </c>
      <c r="K361">
        <v>1</v>
      </c>
    </row>
    <row r="362" spans="10:11" x14ac:dyDescent="0.25">
      <c r="J362" s="9">
        <v>8300</v>
      </c>
      <c r="K362">
        <v>1</v>
      </c>
    </row>
    <row r="363" spans="10:11" x14ac:dyDescent="0.25">
      <c r="J363" s="9">
        <v>8304</v>
      </c>
      <c r="K363">
        <v>1</v>
      </c>
    </row>
    <row r="364" spans="10:11" x14ac:dyDescent="0.25">
      <c r="J364" s="9">
        <v>8302</v>
      </c>
      <c r="K364">
        <v>1</v>
      </c>
    </row>
    <row r="365" spans="10:11" x14ac:dyDescent="0.25">
      <c r="J365" s="9">
        <v>8290</v>
      </c>
      <c r="K365">
        <v>1</v>
      </c>
    </row>
    <row r="366" spans="10:11" x14ac:dyDescent="0.25">
      <c r="J366" s="9">
        <v>8295</v>
      </c>
      <c r="K366">
        <v>1</v>
      </c>
    </row>
    <row r="367" spans="10:11" x14ac:dyDescent="0.25">
      <c r="J367" s="9">
        <v>8303</v>
      </c>
      <c r="K367">
        <v>1</v>
      </c>
    </row>
    <row r="368" spans="10:11" x14ac:dyDescent="0.25">
      <c r="J368" s="9">
        <v>8306</v>
      </c>
      <c r="K368">
        <v>1</v>
      </c>
    </row>
    <row r="369" spans="10:11" x14ac:dyDescent="0.25">
      <c r="J369" s="9">
        <v>8310</v>
      </c>
      <c r="K369">
        <v>1</v>
      </c>
    </row>
    <row r="370" spans="10:11" x14ac:dyDescent="0.25">
      <c r="J370" s="9">
        <v>8312</v>
      </c>
      <c r="K370">
        <v>1</v>
      </c>
    </row>
    <row r="371" spans="10:11" x14ac:dyDescent="0.25">
      <c r="J371" s="9">
        <v>8311</v>
      </c>
      <c r="K371">
        <v>1</v>
      </c>
    </row>
    <row r="372" spans="10:11" x14ac:dyDescent="0.25">
      <c r="J372" s="9">
        <v>8320</v>
      </c>
      <c r="K372">
        <v>1</v>
      </c>
    </row>
    <row r="373" spans="10:11" x14ac:dyDescent="0.25">
      <c r="J373" s="9">
        <v>8281</v>
      </c>
      <c r="K373">
        <v>1</v>
      </c>
    </row>
    <row r="374" spans="10:11" x14ac:dyDescent="0.25">
      <c r="J374" s="9">
        <v>8321</v>
      </c>
      <c r="K374">
        <v>1</v>
      </c>
    </row>
    <row r="375" spans="10:11" x14ac:dyDescent="0.25">
      <c r="J375" s="9">
        <v>8307</v>
      </c>
      <c r="K375">
        <v>1</v>
      </c>
    </row>
    <row r="376" spans="10:11" x14ac:dyDescent="0.25">
      <c r="J376" s="9">
        <v>8305</v>
      </c>
      <c r="K376">
        <v>1</v>
      </c>
    </row>
    <row r="377" spans="10:11" x14ac:dyDescent="0.25">
      <c r="J377" s="9">
        <v>8308</v>
      </c>
      <c r="K377">
        <v>1</v>
      </c>
    </row>
    <row r="378" spans="10:11" x14ac:dyDescent="0.25">
      <c r="J378" s="9">
        <v>8256</v>
      </c>
      <c r="K378">
        <v>1</v>
      </c>
    </row>
    <row r="379" spans="10:11" x14ac:dyDescent="0.25">
      <c r="J379" s="9">
        <v>8259</v>
      </c>
      <c r="K379">
        <v>1</v>
      </c>
    </row>
    <row r="380" spans="10:11" x14ac:dyDescent="0.25">
      <c r="J380" s="9">
        <v>8322</v>
      </c>
      <c r="K380">
        <v>1</v>
      </c>
    </row>
    <row r="381" spans="10:11" x14ac:dyDescent="0.25">
      <c r="J381" s="9">
        <v>8342</v>
      </c>
      <c r="K381">
        <v>1</v>
      </c>
    </row>
    <row r="382" spans="10:11" x14ac:dyDescent="0.25">
      <c r="J382" s="9">
        <v>8316</v>
      </c>
      <c r="K382">
        <v>1</v>
      </c>
    </row>
    <row r="383" spans="10:11" x14ac:dyDescent="0.25">
      <c r="J383" s="9">
        <v>8325</v>
      </c>
      <c r="K383">
        <v>1</v>
      </c>
    </row>
    <row r="384" spans="10:11" x14ac:dyDescent="0.25">
      <c r="J384" s="9">
        <v>8332</v>
      </c>
      <c r="K384">
        <v>1</v>
      </c>
    </row>
    <row r="385" spans="10:11" x14ac:dyDescent="0.25">
      <c r="J385" s="9">
        <v>8317</v>
      </c>
      <c r="K385">
        <v>1</v>
      </c>
    </row>
    <row r="386" spans="10:11" x14ac:dyDescent="0.25">
      <c r="J386" s="9" t="s">
        <v>160</v>
      </c>
      <c r="K386">
        <v>306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381C6-032B-4FBE-B4DE-F0F844C09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 BD</vt:lpstr>
      <vt:lpstr>BD dp</vt:lpstr>
      <vt:lpstr>BASE. FIN.</vt:lpstr>
      <vt:lpstr>ANALISES COMERCIAL</vt:lpstr>
      <vt:lpstr>BASE DADOS COMERCIAL</vt:lpstr>
      <vt:lpstr>ANALISES FIN.</vt:lpstr>
      <vt:lpstr>ANALISES SEPARACAO</vt:lpstr>
      <vt:lpstr>ANALISES CONF</vt:lpstr>
      <vt:lpstr>ANALISES RECEB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Lemmi Consultoria</dc:creator>
  <cp:lastModifiedBy>Hicaro Alves Dillmann</cp:lastModifiedBy>
  <dcterms:created xsi:type="dcterms:W3CDTF">2026-02-03T21:53:22Z</dcterms:created>
  <dcterms:modified xsi:type="dcterms:W3CDTF">2026-03-18T03:19:06Z</dcterms:modified>
</cp:coreProperties>
</file>