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slicers/slicer4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slicers/slicer5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slicers/slicer6.xml" ContentType="application/vnd.ms-excel.slicer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1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slicers/slicer7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4.xml" ContentType="application/vnd.openxmlformats-officedocument.drawing+xml"/>
  <Override PartName="/xl/tables/table7.xml" ContentType="application/vnd.openxmlformats-officedocument.spreadsheetml.table+xml"/>
  <Override PartName="/xl/slicers/slicer8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5.xml" ContentType="application/vnd.openxmlformats-officedocument.drawing+xml"/>
  <Override PartName="/xl/slicers/slicer9.xml" ContentType="application/vnd.ms-excel.slicer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6.xml" ContentType="application/vnd.openxmlformats-officedocument.drawing+xml"/>
  <Override PartName="/xl/slicers/slicer10.xml" ContentType="application/vnd.ms-excel.slicer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Cliente Stela - RODRIGO\"/>
    </mc:Choice>
  </mc:AlternateContent>
  <xr:revisionPtr revIDLastSave="0" documentId="8_{BD8BB3A1-A8FC-4E6D-A486-1EC1679ADE87}" xr6:coauthVersionLast="47" xr6:coauthVersionMax="47" xr10:uidLastSave="{00000000-0000-0000-0000-000000000000}"/>
  <bookViews>
    <workbookView xWindow="0" yWindow="367" windowWidth="26300" windowHeight="14169" tabRatio="855" firstSheet="4" activeTab="9" xr2:uid="{67D5977E-04A3-4BF5-A276-666E16C952AA}"/>
  </bookViews>
  <sheets>
    <sheet name="EX BD" sheetId="33" state="hidden" r:id="rId1"/>
    <sheet name="MENU" sheetId="2" r:id="rId2"/>
    <sheet name="DASH RECEB" sheetId="13" r:id="rId3"/>
    <sheet name="DASH SEPARACAO" sheetId="15" r:id="rId4"/>
    <sheet name="DASH CONF" sheetId="17" r:id="rId5"/>
    <sheet name="DASH COMERCIAL" sheetId="19" r:id="rId6"/>
    <sheet name="DASH FINANCEIRO" sheetId="28" r:id="rId7"/>
    <sheet name="DASH REGULATORIO" sheetId="9" r:id="rId8"/>
    <sheet name="DASH DP" sheetId="32" r:id="rId9"/>
    <sheet name="BD" sheetId="1" r:id="rId10"/>
    <sheet name="BASE. FIN." sheetId="30" r:id="rId11"/>
    <sheet name="ANALISES COMERCIAL" sheetId="21" r:id="rId12"/>
    <sheet name="BASE DADOS COMERCIAL" sheetId="20" r:id="rId13"/>
    <sheet name="ANALISES FIN." sheetId="31" r:id="rId14"/>
    <sheet name="GRAFICOS" sheetId="27" r:id="rId15"/>
    <sheet name="ANALISES SEPARACAO" sheetId="16" r:id="rId16"/>
    <sheet name="ANALISES CONF" sheetId="18" r:id="rId17"/>
    <sheet name="LOGISTICA" sheetId="6" r:id="rId18"/>
    <sheet name="ANALISES RECEB" sheetId="12" r:id="rId19"/>
  </sheets>
  <externalReferences>
    <externalReference r:id="rId20"/>
    <externalReference r:id="rId21"/>
    <externalReference r:id="rId22"/>
  </externalReferences>
  <definedNames>
    <definedName name="_xlnm.Print_Area" localSheetId="6">'DASH FINANCEIRO'!$B$1:$Y$99</definedName>
    <definedName name="SegmentaçãodeDados_COLABORADOR">#N/A</definedName>
    <definedName name="SegmentaçãodeDados_COLABORADOR1">#N/A</definedName>
    <definedName name="SegmentaçãodeDados_DATA_PEDIDO">#N/A</definedName>
    <definedName name="SegmentaçãodeDados_DATA1">#N/A</definedName>
    <definedName name="SegmentaçãodeDados_DATA11">#N/A</definedName>
    <definedName name="SegmentaçãodeDados_DEPT">#N/A</definedName>
    <definedName name="SegmentaçãodeDados_DEPT1">#N/A</definedName>
    <definedName name="SegmentaçãodeDados_EQUIPE">#N/A</definedName>
    <definedName name="SegmentaçãodeDados_FORNECEDOR">#N/A</definedName>
    <definedName name="SegmentaçãodeDados_GRÁFICO">#N/A</definedName>
    <definedName name="SegmentaçãodeDados_MÊS">#N/A</definedName>
    <definedName name="SegmentaçãodeDados_MÊS1">#N/A</definedName>
    <definedName name="SegmentaçãodeDados_MÊS2">#N/A</definedName>
    <definedName name="SegmentaçãodeDados_MÊS3">#N/A</definedName>
    <definedName name="SegmentaçãodeDados_MÊS4">#N/A</definedName>
    <definedName name="SegmentaçãodeDados_MÊS5">#N/A</definedName>
    <definedName name="SegmentaçãodeDados_SEMANA">#N/A</definedName>
    <definedName name="SegmentaçãodeDados_SEMANA1">#N/A</definedName>
    <definedName name="SegmentaçãodeDados_SEMANA2">#N/A</definedName>
    <definedName name="SegmentaçãodeDados_VENDEDOR">#N/A</definedName>
    <definedName name="SegmentaçãodeDados_VENDEDOR1">#N/A</definedName>
  </definedNames>
  <calcPr calcId="191029"/>
  <pivotCaches>
    <pivotCache cacheId="7" r:id="rId23"/>
    <pivotCache cacheId="8" r:id="rId24"/>
    <pivotCache cacheId="9" r:id="rId25"/>
    <pivotCache cacheId="10" r:id="rId26"/>
    <pivotCache cacheId="11" r:id="rId27"/>
    <pivotCache cacheId="12" r:id="rId28"/>
    <pivotCache cacheId="13" r:id="rId29"/>
  </pivotCaches>
  <fileRecoveryPr repairLoad="1"/>
  <extLst>
    <ext xmlns:x14="http://schemas.microsoft.com/office/spreadsheetml/2009/9/main" uri="{BBE1A952-AA13-448e-AADC-164F8A28A991}">
      <x14:slicerCaches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7"/>
        <x14:slicerCache r:id="rId48"/>
        <x14:slicerCache r:id="rId49"/>
        <x14:slicerCache r:id="rId50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_0a026d38-dcf9-44aa-94d8-49c6377e36a8" name="Tabela1" connection="Consulta - Tabela1"/>
          <x15:modelTable id="ANALISES_b5f1665c-c28d-4f00-8f0f-9bec1b1ef83d" name="ANALISES" connection="Consulta - ANALISES"/>
          <x15:modelTable id="APOIO_4ffe876c-b025-4268-ad61-1856863338e6" name="APOIO" connection="Consulta - APOIO"/>
          <x15:modelTable id="RECEBIMENTO_faaa3696-ee07-43ff-acef-bd65037fba0c" name="RECEBIMENTO" connection="Consulta - RECEBIMENT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2" l="1"/>
  <c r="E90" i="12"/>
  <c r="E89" i="12"/>
  <c r="M81" i="12"/>
  <c r="N1" i="12"/>
  <c r="K1" i="12"/>
  <c r="G1" i="12"/>
  <c r="C1" i="12"/>
  <c r="J343" i="18"/>
  <c r="I343" i="18"/>
  <c r="G343" i="18"/>
  <c r="J342" i="18"/>
  <c r="I342" i="18"/>
  <c r="G342" i="18"/>
  <c r="J341" i="18"/>
  <c r="I341" i="18"/>
  <c r="G341" i="18"/>
  <c r="K340" i="18"/>
  <c r="J340" i="18"/>
  <c r="I340" i="18"/>
  <c r="G340" i="18"/>
  <c r="J339" i="18"/>
  <c r="I339" i="18"/>
  <c r="G339" i="18"/>
  <c r="J338" i="18"/>
  <c r="I338" i="18"/>
  <c r="G338" i="18"/>
  <c r="J337" i="18"/>
  <c r="I337" i="18"/>
  <c r="G337" i="18"/>
  <c r="K336" i="18"/>
  <c r="J336" i="18"/>
  <c r="I336" i="18"/>
  <c r="G336" i="18"/>
  <c r="J335" i="18"/>
  <c r="I335" i="18"/>
  <c r="G335" i="18"/>
  <c r="J334" i="18"/>
  <c r="I334" i="18"/>
  <c r="G334" i="18"/>
  <c r="J333" i="18"/>
  <c r="I333" i="18"/>
  <c r="G333" i="18"/>
  <c r="K332" i="18"/>
  <c r="J332" i="18"/>
  <c r="I332" i="18"/>
  <c r="G332" i="18"/>
  <c r="J331" i="18"/>
  <c r="I331" i="18"/>
  <c r="G331" i="18"/>
  <c r="J330" i="18"/>
  <c r="I330" i="18"/>
  <c r="G330" i="18"/>
  <c r="J329" i="18"/>
  <c r="I329" i="18"/>
  <c r="G329" i="18"/>
  <c r="K328" i="18"/>
  <c r="J328" i="18"/>
  <c r="I328" i="18"/>
  <c r="G328" i="18"/>
  <c r="J327" i="18"/>
  <c r="I327" i="18"/>
  <c r="G327" i="18"/>
  <c r="J326" i="18"/>
  <c r="I326" i="18"/>
  <c r="G326" i="18"/>
  <c r="J325" i="18"/>
  <c r="I325" i="18"/>
  <c r="G325" i="18"/>
  <c r="K324" i="18"/>
  <c r="J324" i="18"/>
  <c r="I324" i="18"/>
  <c r="G324" i="18"/>
  <c r="J323" i="18"/>
  <c r="I323" i="18"/>
  <c r="G323" i="18"/>
  <c r="J322" i="18"/>
  <c r="I322" i="18"/>
  <c r="G322" i="18"/>
  <c r="J321" i="18"/>
  <c r="I321" i="18"/>
  <c r="G321" i="18"/>
  <c r="K320" i="18"/>
  <c r="J320" i="18"/>
  <c r="I320" i="18"/>
  <c r="G320" i="18"/>
  <c r="J319" i="18"/>
  <c r="I319" i="18"/>
  <c r="G319" i="18"/>
  <c r="J318" i="18"/>
  <c r="I318" i="18"/>
  <c r="G318" i="18"/>
  <c r="J317" i="18"/>
  <c r="I317" i="18"/>
  <c r="G317" i="18"/>
  <c r="K316" i="18"/>
  <c r="J316" i="18"/>
  <c r="I316" i="18"/>
  <c r="G316" i="18"/>
  <c r="J315" i="18"/>
  <c r="I315" i="18"/>
  <c r="G315" i="18"/>
  <c r="J314" i="18"/>
  <c r="I314" i="18"/>
  <c r="G314" i="18"/>
  <c r="J313" i="18"/>
  <c r="I313" i="18"/>
  <c r="G313" i="18"/>
  <c r="K312" i="18"/>
  <c r="J312" i="18"/>
  <c r="I312" i="18"/>
  <c r="G312" i="18"/>
  <c r="J311" i="18"/>
  <c r="I311" i="18"/>
  <c r="G311" i="18"/>
  <c r="J310" i="18"/>
  <c r="I310" i="18"/>
  <c r="G310" i="18"/>
  <c r="J309" i="18"/>
  <c r="I309" i="18"/>
  <c r="G309" i="18"/>
  <c r="K308" i="18"/>
  <c r="J308" i="18"/>
  <c r="I308" i="18"/>
  <c r="G308" i="18"/>
  <c r="F288" i="18"/>
  <c r="F287" i="18"/>
  <c r="F286" i="18"/>
  <c r="F285" i="18"/>
  <c r="F284" i="18"/>
  <c r="F283" i="18"/>
  <c r="F282" i="18"/>
  <c r="E277" i="18"/>
  <c r="D277" i="18"/>
  <c r="G258" i="18"/>
  <c r="F258" i="18"/>
  <c r="G257" i="18"/>
  <c r="F257" i="18"/>
  <c r="G256" i="18"/>
  <c r="F256" i="18"/>
  <c r="G255" i="18"/>
  <c r="F255" i="18"/>
  <c r="G254" i="18"/>
  <c r="F254" i="18"/>
  <c r="G253" i="18"/>
  <c r="F253" i="18"/>
  <c r="F248" i="18"/>
  <c r="E248" i="18"/>
  <c r="D248" i="18"/>
  <c r="G226" i="18"/>
  <c r="F226" i="18"/>
  <c r="G225" i="18"/>
  <c r="F225" i="18"/>
  <c r="G224" i="18"/>
  <c r="F224" i="18"/>
  <c r="G223" i="18"/>
  <c r="F223" i="18"/>
  <c r="G222" i="18"/>
  <c r="F222" i="18"/>
  <c r="G221" i="18"/>
  <c r="F221" i="18"/>
  <c r="G216" i="18"/>
  <c r="F216" i="18"/>
  <c r="E216" i="18"/>
  <c r="D216" i="18"/>
  <c r="G196" i="18"/>
  <c r="F196" i="18"/>
  <c r="G195" i="18"/>
  <c r="F195" i="18"/>
  <c r="G194" i="18"/>
  <c r="F194" i="18"/>
  <c r="G193" i="18"/>
  <c r="F193" i="18"/>
  <c r="G192" i="18"/>
  <c r="F192" i="18"/>
  <c r="G191" i="18"/>
  <c r="F191" i="18"/>
  <c r="G187" i="18"/>
  <c r="F187" i="18"/>
  <c r="E187" i="18"/>
  <c r="D187" i="18"/>
  <c r="C158" i="18"/>
  <c r="C124" i="18"/>
  <c r="D82" i="18"/>
  <c r="C44" i="18"/>
  <c r="E3" i="18"/>
  <c r="E2" i="18"/>
  <c r="K294" i="16"/>
  <c r="J294" i="16"/>
  <c r="H294" i="16"/>
  <c r="K293" i="16"/>
  <c r="J293" i="16"/>
  <c r="H293" i="16"/>
  <c r="K292" i="16"/>
  <c r="J292" i="16"/>
  <c r="H292" i="16"/>
  <c r="L291" i="16"/>
  <c r="K291" i="16"/>
  <c r="J291" i="16"/>
  <c r="H291" i="16"/>
  <c r="K290" i="16"/>
  <c r="J290" i="16"/>
  <c r="H290" i="16"/>
  <c r="K289" i="16"/>
  <c r="J289" i="16"/>
  <c r="H289" i="16"/>
  <c r="K288" i="16"/>
  <c r="J288" i="16"/>
  <c r="H288" i="16"/>
  <c r="L287" i="16"/>
  <c r="K287" i="16"/>
  <c r="J287" i="16"/>
  <c r="H287" i="16"/>
  <c r="K286" i="16"/>
  <c r="J286" i="16"/>
  <c r="H286" i="16"/>
  <c r="K285" i="16"/>
  <c r="J285" i="16"/>
  <c r="H285" i="16"/>
  <c r="K284" i="16"/>
  <c r="J284" i="16"/>
  <c r="H284" i="16"/>
  <c r="L283" i="16"/>
  <c r="K283" i="16"/>
  <c r="J283" i="16"/>
  <c r="H283" i="16"/>
  <c r="K282" i="16"/>
  <c r="J282" i="16"/>
  <c r="H282" i="16"/>
  <c r="K281" i="16"/>
  <c r="J281" i="16"/>
  <c r="H281" i="16"/>
  <c r="K280" i="16"/>
  <c r="J280" i="16"/>
  <c r="H280" i="16"/>
  <c r="L279" i="16"/>
  <c r="K279" i="16"/>
  <c r="J279" i="16"/>
  <c r="H279" i="16"/>
  <c r="K278" i="16"/>
  <c r="J278" i="16"/>
  <c r="H278" i="16"/>
  <c r="K277" i="16"/>
  <c r="J277" i="16"/>
  <c r="H277" i="16"/>
  <c r="K276" i="16"/>
  <c r="J276" i="16"/>
  <c r="H276" i="16"/>
  <c r="L275" i="16"/>
  <c r="K275" i="16"/>
  <c r="J275" i="16"/>
  <c r="H275" i="16"/>
  <c r="K274" i="16"/>
  <c r="J274" i="16"/>
  <c r="H274" i="16"/>
  <c r="K273" i="16"/>
  <c r="J273" i="16"/>
  <c r="H273" i="16"/>
  <c r="K272" i="16"/>
  <c r="J272" i="16"/>
  <c r="H272" i="16"/>
  <c r="L271" i="16"/>
  <c r="K271" i="16"/>
  <c r="J271" i="16"/>
  <c r="H271" i="16"/>
  <c r="K270" i="16"/>
  <c r="J270" i="16"/>
  <c r="H270" i="16"/>
  <c r="K269" i="16"/>
  <c r="J269" i="16"/>
  <c r="H269" i="16"/>
  <c r="K268" i="16"/>
  <c r="J268" i="16"/>
  <c r="H268" i="16"/>
  <c r="L267" i="16"/>
  <c r="K267" i="16"/>
  <c r="J267" i="16"/>
  <c r="H267" i="16"/>
  <c r="K266" i="16"/>
  <c r="J266" i="16"/>
  <c r="H266" i="16"/>
  <c r="K265" i="16"/>
  <c r="J265" i="16"/>
  <c r="I265" i="16"/>
  <c r="H265" i="16"/>
  <c r="K264" i="16"/>
  <c r="J264" i="16"/>
  <c r="I264" i="16"/>
  <c r="H264" i="16"/>
  <c r="L263" i="16"/>
  <c r="K263" i="16"/>
  <c r="J263" i="16"/>
  <c r="H263" i="16"/>
  <c r="K262" i="16"/>
  <c r="J262" i="16"/>
  <c r="H262" i="16"/>
  <c r="K261" i="16"/>
  <c r="J261" i="16"/>
  <c r="H261" i="16"/>
  <c r="K260" i="16"/>
  <c r="J260" i="16"/>
  <c r="H260" i="16"/>
  <c r="L259" i="16"/>
  <c r="K259" i="16"/>
  <c r="J259" i="16"/>
  <c r="H259" i="16"/>
  <c r="H249" i="16"/>
  <c r="G249" i="16"/>
  <c r="H248" i="16"/>
  <c r="G248" i="16"/>
  <c r="H247" i="16"/>
  <c r="G247" i="16"/>
  <c r="H246" i="16"/>
  <c r="G246" i="16"/>
  <c r="H245" i="16"/>
  <c r="G245" i="16"/>
  <c r="H244" i="16"/>
  <c r="G244" i="16"/>
  <c r="H243" i="16"/>
  <c r="G243" i="16"/>
  <c r="H242" i="16"/>
  <c r="G242" i="16"/>
  <c r="H241" i="16"/>
  <c r="G241" i="16"/>
  <c r="H235" i="16"/>
  <c r="G235" i="16"/>
  <c r="F235" i="16"/>
  <c r="E235" i="16"/>
  <c r="H221" i="16"/>
  <c r="G221" i="16"/>
  <c r="H220" i="16"/>
  <c r="G220" i="16"/>
  <c r="H219" i="16"/>
  <c r="G219" i="16"/>
  <c r="H218" i="16"/>
  <c r="G218" i="16"/>
  <c r="H217" i="16"/>
  <c r="G217" i="16"/>
  <c r="H216" i="16"/>
  <c r="G216" i="16"/>
  <c r="H215" i="16"/>
  <c r="G215" i="16"/>
  <c r="H214" i="16"/>
  <c r="G214" i="16"/>
  <c r="H213" i="16"/>
  <c r="G213" i="16"/>
  <c r="H208" i="16"/>
  <c r="G208" i="16"/>
  <c r="F208" i="16"/>
  <c r="E208" i="16"/>
  <c r="H196" i="16"/>
  <c r="G196" i="16"/>
  <c r="H195" i="16"/>
  <c r="G195" i="16"/>
  <c r="H194" i="16"/>
  <c r="G194" i="16"/>
  <c r="H193" i="16"/>
  <c r="G193" i="16"/>
  <c r="H192" i="16"/>
  <c r="G192" i="16"/>
  <c r="H191" i="16"/>
  <c r="G191" i="16"/>
  <c r="H190" i="16"/>
  <c r="G190" i="16"/>
  <c r="H189" i="16"/>
  <c r="G189" i="16"/>
  <c r="H188" i="16"/>
  <c r="G188" i="16"/>
  <c r="H184" i="16"/>
  <c r="G184" i="16"/>
  <c r="F184" i="16"/>
  <c r="E184" i="16"/>
  <c r="H169" i="16"/>
  <c r="H168" i="16"/>
  <c r="H167" i="16"/>
  <c r="H166" i="16"/>
  <c r="H165" i="16"/>
  <c r="H164" i="16"/>
  <c r="H163" i="16"/>
  <c r="H162" i="16"/>
  <c r="H161" i="16"/>
  <c r="F158" i="16"/>
  <c r="E158" i="16"/>
  <c r="B157" i="16"/>
  <c r="C138" i="16"/>
  <c r="M130" i="16"/>
  <c r="M129" i="16"/>
  <c r="M128" i="16"/>
  <c r="M127" i="16"/>
  <c r="C104" i="16"/>
  <c r="D62" i="16"/>
  <c r="Z15" i="16"/>
  <c r="Z14" i="16"/>
  <c r="Z4" i="16"/>
  <c r="X4" i="31"/>
  <c r="W4" i="31"/>
  <c r="U4" i="31"/>
  <c r="T4" i="31"/>
  <c r="S4" i="31"/>
  <c r="N3" i="31"/>
  <c r="J3" i="31"/>
  <c r="F3" i="31"/>
  <c r="AR2" i="31"/>
  <c r="AQ2" i="31"/>
  <c r="AP2" i="31"/>
  <c r="AN2" i="31"/>
  <c r="AM2" i="31"/>
  <c r="AL2" i="31"/>
  <c r="AJ2" i="31"/>
  <c r="AI2" i="31"/>
  <c r="AH2" i="31"/>
  <c r="AF2" i="31"/>
  <c r="AE2" i="31"/>
  <c r="AB2" i="31"/>
  <c r="AA2" i="31"/>
  <c r="Z2" i="31"/>
  <c r="AP1" i="31"/>
  <c r="AH1" i="31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S49" i="21"/>
  <c r="S48" i="21"/>
  <c r="S47" i="21"/>
  <c r="S46" i="21"/>
  <c r="S45" i="21"/>
  <c r="S44" i="21"/>
  <c r="S43" i="21"/>
  <c r="S42" i="21"/>
  <c r="S41" i="21"/>
  <c r="S40" i="21"/>
  <c r="S39" i="21"/>
  <c r="S38" i="21"/>
  <c r="S37" i="21"/>
  <c r="S34" i="21"/>
  <c r="Q18" i="21"/>
  <c r="S14" i="21"/>
  <c r="S13" i="21"/>
  <c r="S12" i="21"/>
  <c r="S11" i="21"/>
  <c r="S10" i="21"/>
  <c r="S9" i="21"/>
  <c r="S8" i="21"/>
  <c r="S7" i="21"/>
  <c r="S6" i="21"/>
  <c r="S5" i="21"/>
  <c r="M5" i="21"/>
  <c r="S4" i="21"/>
  <c r="M4" i="21"/>
  <c r="S3" i="21"/>
  <c r="S2" i="21"/>
  <c r="Y32" i="30"/>
  <c r="Y31" i="30"/>
  <c r="Y30" i="30"/>
  <c r="Y29" i="30"/>
  <c r="Y28" i="30"/>
  <c r="Y27" i="30"/>
  <c r="Y26" i="30"/>
  <c r="Y25" i="30"/>
  <c r="Y24" i="30"/>
  <c r="Y23" i="30"/>
  <c r="Y22" i="30"/>
  <c r="Y21" i="30"/>
  <c r="Y20" i="30"/>
  <c r="Y19" i="30"/>
  <c r="Y18" i="30"/>
  <c r="Y17" i="30"/>
  <c r="Y16" i="30"/>
  <c r="Y15" i="30"/>
  <c r="Y14" i="30"/>
  <c r="Y13" i="30"/>
  <c r="Y12" i="30"/>
  <c r="Y11" i="30"/>
  <c r="Y10" i="30"/>
  <c r="Y9" i="30"/>
  <c r="Y8" i="30"/>
  <c r="Y7" i="30"/>
  <c r="Y6" i="30"/>
  <c r="Y5" i="30"/>
  <c r="Y4" i="30"/>
  <c r="Y3" i="30"/>
  <c r="E26" i="1"/>
  <c r="D26" i="1"/>
  <c r="E10" i="28"/>
  <c r="E10" i="19"/>
  <c r="E10" i="17"/>
  <c r="E10" i="15"/>
  <c r="E10" i="13"/>
  <c r="A93" i="33"/>
  <c r="F2" i="21"/>
  <c r="A12" i="21"/>
  <c r="B2" i="21"/>
  <c r="I2" i="21"/>
  <c r="M2" i="21" l="1"/>
  <c r="A14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A5C9A-19D2-450C-80C2-9D986C697BFA}" name="Consulta - ANALISES" description="Conexão com a consulta 'ANALISES' na pasta de trabalho." type="100" refreshedVersion="7" minRefreshableVersion="5">
    <extLst>
      <ext xmlns:x15="http://schemas.microsoft.com/office/spreadsheetml/2010/11/main" uri="{DE250136-89BD-433C-8126-D09CA5730AF9}">
        <x15:connection id="f7a6c8c6-152d-4b63-8c9f-ef801c33fb9c"/>
      </ext>
    </extLst>
  </connection>
  <connection id="2" xr16:uid="{C0EA4ED5-5508-417C-ABB8-D486361DEF17}" name="Consulta - APOIO" description="Conexão com a consulta 'APOIO' na pasta de trabalho." type="100" refreshedVersion="7" minRefreshableVersion="5">
    <extLst>
      <ext xmlns:x15="http://schemas.microsoft.com/office/spreadsheetml/2010/11/main" uri="{DE250136-89BD-433C-8126-D09CA5730AF9}">
        <x15:connection id="4a6f3d27-b282-43a5-a25f-d3a441d4e6e9"/>
      </ext>
    </extLst>
  </connection>
  <connection id="3" xr16:uid="{EC9AEEB8-3D58-4205-9492-52CC7CD39D12}" name="Consulta - RECEBIMENTO" description="Conexão com a consulta 'RECEBIMENTO' na pasta de trabalho." type="100" refreshedVersion="7" minRefreshableVersion="5">
    <extLst>
      <ext xmlns:x15="http://schemas.microsoft.com/office/spreadsheetml/2010/11/main" uri="{DE250136-89BD-433C-8126-D09CA5730AF9}">
        <x15:connection id="a8fa90de-b0c4-4659-97c3-eb26e49fd128"/>
      </ext>
    </extLst>
  </connection>
  <connection id="4" xr16:uid="{2FA5DDEF-A71A-4C75-AF19-A491BE41BAC0}" name="Consulta - Tabela1" description="Conexão com a consulta 'Tabela1' na pasta de trabalho." type="100" refreshedVersion="7" minRefreshableVersion="5">
    <extLst>
      <ext xmlns:x15="http://schemas.microsoft.com/office/spreadsheetml/2010/11/main" uri="{DE250136-89BD-433C-8126-D09CA5730AF9}">
        <x15:connection id="f9d84b51-b46e-4158-be4b-3a3e0d16cdf5"/>
      </ext>
    </extLst>
  </connection>
  <connection id="5" xr16:uid="{CEF9AEE5-ACB0-4485-8B90-DA1A13F0A1A5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<sst xmlns="http://schemas.openxmlformats.org/spreadsheetml/2006/main" count="1349" uniqueCount="397">
  <si>
    <t>DATA</t>
  </si>
  <si>
    <t>DEPT</t>
  </si>
  <si>
    <t>INDICADOR</t>
  </si>
  <si>
    <t>PREVISTO</t>
  </si>
  <si>
    <t>REALIZADO</t>
  </si>
  <si>
    <t>GRÁFICO</t>
  </si>
  <si>
    <t>Faturamento Bruto</t>
  </si>
  <si>
    <t>Barra</t>
  </si>
  <si>
    <t>Finanças</t>
  </si>
  <si>
    <t>Processos</t>
  </si>
  <si>
    <t>Pessoas</t>
  </si>
  <si>
    <t>Comercial</t>
  </si>
  <si>
    <t>ESG</t>
  </si>
  <si>
    <t>Faturamento Líquido</t>
  </si>
  <si>
    <t>Custo da Mercadoria Vendida (CMV)</t>
  </si>
  <si>
    <t>Lucro Bruto</t>
  </si>
  <si>
    <t>Margem Bruta (%)</t>
  </si>
  <si>
    <t>Lucro Operacional</t>
  </si>
  <si>
    <t>Lucro Líquido</t>
  </si>
  <si>
    <t>Margem Líquida (%)</t>
  </si>
  <si>
    <t>Ponto de Equilíbrio</t>
  </si>
  <si>
    <t>Margem de Contribuição (%)</t>
  </si>
  <si>
    <t>Margem de Lucro por Produto</t>
  </si>
  <si>
    <t>Liquidez Corrente</t>
  </si>
  <si>
    <t>Liquidez Seca</t>
  </si>
  <si>
    <t>Liquidez Imediata</t>
  </si>
  <si>
    <t>Índice de Endividamento Geral</t>
  </si>
  <si>
    <t>Composição do Endividamento</t>
  </si>
  <si>
    <t>Grau de Alavancagem Financeira</t>
  </si>
  <si>
    <t>Ciclo Operacional (dias)</t>
  </si>
  <si>
    <t>Ciclo Financeiro (dias)</t>
  </si>
  <si>
    <t>Giro de Estoque (vezes)</t>
  </si>
  <si>
    <t>Prazo Médio de Recebimento (PMR)</t>
  </si>
  <si>
    <t>Prazo Médio de Pagamento (PMP)</t>
  </si>
  <si>
    <t>Necessidade de Capital de Giro (NCG)</t>
  </si>
  <si>
    <t>Variação Absoluta</t>
  </si>
  <si>
    <t>Desvio (%)</t>
  </si>
  <si>
    <t>Índice de Cobertura de Juros</t>
  </si>
  <si>
    <t>Capacidade de Pagamento Mensal</t>
  </si>
  <si>
    <t>EBITDA</t>
  </si>
  <si>
    <t>Risco de Inadimplência</t>
  </si>
  <si>
    <t>Taxa de Retrabalho (%)</t>
  </si>
  <si>
    <t>Eficiência Operacional (%)</t>
  </si>
  <si>
    <t>Produtividade por Colaborador</t>
  </si>
  <si>
    <t>Frequência de Atualização dos KPIs</t>
  </si>
  <si>
    <t>Índice de Confiança na Liderança</t>
  </si>
  <si>
    <t>Índice de Comunicação Interna</t>
  </si>
  <si>
    <t>Taxa de Conversão Total</t>
  </si>
  <si>
    <t>Operacional</t>
  </si>
  <si>
    <t>Coluna / Barra</t>
  </si>
  <si>
    <t>Coluna</t>
  </si>
  <si>
    <t>Gauge / Velocímetro</t>
  </si>
  <si>
    <t>Gauge</t>
  </si>
  <si>
    <t>Linha</t>
  </si>
  <si>
    <t>70% CP / 30% LP</t>
  </si>
  <si>
    <t>75% CP / 25% LP</t>
  </si>
  <si>
    <t>Pizza</t>
  </si>
  <si>
    <t>85 dias</t>
  </si>
  <si>
    <t>92 dias</t>
  </si>
  <si>
    <t>40 dias</t>
  </si>
  <si>
    <t>48 dias</t>
  </si>
  <si>
    <t>35 dias</t>
  </si>
  <si>
    <t>42 dias</t>
  </si>
  <si>
    <t>25 dias</t>
  </si>
  <si>
    <t>28 dias</t>
  </si>
  <si>
    <t>Realizado vs Orçado (%)</t>
  </si>
  <si>
    <t>Tempo de Ciclo (Lead Time)</t>
  </si>
  <si>
    <t>12 dias</t>
  </si>
  <si>
    <t>15 dias</t>
  </si>
  <si>
    <t>120 unidades</t>
  </si>
  <si>
    <t>105 unidades</t>
  </si>
  <si>
    <t>% com POP Documentado</t>
  </si>
  <si>
    <t>% com Fluxograma BPMN</t>
  </si>
  <si>
    <t>Taxa de Conformidade com POPs</t>
  </si>
  <si>
    <t>Índice de Revisão de Processos</t>
  </si>
  <si>
    <t>% com KPIs Ativos</t>
  </si>
  <si>
    <t>30 dias</t>
  </si>
  <si>
    <t>45 dias</t>
  </si>
  <si>
    <t>% Cumprimento de Metas</t>
  </si>
  <si>
    <t>Nº de Reuniões por Processo</t>
  </si>
  <si>
    <t>% de Cargos com Descrição</t>
  </si>
  <si>
    <t>% com Matriz de Competências</t>
  </si>
  <si>
    <t>% com Perfil DISC</t>
  </si>
  <si>
    <t>% de Aderência Estrutural</t>
  </si>
  <si>
    <t>% com Dossiê Completo</t>
  </si>
  <si>
    <t>% Conformidade CCT</t>
  </si>
  <si>
    <t>% Atualização Cadastral</t>
  </si>
  <si>
    <t>% Aderência Legal</t>
  </si>
  <si>
    <t>Tempo Médio de Integração</t>
  </si>
  <si>
    <t>% com Trilha de Aprendizagem</t>
  </si>
  <si>
    <t>Índice de Aderência à Integração</t>
  </si>
  <si>
    <t>% Retenção Experiência</t>
  </si>
  <si>
    <t>% Avaliados 360°</t>
  </si>
  <si>
    <t>Índice Médio de Desempenho</t>
  </si>
  <si>
    <t>% com PDI Ativo</t>
  </si>
  <si>
    <t>% Aderência a Treinamentos</t>
  </si>
  <si>
    <t>Índice de Satisfação Geral</t>
  </si>
  <si>
    <t>% Participação no Clima</t>
  </si>
  <si>
    <t>Índice de Turnover</t>
  </si>
  <si>
    <t>Índice de Absenteísmo</t>
  </si>
  <si>
    <t>Custo Médio por Colaborador</t>
  </si>
  <si>
    <t>Tempo Médio de R&amp;S</t>
  </si>
  <si>
    <t>32 dias</t>
  </si>
  <si>
    <t>Relação Colaborador/Liderança</t>
  </si>
  <si>
    <t>% Indicadores RH Atualizados</t>
  </si>
  <si>
    <t>Conversão por Etapa</t>
  </si>
  <si>
    <t>Tempo Médio de Fechamento</t>
  </si>
  <si>
    <t>18 dias</t>
  </si>
  <si>
    <t>22 dias</t>
  </si>
  <si>
    <t>Ticket Médio</t>
  </si>
  <si>
    <t>CAC</t>
  </si>
  <si>
    <t>Retenção de Clientes</t>
  </si>
  <si>
    <t>CSAT</t>
  </si>
  <si>
    <t>NPS</t>
  </si>
  <si>
    <t>LTV</t>
  </si>
  <si>
    <t>Churn</t>
  </si>
  <si>
    <t>Participação de Mercado</t>
  </si>
  <si>
    <t>Meta de Vendas Atingida</t>
  </si>
  <si>
    <t>Crescimento de Vendas</t>
  </si>
  <si>
    <t>Vendas Novos vs Repetidos</t>
  </si>
  <si>
    <t>60/40</t>
  </si>
  <si>
    <t>55/45</t>
  </si>
  <si>
    <t>Eficiência por Vendedor</t>
  </si>
  <si>
    <t>Riscos Tratados</t>
  </si>
  <si>
    <t>Código de Conduta Implantado</t>
  </si>
  <si>
    <t>S</t>
  </si>
  <si>
    <t>Indicador Simples</t>
  </si>
  <si>
    <t>Redução de Desperdício</t>
  </si>
  <si>
    <t>Práticas Sustentáveis</t>
  </si>
  <si>
    <t>Ações Sociais por Ano</t>
  </si>
  <si>
    <t>Investimento Social (% Receita)</t>
  </si>
  <si>
    <t>Maturidade ESG</t>
  </si>
  <si>
    <t>Ações de Melhoria ESG</t>
  </si>
  <si>
    <t>Rótulos de Linha</t>
  </si>
  <si>
    <t>Soma de VOLUMES</t>
  </si>
  <si>
    <t>Contagem de N° PEDIDO COMPRA</t>
  </si>
  <si>
    <t>Média de % SLA CONFORMIDADES</t>
  </si>
  <si>
    <t>Média de ACURA.CONF</t>
  </si>
  <si>
    <t>CAZI QUIMICA FARMACEUTICA INDUSTRIA</t>
  </si>
  <si>
    <t>JC DISTRIBUICAO LOGISTICA IMP E EXP</t>
  </si>
  <si>
    <t>REMORA PRODUTOS PARA SAUDE LTDA-EPP</t>
  </si>
  <si>
    <t>WW DISTRIBUIDORA DE MEDICAMENTOS LT</t>
  </si>
  <si>
    <t>HOSPDROGAS COMERCIAL LTDA-DEMAIS</t>
  </si>
  <si>
    <t>3B INDUSTRIA E COMERCIO DE ARTEFATO</t>
  </si>
  <si>
    <t>ATIVA COMERCIAL HOSPITALAR LTDA-DEM</t>
  </si>
  <si>
    <t>RD HOSPITALAR LTDA-EPP</t>
  </si>
  <si>
    <t>DISTRIBEM MED. E MAT. HOSP. LTDA-DE</t>
  </si>
  <si>
    <t>ESTOQUE MED TO A LOGISTICA CERTA CO</t>
  </si>
  <si>
    <t>ACCUMED PRODUTOS MEDICO HOSPITALARE</t>
  </si>
  <si>
    <t>URBANIN &amp; NAVARRO LTDA-DEMAIS</t>
  </si>
  <si>
    <t>REDE BRASIL DISTRIBUICAO E LOGIST L</t>
  </si>
  <si>
    <t>VFB BRASIL LTDA-DEMAIS</t>
  </si>
  <si>
    <t>SUPERMEDICA DISTRIBUIDORA HOSPITALA</t>
  </si>
  <si>
    <t>LINK HOME DISTRIBUIDORA LTDA-EPP</t>
  </si>
  <si>
    <t>ALEXDAN IMPORTACAO E EXPORTACAO LTD</t>
  </si>
  <si>
    <t>RIO VERMELHO DISTRIBUICAO DE ALIMEN</t>
  </si>
  <si>
    <t>XWW DISTRIBUIDORA DE MEDICAMENTOS LT</t>
  </si>
  <si>
    <t>JRD INDUSTRIA FARMACEUTICA LTDA-</t>
  </si>
  <si>
    <t>CIENTIFICA MEDICA HOSPITALAR LTDA-D</t>
  </si>
  <si>
    <t>B2B PHARMACEUTICA LTDA-ME</t>
  </si>
  <si>
    <t>Total Geral</t>
  </si>
  <si>
    <t>FLORA NECTAR INDUSTRIA COMERCIO IMP</t>
  </si>
  <si>
    <t>MARTINS COM SERV DISTR AS</t>
  </si>
  <si>
    <t>UNIFARMA FARMACEUTICA LTDA-DEMAIS</t>
  </si>
  <si>
    <t>ED MED COMERCIAL LTDA</t>
  </si>
  <si>
    <t>MARTINS COMERCIO E SERVICOS DE DIST</t>
  </si>
  <si>
    <t>JN PHARMA DISTRIBUIDORA DE MEDICAME</t>
  </si>
  <si>
    <t>GOIAS LOGISTICA DE MEDICAMENTOS LTD</t>
  </si>
  <si>
    <t>NATUBRAS INDUSTRIA E COMERCIO DE PR</t>
  </si>
  <si>
    <t>MARTINS COM SERV DISTR SA</t>
  </si>
  <si>
    <t>MULTICANAL ATACADO LTDA -F2</t>
  </si>
  <si>
    <t>C.A. HOSPITALAR LTDA-DEMAIS</t>
  </si>
  <si>
    <t>SC DISTRIBUICAO LTDA-DEMAIS(panphar</t>
  </si>
  <si>
    <t>DISTRIBUIDORA BRASIL COML DE PRODUT</t>
  </si>
  <si>
    <t>MAEVE PRODUTOS HOSPITALARES LTDA-DE</t>
  </si>
  <si>
    <t>SERVIMED - ITUMBIARA</t>
  </si>
  <si>
    <t>DISTRIBUIDORA GAMA LTDA-DEMAIS</t>
  </si>
  <si>
    <t>VIVA COMERCIO E IMPORTACAO LTDA</t>
  </si>
  <si>
    <t>TERRA HOSPITALAR DISTRIBUIDORA DE M</t>
  </si>
  <si>
    <t>FARMALEV PRODUTOS FARMACEUTICOS LTD</t>
  </si>
  <si>
    <t>JPMED DISTRIBUIDORA FARMACEUTICA LT</t>
  </si>
  <si>
    <t xml:space="preserve">GOYAZ SERVICE COMERCIO E LOGISTICA </t>
  </si>
  <si>
    <t xml:space="preserve">JC DISTRIB. DE PROD. FARMACEUTICOS </t>
  </si>
  <si>
    <t>DPC DISTRIBUIDOR ATACADISTA S/A-DEM</t>
  </si>
  <si>
    <t>MEDCENTRO DISTRIBUIDORA DE PRODUTOS</t>
  </si>
  <si>
    <t>G3PHARMA DISTRIBUIDORA DE MEDICAMEN</t>
  </si>
  <si>
    <t xml:space="preserve">PROFARMA DISTRIBUIDORA DE PRODUTOS </t>
  </si>
  <si>
    <t>GENESIO A MENDES &amp; CIA LTDA-DEM</t>
  </si>
  <si>
    <t>REAL DISTRIBUIDORA E LOGISTICA LTDA</t>
  </si>
  <si>
    <t>DISTRIBUIDORA DE MEDICAMENTOS SANTA</t>
  </si>
  <si>
    <t>Soma de APURACAO LT D+0</t>
  </si>
  <si>
    <t>STATUS</t>
  </si>
  <si>
    <t>%</t>
  </si>
  <si>
    <t>D1 +</t>
  </si>
  <si>
    <t>D+0</t>
  </si>
  <si>
    <t>Média de LEAD TIME DISPONIBILIZACAO</t>
  </si>
  <si>
    <t>FALTA PRODUTO</t>
  </si>
  <si>
    <t xml:space="preserve">PRODUTO A MAIS </t>
  </si>
  <si>
    <t>AVARIA</t>
  </si>
  <si>
    <t xml:space="preserve">  </t>
  </si>
  <si>
    <t xml:space="preserve"> </t>
  </si>
  <si>
    <t>Média de DESEMPENHO  %</t>
  </si>
  <si>
    <t>fev</t>
  </si>
  <si>
    <t>Atual</t>
  </si>
  <si>
    <t>Faltante</t>
  </si>
  <si>
    <t>ACURACIDADE PEDIDOS SEPARADOR(RES)</t>
  </si>
  <si>
    <t>Média de MEDIA SKU POR PEDIDO</t>
  </si>
  <si>
    <t>PABLYNE SANTANA</t>
  </si>
  <si>
    <t>RONALDO JOSE</t>
  </si>
  <si>
    <t>GUILHERME HENRIQUE</t>
  </si>
  <si>
    <t>MARILEUZA</t>
  </si>
  <si>
    <t>JAILSON</t>
  </si>
  <si>
    <t>FERNANDO BORGES</t>
  </si>
  <si>
    <t>WARLEY GABRIEL</t>
  </si>
  <si>
    <t>IGOR</t>
  </si>
  <si>
    <t>WILSON JUNIOR</t>
  </si>
  <si>
    <t>ARMANDO SANTOS</t>
  </si>
  <si>
    <t>MEDIA SKU POR PEDIDO COLABORADOR(ES)</t>
  </si>
  <si>
    <t>Soma de ITENS SEPARADOS</t>
  </si>
  <si>
    <t>COMPOSICAO METRICAS SEPARACAO</t>
  </si>
  <si>
    <t>ACERTIVIDADE SEPARACAO</t>
  </si>
  <si>
    <t xml:space="preserve">PARTICIPACAO DEMANDA </t>
  </si>
  <si>
    <t>Soma de QTD PEDIDOS</t>
  </si>
  <si>
    <t>PARTICIPACAO UNIDADES</t>
  </si>
  <si>
    <t>PARTICIPACAO SKU</t>
  </si>
  <si>
    <t>2026</t>
  </si>
  <si>
    <t>AVALIACAO ACERTIVIDADE SEPARACAO</t>
  </si>
  <si>
    <t>QTD OPERADOR</t>
  </si>
  <si>
    <t>MEDIA AC. EQUIPE</t>
  </si>
  <si>
    <t>META AC. SEPARACAO</t>
  </si>
  <si>
    <t>AC. MINIMA</t>
  </si>
  <si>
    <t>ATINGIMENTO</t>
  </si>
  <si>
    <t>Trim1</t>
  </si>
  <si>
    <t>AVALIAÇÃO PARCIPACAO DEMANDA DE PEDIDOS</t>
  </si>
  <si>
    <t>QTD DE PEDIDOS SEPARADOS</t>
  </si>
  <si>
    <t>META PED SEPARADO</t>
  </si>
  <si>
    <t>PARTICIPACAO MINIMA</t>
  </si>
  <si>
    <t>REPRESENT. OPERADOR</t>
  </si>
  <si>
    <t>QTD UND SEPARADAS</t>
  </si>
  <si>
    <t>META UND SEPARADO</t>
  </si>
  <si>
    <t>QTD MEDIA SKU POR PEDIDO</t>
  </si>
  <si>
    <t>META SKU PEDIDO</t>
  </si>
  <si>
    <t>REPRESENTATIVIDADE</t>
  </si>
  <si>
    <t>ATINGIMENTO META</t>
  </si>
  <si>
    <t>%PARTICIP MINIMA</t>
  </si>
  <si>
    <t>% PARTICIPACAO ATINGIDA</t>
  </si>
  <si>
    <t>DIF SOB META</t>
  </si>
  <si>
    <t>% PARTICIPACAO TOTAL</t>
  </si>
  <si>
    <t>PARTICIPAÇÃO NA DEMANDA DE QTD DE PEDIDOS</t>
  </si>
  <si>
    <t>PARTICIPAÇÃO NA DEMANDA DE QTD UNIDADES SEPARADAS</t>
  </si>
  <si>
    <t>PARTICIPAÇÃO DEMANDA PERFIL DE PEDIDOS</t>
  </si>
  <si>
    <t>ACURACIDADE SEPARACAO</t>
  </si>
  <si>
    <t>PABLYNE</t>
  </si>
  <si>
    <t>ARMANDO</t>
  </si>
  <si>
    <t>RONALDO</t>
  </si>
  <si>
    <t>GUIILHERME HENRIQUE</t>
  </si>
  <si>
    <t>Marileuza</t>
  </si>
  <si>
    <t xml:space="preserve">Ronaldo </t>
  </si>
  <si>
    <t>Igor</t>
  </si>
  <si>
    <t>Pablyne</t>
  </si>
  <si>
    <t xml:space="preserve">JAILSON </t>
  </si>
  <si>
    <t>Armando</t>
  </si>
  <si>
    <t>Wilson</t>
  </si>
  <si>
    <t>Fernando</t>
  </si>
  <si>
    <t>OPERADORES</t>
  </si>
  <si>
    <t xml:space="preserve"> QUANTIDADE DE  PEDIDOS</t>
  </si>
  <si>
    <t>AVALIAÇÃO PARCIPACAO DEMANDA EM UNIDADES</t>
  </si>
  <si>
    <t>QTD UND CONFERIDAS</t>
  </si>
  <si>
    <t>QUANTIDADE DE UNIDADES</t>
  </si>
  <si>
    <t>REPRESENT.OPERADOR</t>
  </si>
  <si>
    <t xml:space="preserve">AVALIAÇÃO PARCIPACAO DEMANDA PERFIL DE PEDIDOS QUANTIDADE DE SKU </t>
  </si>
  <si>
    <t/>
  </si>
  <si>
    <t>AVALIAÇÃO PARCIPACAO DEMANDA ACURACIDADE DE CONFERENCIA</t>
  </si>
  <si>
    <t>DESEMPENHO %</t>
  </si>
  <si>
    <t>META DESEMPENHO %</t>
  </si>
  <si>
    <t>COLABORADOR</t>
  </si>
  <si>
    <t>AVALIAÇÃO MENSAL DESEMPENHO SEPARAÇÃO DE MERCADORIAS  POR COLABORADOR</t>
  </si>
  <si>
    <t>CRITERIO AVALIACAO</t>
  </si>
  <si>
    <t>Joao Vitor</t>
  </si>
  <si>
    <t>JANEIRO</t>
  </si>
  <si>
    <t>JULIA</t>
  </si>
  <si>
    <t>ANA</t>
  </si>
  <si>
    <t>AMANDA</t>
  </si>
  <si>
    <t>JULIO CESAR</t>
  </si>
  <si>
    <t>IOLNDA</t>
  </si>
  <si>
    <t>GABRIEL</t>
  </si>
  <si>
    <t>SINIBALDO</t>
  </si>
  <si>
    <t>RENATO</t>
  </si>
  <si>
    <t>FLAVIO</t>
  </si>
  <si>
    <t>VICTOR</t>
  </si>
  <si>
    <t>VENDEDOR</t>
  </si>
  <si>
    <t>MÊS</t>
  </si>
  <si>
    <t>FATURAMENTO</t>
  </si>
  <si>
    <t>FEVEREIRO</t>
  </si>
  <si>
    <t>FATURAMENTO POR VENDEDOR</t>
  </si>
  <si>
    <t xml:space="preserve">NOVOS CADASTROS </t>
  </si>
  <si>
    <t xml:space="preserve">POSITIVADOS </t>
  </si>
  <si>
    <t>% POSITIVACAO MÊS</t>
  </si>
  <si>
    <t>Soma de FATURAMENTO</t>
  </si>
  <si>
    <t xml:space="preserve">Soma de POSITIVADOS </t>
  </si>
  <si>
    <t>EQUIPE</t>
  </si>
  <si>
    <t>TELEVENDAS</t>
  </si>
  <si>
    <t>EXTERNO</t>
  </si>
  <si>
    <t>MEDFACIL</t>
  </si>
  <si>
    <t>CRESCIMENTO</t>
  </si>
  <si>
    <t>Soma de CRESCIMENTO</t>
  </si>
  <si>
    <t>IOLANDA</t>
  </si>
  <si>
    <t>MAIOR CRESCIMENTO</t>
  </si>
  <si>
    <t>Saldos conciliados (todas as contas)</t>
  </si>
  <si>
    <t xml:space="preserve">Total de Vendas do Mês </t>
  </si>
  <si>
    <t>Total de recebimentos dentro do mês (conciliados)</t>
  </si>
  <si>
    <t>Total de NF de fornecedores do mês</t>
  </si>
  <si>
    <t>(Salários Liquido + Adiantamentos + Encargos)</t>
  </si>
  <si>
    <t>Total de comissões do mês (Vendedores Externos)</t>
  </si>
  <si>
    <t>Total de comissões do mês (Vendedores Internos)</t>
  </si>
  <si>
    <t>Total de impostos pagos (ICMS + Simples Nacional)</t>
  </si>
  <si>
    <t>Total de pagamentos conciliados</t>
  </si>
  <si>
    <t xml:space="preserve">Receita total - deduções - custos e despesas variaveis </t>
  </si>
  <si>
    <t>Lucro antes pagamento dívidas, investimentos e sócio</t>
  </si>
  <si>
    <t>DRE gerencial simplificada</t>
  </si>
  <si>
    <t>Maiores receita por cliente / total de vendas</t>
  </si>
  <si>
    <t>Maiores despesas / total de saídas</t>
  </si>
  <si>
    <t>Títulos vencidos/em atraso (quando houver)</t>
  </si>
  <si>
    <t>Agenda financeira / contas a pagar futuras</t>
  </si>
  <si>
    <t>FORNECEDOR</t>
  </si>
  <si>
    <t xml:space="preserve">VALOR </t>
  </si>
  <si>
    <t xml:space="preserve">FERREIRA E MENDONÇA </t>
  </si>
  <si>
    <t>FARMACIA YANOMELO</t>
  </si>
  <si>
    <t>MORAES REPRESENTAÇÕES</t>
  </si>
  <si>
    <t>RECMED</t>
  </si>
  <si>
    <t xml:space="preserve">VIVA BEM </t>
  </si>
  <si>
    <t xml:space="preserve">DESCRIÇÃO </t>
  </si>
  <si>
    <t>VALOR</t>
  </si>
  <si>
    <t xml:space="preserve">MANUTENÇÃO </t>
  </si>
  <si>
    <t xml:space="preserve">COMPUTADORES E PERIFERICOS </t>
  </si>
  <si>
    <t xml:space="preserve">TARIFAS BANCARIAS </t>
  </si>
  <si>
    <t xml:space="preserve">COMBUSTIVEL </t>
  </si>
  <si>
    <t xml:space="preserve">GASTOS COM VEICULOS </t>
  </si>
  <si>
    <t xml:space="preserve">BASE DADOS FINANCEIRO </t>
  </si>
  <si>
    <t>META</t>
  </si>
  <si>
    <t>REPRES.</t>
  </si>
  <si>
    <t>ATING %</t>
  </si>
  <si>
    <t>OBSERVACOES</t>
  </si>
  <si>
    <t>5 MAIORES RECEITAS MÊS</t>
  </si>
  <si>
    <t>5 MAIORES DESPESAS MÊS</t>
  </si>
  <si>
    <t>(vazio)</t>
  </si>
  <si>
    <t>Soma de VALOR</t>
  </si>
  <si>
    <t>LUCRO BRUT</t>
  </si>
  <si>
    <t>MARGEM</t>
  </si>
  <si>
    <t>VENDAS</t>
  </si>
  <si>
    <t>COMPRAS</t>
  </si>
  <si>
    <t>Qualidade</t>
  </si>
  <si>
    <t>Faturamento</t>
  </si>
  <si>
    <t>Crescimento Faturamento</t>
  </si>
  <si>
    <t>Positivação</t>
  </si>
  <si>
    <t>Conversão de positivação</t>
  </si>
  <si>
    <t>Crescimento de positivação</t>
  </si>
  <si>
    <t>Destaque de crescimento valor</t>
  </si>
  <si>
    <t>Destaque de crescimento positivação</t>
  </si>
  <si>
    <t>Caixa disponível</t>
  </si>
  <si>
    <t>Faturamento Bruto (R$) 1520</t>
  </si>
  <si>
    <t>Entradas totais do mês (R$) 1468 Receita Total</t>
  </si>
  <si>
    <t>Compras totais do mês (R$)  1321</t>
  </si>
  <si>
    <t>Folha de pagamento total (R$)</t>
  </si>
  <si>
    <t>Impostos do Mês 1468</t>
  </si>
  <si>
    <t>Saídas totais do mês (R$) 1136</t>
  </si>
  <si>
    <t xml:space="preserve">Margem de Contribuição </t>
  </si>
  <si>
    <t>Lucro liquido ( regime caixa) 1468</t>
  </si>
  <si>
    <t>Resultado do mês (R$) 1468</t>
  </si>
  <si>
    <t>Top 5 receitas do mês (R$ e %)</t>
  </si>
  <si>
    <t>Top 5 despesas do mês (R$ e %)</t>
  </si>
  <si>
    <t>Inadimplência / atrasos (R$ e qtde)</t>
  </si>
  <si>
    <t>Compromissos do próximo mês (R$)</t>
  </si>
  <si>
    <t>Financeiro</t>
  </si>
  <si>
    <t>Perdas por incineração</t>
  </si>
  <si>
    <t xml:space="preserve">Soma de NOVOS CADASTROS </t>
  </si>
  <si>
    <t>DP</t>
  </si>
  <si>
    <t>Folha de pagamento (%) x Receita</t>
  </si>
  <si>
    <t xml:space="preserve">Salario Funcionarios (OPER.) </t>
  </si>
  <si>
    <t xml:space="preserve">Salario Funcionarios (ADM) </t>
  </si>
  <si>
    <t xml:space="preserve">Horas Extras </t>
  </si>
  <si>
    <t>Férias</t>
  </si>
  <si>
    <t xml:space="preserve">Rescisão </t>
  </si>
  <si>
    <t>JOAO VITOR</t>
  </si>
  <si>
    <t>jan</t>
  </si>
  <si>
    <t>A REALIZAR</t>
  </si>
  <si>
    <t>DIRETORIA</t>
  </si>
  <si>
    <t>RAFAEL</t>
  </si>
  <si>
    <t>RODRIGO</t>
  </si>
  <si>
    <t>KARINY</t>
  </si>
  <si>
    <t>DIFERENÇA</t>
  </si>
  <si>
    <t>PERCT %</t>
  </si>
  <si>
    <t>MARÇO</t>
  </si>
  <si>
    <t>Soma de PREVISTO</t>
  </si>
  <si>
    <t>Soma de REALIZADO</t>
  </si>
  <si>
    <t xml:space="preserve">PREVISTO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</si>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</sst>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mmmm\,\ yyyy;@"/>
    <numFmt numFmtId="166" formatCode="0.0%"/>
    <numFmt numFmtId="167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30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0" applyNumberFormat="1"/>
    <xf numFmtId="0" fontId="3" fillId="0" borderId="0" xfId="4"/>
    <xf numFmtId="1" fontId="0" fillId="0" borderId="0" xfId="2" applyNumberFormat="1" applyFont="1"/>
    <xf numFmtId="10" fontId="0" fillId="0" borderId="0" xfId="3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3" applyFont="1"/>
    <xf numFmtId="0" fontId="0" fillId="0" borderId="0" xfId="0" pivotButton="1"/>
    <xf numFmtId="10" fontId="2" fillId="0" borderId="0" xfId="3" applyNumberFormat="1" applyFont="1"/>
    <xf numFmtId="10" fontId="0" fillId="0" borderId="0" xfId="3" applyNumberFormat="1" applyFont="1" applyAlignment="1"/>
    <xf numFmtId="0" fontId="0" fillId="0" borderId="2" xfId="0" applyBorder="1"/>
    <xf numFmtId="1" fontId="0" fillId="0" borderId="1" xfId="0" applyNumberForma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1" xfId="3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/>
    <xf numFmtId="0" fontId="2" fillId="0" borderId="1" xfId="0" applyFont="1" applyBorder="1"/>
    <xf numFmtId="0" fontId="2" fillId="0" borderId="11" xfId="0" applyFont="1" applyBorder="1"/>
    <xf numFmtId="0" fontId="0" fillId="0" borderId="1" xfId="0" applyBorder="1" applyAlignment="1">
      <alignment horizontal="left" indent="1"/>
    </xf>
    <xf numFmtId="0" fontId="0" fillId="0" borderId="12" xfId="0" applyBorder="1" applyAlignment="1">
      <alignment horizontal="left"/>
    </xf>
    <xf numFmtId="9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left"/>
    </xf>
    <xf numFmtId="9" fontId="0" fillId="0" borderId="15" xfId="0" applyNumberFormat="1" applyBorder="1" applyAlignment="1">
      <alignment horizontal="center"/>
    </xf>
    <xf numFmtId="1" fontId="0" fillId="0" borderId="16" xfId="3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0" xfId="0" applyBorder="1" applyAlignment="1">
      <alignment horizontal="left"/>
    </xf>
    <xf numFmtId="9" fontId="0" fillId="0" borderId="18" xfId="0" applyNumberFormat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1" xfId="0" applyBorder="1"/>
    <xf numFmtId="10" fontId="0" fillId="0" borderId="11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left"/>
    </xf>
    <xf numFmtId="10" fontId="0" fillId="0" borderId="22" xfId="3" applyNumberFormat="1" applyFont="1" applyBorder="1" applyAlignment="1">
      <alignment horizontal="center"/>
    </xf>
    <xf numFmtId="0" fontId="2" fillId="0" borderId="0" xfId="0" applyFont="1"/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0" fontId="2" fillId="0" borderId="11" xfId="3" applyNumberFormat="1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10" fontId="2" fillId="0" borderId="28" xfId="3" applyNumberFormat="1" applyFont="1" applyBorder="1" applyAlignment="1">
      <alignment horizontal="center"/>
    </xf>
    <xf numFmtId="0" fontId="2" fillId="0" borderId="29" xfId="0" applyFont="1" applyBorder="1"/>
    <xf numFmtId="0" fontId="2" fillId="0" borderId="1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30" xfId="0" applyBorder="1"/>
    <xf numFmtId="0" fontId="2" fillId="2" borderId="1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1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left"/>
    </xf>
    <xf numFmtId="0" fontId="2" fillId="0" borderId="0" xfId="0" applyFont="1" applyAlignment="1">
      <alignment horizontal="right"/>
    </xf>
    <xf numFmtId="8" fontId="2" fillId="0" borderId="0" xfId="0" applyNumberFormat="1" applyFont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4" fillId="2" borderId="35" xfId="0" applyFont="1" applyFill="1" applyBorder="1"/>
    <xf numFmtId="0" fontId="2" fillId="0" borderId="36" xfId="0" applyFont="1" applyBorder="1" applyAlignment="1">
      <alignment horizontal="center"/>
    </xf>
    <xf numFmtId="9" fontId="2" fillId="2" borderId="37" xfId="0" applyNumberFormat="1" applyFont="1" applyFill="1" applyBorder="1" applyAlignment="1">
      <alignment horizontal="center"/>
    </xf>
    <xf numFmtId="10" fontId="2" fillId="2" borderId="37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0" fontId="2" fillId="2" borderId="29" xfId="0" applyNumberFormat="1" applyFont="1" applyFill="1" applyBorder="1" applyAlignment="1">
      <alignment vertical="center"/>
    </xf>
    <xf numFmtId="0" fontId="2" fillId="2" borderId="38" xfId="0" applyFont="1" applyFill="1" applyBorder="1" applyAlignment="1">
      <alignment horizontal="left"/>
    </xf>
    <xf numFmtId="0" fontId="4" fillId="2" borderId="37" xfId="0" applyFont="1" applyFill="1" applyBorder="1"/>
    <xf numFmtId="0" fontId="4" fillId="2" borderId="22" xfId="0" applyFont="1" applyFill="1" applyBorder="1"/>
    <xf numFmtId="10" fontId="2" fillId="2" borderId="39" xfId="0" applyNumberFormat="1" applyFont="1" applyFill="1" applyBorder="1" applyAlignment="1">
      <alignment vertical="center"/>
    </xf>
    <xf numFmtId="0" fontId="4" fillId="2" borderId="40" xfId="0" applyFont="1" applyFill="1" applyBorder="1"/>
    <xf numFmtId="0" fontId="4" fillId="2" borderId="41" xfId="0" applyFont="1" applyFill="1" applyBorder="1"/>
    <xf numFmtId="0" fontId="2" fillId="0" borderId="42" xfId="0" applyFont="1" applyBorder="1" applyAlignment="1">
      <alignment horizontal="center"/>
    </xf>
    <xf numFmtId="9" fontId="2" fillId="2" borderId="40" xfId="0" applyNumberFormat="1" applyFont="1" applyFill="1" applyBorder="1" applyAlignment="1">
      <alignment horizontal="center"/>
    </xf>
    <xf numFmtId="10" fontId="2" fillId="2" borderId="26" xfId="0" applyNumberFormat="1" applyFont="1" applyFill="1" applyBorder="1" applyAlignment="1">
      <alignment horizontal="center"/>
    </xf>
    <xf numFmtId="10" fontId="2" fillId="2" borderId="43" xfId="0" applyNumberFormat="1" applyFont="1" applyFill="1" applyBorder="1" applyAlignment="1">
      <alignment vertical="center"/>
    </xf>
    <xf numFmtId="0" fontId="2" fillId="3" borderId="38" xfId="0" applyFont="1" applyFill="1" applyBorder="1" applyAlignment="1">
      <alignment horizontal="left"/>
    </xf>
    <xf numFmtId="0" fontId="4" fillId="3" borderId="36" xfId="0" applyFont="1" applyFill="1" applyBorder="1"/>
    <xf numFmtId="0" fontId="4" fillId="3" borderId="35" xfId="0" applyFont="1" applyFill="1" applyBorder="1"/>
    <xf numFmtId="9" fontId="2" fillId="3" borderId="36" xfId="0" applyNumberFormat="1" applyFont="1" applyFill="1" applyBorder="1" applyAlignment="1">
      <alignment horizontal="center"/>
    </xf>
    <xf numFmtId="10" fontId="2" fillId="3" borderId="36" xfId="0" applyNumberFormat="1" applyFont="1" applyFill="1" applyBorder="1" applyAlignment="1">
      <alignment horizontal="center"/>
    </xf>
    <xf numFmtId="10" fontId="2" fillId="3" borderId="44" xfId="0" applyNumberFormat="1" applyFont="1" applyFill="1" applyBorder="1" applyAlignment="1">
      <alignment horizontal="center"/>
    </xf>
    <xf numFmtId="10" fontId="2" fillId="3" borderId="45" xfId="0" applyNumberFormat="1" applyFont="1" applyFill="1" applyBorder="1" applyAlignment="1">
      <alignment vertical="center"/>
    </xf>
    <xf numFmtId="0" fontId="4" fillId="3" borderId="37" xfId="0" applyFont="1" applyFill="1" applyBorder="1"/>
    <xf numFmtId="0" fontId="4" fillId="3" borderId="22" xfId="0" applyFont="1" applyFill="1" applyBorder="1"/>
    <xf numFmtId="10" fontId="2" fillId="3" borderId="37" xfId="0" applyNumberFormat="1" applyFont="1" applyFill="1" applyBorder="1" applyAlignment="1">
      <alignment horizontal="center"/>
    </xf>
    <xf numFmtId="10" fontId="2" fillId="3" borderId="26" xfId="0" applyNumberFormat="1" applyFont="1" applyFill="1" applyBorder="1" applyAlignment="1">
      <alignment horizontal="center"/>
    </xf>
    <xf numFmtId="10" fontId="2" fillId="3" borderId="39" xfId="0" applyNumberFormat="1" applyFont="1" applyFill="1" applyBorder="1" applyAlignment="1">
      <alignment vertical="center"/>
    </xf>
    <xf numFmtId="0" fontId="4" fillId="3" borderId="40" xfId="0" applyFont="1" applyFill="1" applyBorder="1"/>
    <xf numFmtId="0" fontId="4" fillId="3" borderId="41" xfId="0" applyFont="1" applyFill="1" applyBorder="1"/>
    <xf numFmtId="9" fontId="2" fillId="3" borderId="40" xfId="0" applyNumberFormat="1" applyFont="1" applyFill="1" applyBorder="1" applyAlignment="1">
      <alignment horizontal="center"/>
    </xf>
    <xf numFmtId="166" fontId="2" fillId="3" borderId="40" xfId="0" applyNumberFormat="1" applyFont="1" applyFill="1" applyBorder="1" applyAlignment="1">
      <alignment horizontal="center"/>
    </xf>
    <xf numFmtId="10" fontId="2" fillId="3" borderId="43" xfId="0" applyNumberFormat="1" applyFont="1" applyFill="1" applyBorder="1" applyAlignment="1">
      <alignment vertical="center"/>
    </xf>
    <xf numFmtId="0" fontId="2" fillId="4" borderId="38" xfId="0" applyFont="1" applyFill="1" applyBorder="1" applyAlignment="1">
      <alignment horizontal="left"/>
    </xf>
    <xf numFmtId="0" fontId="4" fillId="4" borderId="36" xfId="0" applyFont="1" applyFill="1" applyBorder="1"/>
    <xf numFmtId="0" fontId="4" fillId="4" borderId="35" xfId="0" applyFont="1" applyFill="1" applyBorder="1"/>
    <xf numFmtId="9" fontId="2" fillId="4" borderId="36" xfId="0" applyNumberFormat="1" applyFont="1" applyFill="1" applyBorder="1" applyAlignment="1">
      <alignment horizontal="center"/>
    </xf>
    <xf numFmtId="10" fontId="2" fillId="4" borderId="36" xfId="0" applyNumberFormat="1" applyFont="1" applyFill="1" applyBorder="1" applyAlignment="1">
      <alignment horizontal="center"/>
    </xf>
    <xf numFmtId="10" fontId="2" fillId="4" borderId="26" xfId="0" applyNumberFormat="1" applyFont="1" applyFill="1" applyBorder="1" applyAlignment="1">
      <alignment horizontal="center"/>
    </xf>
    <xf numFmtId="10" fontId="2" fillId="4" borderId="45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horizontal="left"/>
    </xf>
    <xf numFmtId="0" fontId="4" fillId="4" borderId="37" xfId="0" applyFont="1" applyFill="1" applyBorder="1"/>
    <xf numFmtId="0" fontId="4" fillId="4" borderId="22" xfId="0" applyFont="1" applyFill="1" applyBorder="1"/>
    <xf numFmtId="10" fontId="2" fillId="4" borderId="37" xfId="0" applyNumberFormat="1" applyFont="1" applyFill="1" applyBorder="1" applyAlignment="1">
      <alignment horizontal="center"/>
    </xf>
    <xf numFmtId="10" fontId="2" fillId="4" borderId="39" xfId="0" applyNumberFormat="1" applyFont="1" applyFill="1" applyBorder="1" applyAlignment="1">
      <alignment vertical="center"/>
    </xf>
    <xf numFmtId="0" fontId="2" fillId="4" borderId="46" xfId="0" applyFont="1" applyFill="1" applyBorder="1" applyAlignment="1">
      <alignment horizontal="left"/>
    </xf>
    <xf numFmtId="0" fontId="4" fillId="4" borderId="40" xfId="0" applyFont="1" applyFill="1" applyBorder="1"/>
    <xf numFmtId="0" fontId="4" fillId="4" borderId="41" xfId="0" applyFont="1" applyFill="1" applyBorder="1"/>
    <xf numFmtId="9" fontId="2" fillId="4" borderId="40" xfId="0" applyNumberFormat="1" applyFont="1" applyFill="1" applyBorder="1" applyAlignment="1">
      <alignment horizontal="center"/>
    </xf>
    <xf numFmtId="10" fontId="2" fillId="4" borderId="43" xfId="0" applyNumberFormat="1" applyFont="1" applyFill="1" applyBorder="1" applyAlignment="1">
      <alignment vertical="center"/>
    </xf>
    <xf numFmtId="0" fontId="2" fillId="5" borderId="38" xfId="0" applyFont="1" applyFill="1" applyBorder="1" applyAlignment="1">
      <alignment horizontal="left"/>
    </xf>
    <xf numFmtId="0" fontId="4" fillId="5" borderId="36" xfId="0" applyFont="1" applyFill="1" applyBorder="1"/>
    <xf numFmtId="0" fontId="4" fillId="5" borderId="35" xfId="0" applyFont="1" applyFill="1" applyBorder="1"/>
    <xf numFmtId="0" fontId="2" fillId="5" borderId="36" xfId="0" applyFont="1" applyFill="1" applyBorder="1" applyAlignment="1">
      <alignment horizontal="center"/>
    </xf>
    <xf numFmtId="9" fontId="2" fillId="5" borderId="36" xfId="0" applyNumberFormat="1" applyFont="1" applyFill="1" applyBorder="1" applyAlignment="1">
      <alignment horizontal="center"/>
    </xf>
    <xf numFmtId="10" fontId="2" fillId="5" borderId="36" xfId="0" applyNumberFormat="1" applyFont="1" applyFill="1" applyBorder="1" applyAlignment="1">
      <alignment horizontal="center"/>
    </xf>
    <xf numFmtId="10" fontId="2" fillId="5" borderId="26" xfId="0" applyNumberFormat="1" applyFont="1" applyFill="1" applyBorder="1" applyAlignment="1">
      <alignment horizontal="center"/>
    </xf>
    <xf numFmtId="10" fontId="2" fillId="5" borderId="45" xfId="0" applyNumberFormat="1" applyFont="1" applyFill="1" applyBorder="1" applyAlignment="1">
      <alignment vertical="center"/>
    </xf>
    <xf numFmtId="0" fontId="4" fillId="5" borderId="37" xfId="0" applyFont="1" applyFill="1" applyBorder="1"/>
    <xf numFmtId="0" fontId="4" fillId="5" borderId="22" xfId="0" applyFont="1" applyFill="1" applyBorder="1"/>
    <xf numFmtId="10" fontId="2" fillId="5" borderId="37" xfId="0" applyNumberFormat="1" applyFont="1" applyFill="1" applyBorder="1" applyAlignment="1">
      <alignment horizontal="center"/>
    </xf>
    <xf numFmtId="10" fontId="2" fillId="5" borderId="39" xfId="0" applyNumberFormat="1" applyFont="1" applyFill="1" applyBorder="1" applyAlignment="1">
      <alignment vertical="center"/>
    </xf>
    <xf numFmtId="0" fontId="2" fillId="5" borderId="47" xfId="0" applyFont="1" applyFill="1" applyBorder="1" applyAlignment="1">
      <alignment horizontal="left"/>
    </xf>
    <xf numFmtId="0" fontId="4" fillId="5" borderId="40" xfId="0" applyFont="1" applyFill="1" applyBorder="1"/>
    <xf numFmtId="0" fontId="4" fillId="5" borderId="41" xfId="0" applyFont="1" applyFill="1" applyBorder="1"/>
    <xf numFmtId="0" fontId="2" fillId="5" borderId="42" xfId="0" applyFont="1" applyFill="1" applyBorder="1" applyAlignment="1">
      <alignment horizontal="center"/>
    </xf>
    <xf numFmtId="9" fontId="2" fillId="5" borderId="40" xfId="0" applyNumberFormat="1" applyFont="1" applyFill="1" applyBorder="1" applyAlignment="1">
      <alignment horizontal="center"/>
    </xf>
    <xf numFmtId="10" fontId="2" fillId="5" borderId="43" xfId="0" applyNumberFormat="1" applyFont="1" applyFill="1" applyBorder="1" applyAlignment="1">
      <alignment vertical="center"/>
    </xf>
    <xf numFmtId="0" fontId="2" fillId="6" borderId="38" xfId="0" applyFont="1" applyFill="1" applyBorder="1" applyAlignment="1">
      <alignment horizontal="left"/>
    </xf>
    <xf numFmtId="0" fontId="4" fillId="6" borderId="36" xfId="0" applyFont="1" applyFill="1" applyBorder="1"/>
    <xf numFmtId="0" fontId="4" fillId="6" borderId="35" xfId="0" applyFont="1" applyFill="1" applyBorder="1"/>
    <xf numFmtId="9" fontId="2" fillId="6" borderId="36" xfId="0" applyNumberFormat="1" applyFont="1" applyFill="1" applyBorder="1" applyAlignment="1">
      <alignment horizontal="center"/>
    </xf>
    <xf numFmtId="10" fontId="2" fillId="6" borderId="36" xfId="0" applyNumberFormat="1" applyFont="1" applyFill="1" applyBorder="1" applyAlignment="1">
      <alignment horizontal="center"/>
    </xf>
    <xf numFmtId="10" fontId="2" fillId="6" borderId="26" xfId="0" applyNumberFormat="1" applyFont="1" applyFill="1" applyBorder="1" applyAlignment="1">
      <alignment horizontal="center"/>
    </xf>
    <xf numFmtId="10" fontId="2" fillId="6" borderId="45" xfId="0" applyNumberFormat="1" applyFont="1" applyFill="1" applyBorder="1" applyAlignment="1">
      <alignment vertical="center"/>
    </xf>
    <xf numFmtId="0" fontId="4" fillId="6" borderId="37" xfId="0" applyFont="1" applyFill="1" applyBorder="1"/>
    <xf numFmtId="0" fontId="4" fillId="6" borderId="22" xfId="0" applyFont="1" applyFill="1" applyBorder="1"/>
    <xf numFmtId="10" fontId="2" fillId="6" borderId="37" xfId="0" applyNumberFormat="1" applyFont="1" applyFill="1" applyBorder="1" applyAlignment="1">
      <alignment horizontal="center"/>
    </xf>
    <xf numFmtId="10" fontId="2" fillId="6" borderId="39" xfId="0" applyNumberFormat="1" applyFont="1" applyFill="1" applyBorder="1" applyAlignment="1">
      <alignment vertical="center"/>
    </xf>
    <xf numFmtId="0" fontId="2" fillId="6" borderId="47" xfId="0" applyFont="1" applyFill="1" applyBorder="1" applyAlignment="1">
      <alignment horizontal="left"/>
    </xf>
    <xf numFmtId="0" fontId="4" fillId="6" borderId="40" xfId="0" applyFont="1" applyFill="1" applyBorder="1"/>
    <xf numFmtId="0" fontId="4" fillId="6" borderId="41" xfId="0" applyFont="1" applyFill="1" applyBorder="1"/>
    <xf numFmtId="9" fontId="2" fillId="6" borderId="40" xfId="0" applyNumberFormat="1" applyFont="1" applyFill="1" applyBorder="1" applyAlignment="1">
      <alignment horizontal="center"/>
    </xf>
    <xf numFmtId="10" fontId="2" fillId="6" borderId="43" xfId="0" applyNumberFormat="1" applyFont="1" applyFill="1" applyBorder="1" applyAlignment="1">
      <alignment vertical="center"/>
    </xf>
    <xf numFmtId="0" fontId="2" fillId="7" borderId="38" xfId="0" applyFont="1" applyFill="1" applyBorder="1" applyAlignment="1">
      <alignment horizontal="left"/>
    </xf>
    <xf numFmtId="0" fontId="4" fillId="7" borderId="36" xfId="0" applyFont="1" applyFill="1" applyBorder="1"/>
    <xf numFmtId="0" fontId="4" fillId="7" borderId="35" xfId="0" applyFont="1" applyFill="1" applyBorder="1"/>
    <xf numFmtId="9" fontId="2" fillId="7" borderId="36" xfId="0" applyNumberFormat="1" applyFont="1" applyFill="1" applyBorder="1" applyAlignment="1">
      <alignment horizontal="center"/>
    </xf>
    <xf numFmtId="10" fontId="2" fillId="7" borderId="36" xfId="0" applyNumberFormat="1" applyFont="1" applyFill="1" applyBorder="1" applyAlignment="1">
      <alignment horizontal="center"/>
    </xf>
    <xf numFmtId="10" fontId="2" fillId="7" borderId="26" xfId="0" applyNumberFormat="1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vertical="center"/>
    </xf>
    <xf numFmtId="0" fontId="4" fillId="7" borderId="37" xfId="0" applyFont="1" applyFill="1" applyBorder="1"/>
    <xf numFmtId="0" fontId="4" fillId="7" borderId="22" xfId="0" applyFont="1" applyFill="1" applyBorder="1"/>
    <xf numFmtId="10" fontId="2" fillId="7" borderId="37" xfId="0" applyNumberFormat="1" applyFont="1" applyFill="1" applyBorder="1" applyAlignment="1">
      <alignment horizontal="center"/>
    </xf>
    <xf numFmtId="10" fontId="2" fillId="7" borderId="39" xfId="0" applyNumberFormat="1" applyFont="1" applyFill="1" applyBorder="1" applyAlignment="1">
      <alignment vertical="center"/>
    </xf>
    <xf numFmtId="0" fontId="2" fillId="7" borderId="47" xfId="0" applyFont="1" applyFill="1" applyBorder="1" applyAlignment="1">
      <alignment horizontal="left"/>
    </xf>
    <xf numFmtId="0" fontId="4" fillId="7" borderId="40" xfId="0" applyFont="1" applyFill="1" applyBorder="1"/>
    <xf numFmtId="0" fontId="4" fillId="7" borderId="41" xfId="0" applyFont="1" applyFill="1" applyBorder="1"/>
    <xf numFmtId="9" fontId="2" fillId="7" borderId="40" xfId="0" applyNumberFormat="1" applyFont="1" applyFill="1" applyBorder="1" applyAlignment="1">
      <alignment horizontal="center"/>
    </xf>
    <xf numFmtId="10" fontId="2" fillId="7" borderId="43" xfId="0" applyNumberFormat="1" applyFont="1" applyFill="1" applyBorder="1" applyAlignment="1">
      <alignment vertical="center"/>
    </xf>
    <xf numFmtId="0" fontId="2" fillId="8" borderId="38" xfId="0" applyFont="1" applyFill="1" applyBorder="1" applyAlignment="1">
      <alignment horizontal="left"/>
    </xf>
    <xf numFmtId="0" fontId="4" fillId="8" borderId="36" xfId="0" applyFont="1" applyFill="1" applyBorder="1"/>
    <xf numFmtId="0" fontId="4" fillId="8" borderId="35" xfId="0" applyFont="1" applyFill="1" applyBorder="1"/>
    <xf numFmtId="9" fontId="2" fillId="8" borderId="36" xfId="0" applyNumberFormat="1" applyFont="1" applyFill="1" applyBorder="1" applyAlignment="1">
      <alignment horizontal="center"/>
    </xf>
    <xf numFmtId="10" fontId="2" fillId="8" borderId="36" xfId="0" applyNumberFormat="1" applyFont="1" applyFill="1" applyBorder="1" applyAlignment="1">
      <alignment horizontal="center"/>
    </xf>
    <xf numFmtId="10" fontId="2" fillId="8" borderId="26" xfId="0" applyNumberFormat="1" applyFont="1" applyFill="1" applyBorder="1" applyAlignment="1">
      <alignment horizontal="center"/>
    </xf>
    <xf numFmtId="10" fontId="2" fillId="8" borderId="45" xfId="0" applyNumberFormat="1" applyFont="1" applyFill="1" applyBorder="1" applyAlignment="1">
      <alignment vertical="center"/>
    </xf>
    <xf numFmtId="0" fontId="4" fillId="8" borderId="37" xfId="0" applyFont="1" applyFill="1" applyBorder="1"/>
    <xf numFmtId="0" fontId="4" fillId="8" borderId="22" xfId="0" applyFont="1" applyFill="1" applyBorder="1"/>
    <xf numFmtId="10" fontId="2" fillId="8" borderId="37" xfId="0" applyNumberFormat="1" applyFont="1" applyFill="1" applyBorder="1" applyAlignment="1">
      <alignment horizontal="center"/>
    </xf>
    <xf numFmtId="10" fontId="2" fillId="8" borderId="39" xfId="0" applyNumberFormat="1" applyFont="1" applyFill="1" applyBorder="1" applyAlignment="1">
      <alignment vertical="center"/>
    </xf>
    <xf numFmtId="0" fontId="2" fillId="8" borderId="47" xfId="0" applyFont="1" applyFill="1" applyBorder="1" applyAlignment="1">
      <alignment horizontal="left"/>
    </xf>
    <xf numFmtId="0" fontId="4" fillId="8" borderId="40" xfId="0" applyFont="1" applyFill="1" applyBorder="1"/>
    <xf numFmtId="0" fontId="4" fillId="8" borderId="41" xfId="0" applyFont="1" applyFill="1" applyBorder="1"/>
    <xf numFmtId="9" fontId="2" fillId="8" borderId="40" xfId="0" applyNumberFormat="1" applyFont="1" applyFill="1" applyBorder="1" applyAlignment="1">
      <alignment horizontal="center"/>
    </xf>
    <xf numFmtId="10" fontId="2" fillId="8" borderId="40" xfId="0" applyNumberFormat="1" applyFont="1" applyFill="1" applyBorder="1" applyAlignment="1">
      <alignment horizontal="center"/>
    </xf>
    <xf numFmtId="10" fontId="2" fillId="8" borderId="43" xfId="0" applyNumberFormat="1" applyFont="1" applyFill="1" applyBorder="1" applyAlignment="1">
      <alignment vertical="center"/>
    </xf>
    <xf numFmtId="0" fontId="2" fillId="9" borderId="38" xfId="0" applyFont="1" applyFill="1" applyBorder="1" applyAlignment="1">
      <alignment horizontal="left"/>
    </xf>
    <xf numFmtId="0" fontId="4" fillId="9" borderId="36" xfId="0" applyFont="1" applyFill="1" applyBorder="1"/>
    <xf numFmtId="0" fontId="4" fillId="9" borderId="35" xfId="0" applyFont="1" applyFill="1" applyBorder="1"/>
    <xf numFmtId="9" fontId="2" fillId="9" borderId="36" xfId="0" applyNumberFormat="1" applyFont="1" applyFill="1" applyBorder="1" applyAlignment="1">
      <alignment horizontal="center"/>
    </xf>
    <xf numFmtId="10" fontId="2" fillId="9" borderId="36" xfId="0" applyNumberFormat="1" applyFont="1" applyFill="1" applyBorder="1" applyAlignment="1">
      <alignment horizontal="center"/>
    </xf>
    <xf numFmtId="10" fontId="2" fillId="9" borderId="26" xfId="0" applyNumberFormat="1" applyFont="1" applyFill="1" applyBorder="1" applyAlignment="1">
      <alignment horizontal="center"/>
    </xf>
    <xf numFmtId="10" fontId="2" fillId="9" borderId="45" xfId="0" applyNumberFormat="1" applyFont="1" applyFill="1" applyBorder="1" applyAlignment="1">
      <alignment vertical="center"/>
    </xf>
    <xf numFmtId="0" fontId="4" fillId="9" borderId="37" xfId="0" applyFont="1" applyFill="1" applyBorder="1"/>
    <xf numFmtId="0" fontId="4" fillId="9" borderId="22" xfId="0" applyFont="1" applyFill="1" applyBorder="1"/>
    <xf numFmtId="10" fontId="2" fillId="9" borderId="37" xfId="0" applyNumberFormat="1" applyFont="1" applyFill="1" applyBorder="1" applyAlignment="1">
      <alignment horizontal="center"/>
    </xf>
    <xf numFmtId="10" fontId="2" fillId="9" borderId="39" xfId="0" applyNumberFormat="1" applyFont="1" applyFill="1" applyBorder="1" applyAlignment="1">
      <alignment vertical="center"/>
    </xf>
    <xf numFmtId="0" fontId="2" fillId="9" borderId="47" xfId="0" applyFont="1" applyFill="1" applyBorder="1" applyAlignment="1">
      <alignment horizontal="left"/>
    </xf>
    <xf numFmtId="0" fontId="4" fillId="9" borderId="40" xfId="0" applyFont="1" applyFill="1" applyBorder="1"/>
    <xf numFmtId="0" fontId="4" fillId="9" borderId="41" xfId="0" applyFont="1" applyFill="1" applyBorder="1"/>
    <xf numFmtId="9" fontId="2" fillId="9" borderId="40" xfId="0" applyNumberFormat="1" applyFont="1" applyFill="1" applyBorder="1" applyAlignment="1">
      <alignment horizontal="center"/>
    </xf>
    <xf numFmtId="10" fontId="2" fillId="9" borderId="40" xfId="0" applyNumberFormat="1" applyFont="1" applyFill="1" applyBorder="1" applyAlignment="1">
      <alignment horizontal="center"/>
    </xf>
    <xf numFmtId="10" fontId="2" fillId="9" borderId="43" xfId="0" applyNumberFormat="1" applyFont="1" applyFill="1" applyBorder="1" applyAlignment="1">
      <alignment vertical="center"/>
    </xf>
    <xf numFmtId="0" fontId="2" fillId="10" borderId="38" xfId="0" applyFont="1" applyFill="1" applyBorder="1" applyAlignment="1">
      <alignment horizontal="left"/>
    </xf>
    <xf numFmtId="0" fontId="4" fillId="10" borderId="36" xfId="0" applyFont="1" applyFill="1" applyBorder="1"/>
    <xf numFmtId="0" fontId="4" fillId="10" borderId="35" xfId="0" applyFont="1" applyFill="1" applyBorder="1"/>
    <xf numFmtId="9" fontId="2" fillId="10" borderId="36" xfId="0" applyNumberFormat="1" applyFont="1" applyFill="1" applyBorder="1" applyAlignment="1">
      <alignment horizontal="center"/>
    </xf>
    <xf numFmtId="10" fontId="2" fillId="10" borderId="36" xfId="0" applyNumberFormat="1" applyFont="1" applyFill="1" applyBorder="1" applyAlignment="1">
      <alignment horizontal="center"/>
    </xf>
    <xf numFmtId="10" fontId="2" fillId="10" borderId="26" xfId="0" applyNumberFormat="1" applyFont="1" applyFill="1" applyBorder="1" applyAlignment="1">
      <alignment horizontal="center"/>
    </xf>
    <xf numFmtId="10" fontId="2" fillId="10" borderId="45" xfId="0" applyNumberFormat="1" applyFont="1" applyFill="1" applyBorder="1" applyAlignment="1">
      <alignment vertical="center"/>
    </xf>
    <xf numFmtId="0" fontId="4" fillId="10" borderId="37" xfId="0" applyFont="1" applyFill="1" applyBorder="1"/>
    <xf numFmtId="0" fontId="4" fillId="10" borderId="22" xfId="0" applyFont="1" applyFill="1" applyBorder="1"/>
    <xf numFmtId="10" fontId="2" fillId="10" borderId="37" xfId="0" applyNumberFormat="1" applyFont="1" applyFill="1" applyBorder="1" applyAlignment="1">
      <alignment horizontal="center"/>
    </xf>
    <xf numFmtId="10" fontId="2" fillId="10" borderId="39" xfId="0" applyNumberFormat="1" applyFont="1" applyFill="1" applyBorder="1" applyAlignment="1">
      <alignment vertical="center"/>
    </xf>
    <xf numFmtId="0" fontId="2" fillId="10" borderId="47" xfId="0" applyFont="1" applyFill="1" applyBorder="1" applyAlignment="1">
      <alignment horizontal="left"/>
    </xf>
    <xf numFmtId="0" fontId="4" fillId="10" borderId="40" xfId="0" applyFont="1" applyFill="1" applyBorder="1"/>
    <xf numFmtId="0" fontId="4" fillId="10" borderId="41" xfId="0" applyFont="1" applyFill="1" applyBorder="1"/>
    <xf numFmtId="9" fontId="2" fillId="10" borderId="40" xfId="0" applyNumberFormat="1" applyFont="1" applyFill="1" applyBorder="1" applyAlignment="1">
      <alignment horizontal="center"/>
    </xf>
    <xf numFmtId="10" fontId="2" fillId="10" borderId="43" xfId="0" applyNumberFormat="1" applyFont="1" applyFill="1" applyBorder="1" applyAlignment="1">
      <alignment vertical="center"/>
    </xf>
    <xf numFmtId="0" fontId="0" fillId="0" borderId="10" xfId="0" pivotButton="1" applyBorder="1"/>
    <xf numFmtId="0" fontId="0" fillId="0" borderId="1" xfId="0" pivotButton="1" applyBorder="1"/>
    <xf numFmtId="0" fontId="0" fillId="0" borderId="30" xfId="0" pivotButton="1" applyBorder="1"/>
    <xf numFmtId="0" fontId="2" fillId="0" borderId="10" xfId="0" pivotButton="1" applyFont="1" applyBorder="1"/>
    <xf numFmtId="0" fontId="0" fillId="0" borderId="10" xfId="0" pivotButton="1" applyBorder="1" applyAlignment="1">
      <alignment horizontal="center"/>
    </xf>
    <xf numFmtId="0" fontId="0" fillId="0" borderId="30" xfId="0" applyBorder="1" applyAlignment="1">
      <alignment horizontal="right"/>
    </xf>
    <xf numFmtId="0" fontId="0" fillId="0" borderId="15" xfId="0" applyBorder="1" applyAlignment="1">
      <alignment horizontal="right"/>
    </xf>
    <xf numFmtId="10" fontId="0" fillId="0" borderId="0" xfId="3" applyNumberFormat="1" applyFont="1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left"/>
    </xf>
    <xf numFmtId="9" fontId="0" fillId="0" borderId="11" xfId="3" applyFont="1" applyBorder="1" applyAlignment="1">
      <alignment horizontal="center"/>
    </xf>
    <xf numFmtId="0" fontId="0" fillId="0" borderId="0" xfId="0" quotePrefix="1"/>
    <xf numFmtId="10" fontId="2" fillId="0" borderId="1" xfId="0" applyNumberFormat="1" applyFont="1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" fillId="0" borderId="48" xfId="0" applyFont="1" applyBorder="1" applyAlignment="1">
      <alignment horizontal="left"/>
    </xf>
    <xf numFmtId="0" fontId="0" fillId="0" borderId="15" xfId="0" pivotButton="1" applyBorder="1"/>
    <xf numFmtId="1" fontId="0" fillId="0" borderId="0" xfId="0" applyNumberFormat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/>
    <xf numFmtId="0" fontId="7" fillId="0" borderId="22" xfId="0" applyFont="1" applyBorder="1"/>
    <xf numFmtId="0" fontId="7" fillId="2" borderId="32" xfId="0" applyFont="1" applyFill="1" applyBorder="1"/>
    <xf numFmtId="0" fontId="7" fillId="0" borderId="49" xfId="0" applyFont="1" applyBorder="1"/>
    <xf numFmtId="49" fontId="5" fillId="11" borderId="28" xfId="0" applyNumberFormat="1" applyFont="1" applyFill="1" applyBorder="1"/>
    <xf numFmtId="0" fontId="8" fillId="2" borderId="50" xfId="0" applyFont="1" applyFill="1" applyBorder="1"/>
    <xf numFmtId="0" fontId="8" fillId="2" borderId="31" xfId="0" applyFont="1" applyFill="1" applyBorder="1"/>
    <xf numFmtId="0" fontId="8" fillId="2" borderId="1" xfId="0" applyFont="1" applyFill="1" applyBorder="1"/>
    <xf numFmtId="1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167" fontId="0" fillId="0" borderId="0" xfId="0" applyNumberFormat="1"/>
    <xf numFmtId="0" fontId="2" fillId="0" borderId="22" xfId="0" applyFont="1" applyBorder="1"/>
    <xf numFmtId="0" fontId="5" fillId="2" borderId="50" xfId="0" applyFont="1" applyFill="1" applyBorder="1"/>
    <xf numFmtId="0" fontId="2" fillId="0" borderId="52" xfId="0" applyFont="1" applyBorder="1"/>
    <xf numFmtId="0" fontId="2" fillId="0" borderId="49" xfId="0" applyFont="1" applyBorder="1"/>
    <xf numFmtId="167" fontId="0" fillId="0" borderId="1" xfId="0" applyNumberFormat="1" applyBorder="1"/>
    <xf numFmtId="0" fontId="0" fillId="0" borderId="22" xfId="0" applyBorder="1" applyAlignment="1">
      <alignment horizontal="left"/>
    </xf>
    <xf numFmtId="10" fontId="0" fillId="0" borderId="37" xfId="3" applyNumberFormat="1" applyFont="1" applyBorder="1"/>
    <xf numFmtId="0" fontId="7" fillId="2" borderId="52" xfId="0" applyFont="1" applyFill="1" applyBorder="1"/>
    <xf numFmtId="0" fontId="7" fillId="2" borderId="33" xfId="0" applyFont="1" applyFill="1" applyBorder="1"/>
    <xf numFmtId="0" fontId="0" fillId="0" borderId="49" xfId="0" applyBorder="1" applyAlignment="1">
      <alignment horizontal="left"/>
    </xf>
    <xf numFmtId="167" fontId="0" fillId="0" borderId="28" xfId="0" applyNumberFormat="1" applyBorder="1"/>
    <xf numFmtId="10" fontId="0" fillId="0" borderId="51" xfId="3" applyNumberFormat="1" applyFont="1" applyBorder="1"/>
    <xf numFmtId="9" fontId="0" fillId="0" borderId="0" xfId="3" applyFont="1" applyAlignment="1">
      <alignment horizontal="center"/>
    </xf>
    <xf numFmtId="0" fontId="11" fillId="12" borderId="1" xfId="0" applyFont="1" applyFill="1" applyBorder="1" applyAlignment="1">
      <alignment horizontal="center" vertical="top" wrapText="1"/>
    </xf>
    <xf numFmtId="44" fontId="0" fillId="0" borderId="1" xfId="0" applyNumberFormat="1" applyBorder="1"/>
    <xf numFmtId="44" fontId="2" fillId="0" borderId="0" xfId="0" applyNumberFormat="1" applyFont="1"/>
    <xf numFmtId="167" fontId="10" fillId="0" borderId="1" xfId="0" applyNumberFormat="1" applyFont="1" applyBorder="1" applyAlignment="1">
      <alignment vertical="top" wrapText="1"/>
    </xf>
    <xf numFmtId="44" fontId="10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7" fillId="10" borderId="1" xfId="0" applyFont="1" applyFill="1" applyBorder="1"/>
    <xf numFmtId="0" fontId="0" fillId="11" borderId="0" xfId="0" applyFill="1"/>
    <xf numFmtId="0" fontId="11" fillId="11" borderId="0" xfId="0" applyFont="1" applyFill="1" applyAlignment="1">
      <alignment horizontal="center" vertical="top" wrapText="1"/>
    </xf>
    <xf numFmtId="44" fontId="0" fillId="11" borderId="0" xfId="0" applyNumberFormat="1" applyFill="1"/>
    <xf numFmtId="44" fontId="2" fillId="11" borderId="0" xfId="0" applyNumberFormat="1" applyFont="1" applyFill="1"/>
    <xf numFmtId="10" fontId="0" fillId="0" borderId="1" xfId="3" applyNumberFormat="1" applyFont="1" applyBorder="1"/>
    <xf numFmtId="0" fontId="0" fillId="0" borderId="23" xfId="0" applyBorder="1" applyAlignment="1">
      <alignment horizontal="center"/>
    </xf>
    <xf numFmtId="0" fontId="2" fillId="0" borderId="27" xfId="0" applyFont="1" applyBorder="1" applyAlignment="1">
      <alignment horizontal="center"/>
    </xf>
    <xf numFmtId="1" fontId="6" fillId="0" borderId="1" xfId="3" applyNumberFormat="1" applyFont="1" applyFill="1" applyBorder="1" applyAlignment="1">
      <alignment horizontal="center" vertical="center"/>
    </xf>
    <xf numFmtId="0" fontId="13" fillId="0" borderId="49" xfId="0" applyFont="1" applyBorder="1"/>
    <xf numFmtId="167" fontId="6" fillId="0" borderId="28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67" fontId="0" fillId="0" borderId="0" xfId="3" applyNumberFormat="1" applyFont="1"/>
    <xf numFmtId="0" fontId="0" fillId="0" borderId="0" xfId="0" applyAlignment="1">
      <alignment horizontal="right"/>
    </xf>
    <xf numFmtId="44" fontId="0" fillId="0" borderId="0" xfId="0" applyNumberFormat="1"/>
    <xf numFmtId="14" fontId="0" fillId="0" borderId="53" xfId="0" applyNumberFormat="1" applyBorder="1"/>
    <xf numFmtId="0" fontId="0" fillId="0" borderId="53" xfId="0" applyBorder="1"/>
    <xf numFmtId="44" fontId="0" fillId="0" borderId="53" xfId="1" applyFont="1" applyBorder="1"/>
    <xf numFmtId="0" fontId="0" fillId="0" borderId="54" xfId="0" applyBorder="1"/>
    <xf numFmtId="14" fontId="0" fillId="0" borderId="1" xfId="0" applyNumberFormat="1" applyBorder="1"/>
    <xf numFmtId="0" fontId="14" fillId="13" borderId="55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44" fontId="14" fillId="13" borderId="0" xfId="1" applyFont="1" applyFill="1" applyBorder="1" applyAlignment="1">
      <alignment horizontal="center"/>
    </xf>
    <xf numFmtId="10" fontId="0" fillId="0" borderId="53" xfId="3" applyNumberFormat="1" applyFont="1" applyBorder="1" applyAlignment="1">
      <alignment horizontal="center"/>
    </xf>
    <xf numFmtId="167" fontId="0" fillId="0" borderId="0" xfId="0" pivotButton="1" applyNumberFormat="1"/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0" fontId="0" fillId="0" borderId="0" xfId="3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10" fontId="2" fillId="2" borderId="29" xfId="0" applyNumberFormat="1" applyFont="1" applyFill="1" applyBorder="1" applyAlignment="1">
      <alignment horizontal="center" vertical="center"/>
    </xf>
    <xf numFmtId="10" fontId="2" fillId="2" borderId="39" xfId="0" applyNumberFormat="1" applyFont="1" applyFill="1" applyBorder="1" applyAlignment="1">
      <alignment horizontal="center" vertical="center"/>
    </xf>
    <xf numFmtId="10" fontId="2" fillId="2" borderId="43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/>
    </xf>
    <xf numFmtId="10" fontId="2" fillId="4" borderId="45" xfId="0" applyNumberFormat="1" applyFont="1" applyFill="1" applyBorder="1" applyAlignment="1">
      <alignment horizontal="center" vertical="center"/>
    </xf>
    <xf numFmtId="10" fontId="2" fillId="4" borderId="39" xfId="0" applyNumberFormat="1" applyFont="1" applyFill="1" applyBorder="1" applyAlignment="1">
      <alignment horizontal="center" vertical="center"/>
    </xf>
    <xf numFmtId="10" fontId="2" fillId="4" borderId="43" xfId="0" applyNumberFormat="1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10" fontId="2" fillId="3" borderId="45" xfId="0" applyNumberFormat="1" applyFont="1" applyFill="1" applyBorder="1" applyAlignment="1">
      <alignment horizontal="center" vertical="center"/>
    </xf>
    <xf numFmtId="10" fontId="2" fillId="3" borderId="39" xfId="0" applyNumberFormat="1" applyFont="1" applyFill="1" applyBorder="1" applyAlignment="1">
      <alignment horizontal="center" vertical="center"/>
    </xf>
    <xf numFmtId="10" fontId="2" fillId="3" borderId="43" xfId="0" applyNumberFormat="1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10" fontId="2" fillId="6" borderId="45" xfId="0" applyNumberFormat="1" applyFont="1" applyFill="1" applyBorder="1" applyAlignment="1">
      <alignment horizontal="center" vertical="center"/>
    </xf>
    <xf numFmtId="10" fontId="2" fillId="6" borderId="39" xfId="0" applyNumberFormat="1" applyFont="1" applyFill="1" applyBorder="1" applyAlignment="1">
      <alignment horizontal="center" vertical="center"/>
    </xf>
    <xf numFmtId="10" fontId="2" fillId="6" borderId="43" xfId="0" applyNumberFormat="1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40" xfId="0" applyFont="1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0" fontId="2" fillId="5" borderId="45" xfId="0" applyNumberFormat="1" applyFont="1" applyFill="1" applyBorder="1" applyAlignment="1">
      <alignment horizontal="center" vertical="center"/>
    </xf>
    <xf numFmtId="10" fontId="2" fillId="5" borderId="39" xfId="0" applyNumberFormat="1" applyFont="1" applyFill="1" applyBorder="1" applyAlignment="1">
      <alignment horizontal="center" vertical="center"/>
    </xf>
    <xf numFmtId="10" fontId="2" fillId="5" borderId="43" xfId="0" applyNumberFormat="1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8" borderId="36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10" fontId="2" fillId="8" borderId="45" xfId="0" applyNumberFormat="1" applyFont="1" applyFill="1" applyBorder="1" applyAlignment="1">
      <alignment horizontal="center" vertical="center"/>
    </xf>
    <xf numFmtId="10" fontId="2" fillId="8" borderId="39" xfId="0" applyNumberFormat="1" applyFont="1" applyFill="1" applyBorder="1" applyAlignment="1">
      <alignment horizontal="center" vertical="center"/>
    </xf>
    <xf numFmtId="10" fontId="2" fillId="8" borderId="43" xfId="0" applyNumberFormat="1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40" xfId="0" applyFont="1" applyFill="1" applyBorder="1" applyAlignment="1">
      <alignment horizontal="center"/>
    </xf>
    <xf numFmtId="0" fontId="4" fillId="8" borderId="41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horizontal="center" vertical="center"/>
    </xf>
    <xf numFmtId="10" fontId="2" fillId="7" borderId="39" xfId="0" applyNumberFormat="1" applyFont="1" applyFill="1" applyBorder="1" applyAlignment="1">
      <alignment horizontal="center" vertical="center"/>
    </xf>
    <xf numFmtId="10" fontId="2" fillId="7" borderId="43" xfId="0" applyNumberFormat="1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4" fillId="10" borderId="36" xfId="0" applyFont="1" applyFill="1" applyBorder="1" applyAlignment="1">
      <alignment horizontal="center"/>
    </xf>
    <xf numFmtId="0" fontId="4" fillId="10" borderId="35" xfId="0" applyFont="1" applyFill="1" applyBorder="1" applyAlignment="1">
      <alignment horizontal="center"/>
    </xf>
    <xf numFmtId="10" fontId="2" fillId="10" borderId="45" xfId="0" applyNumberFormat="1" applyFont="1" applyFill="1" applyBorder="1" applyAlignment="1">
      <alignment horizontal="center" vertical="center"/>
    </xf>
    <xf numFmtId="10" fontId="2" fillId="10" borderId="39" xfId="0" applyNumberFormat="1" applyFont="1" applyFill="1" applyBorder="1" applyAlignment="1">
      <alignment horizontal="center" vertical="center"/>
    </xf>
    <xf numFmtId="10" fontId="2" fillId="10" borderId="43" xfId="0" applyNumberFormat="1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40" xfId="0" applyFont="1" applyFill="1" applyBorder="1" applyAlignment="1">
      <alignment horizontal="center"/>
    </xf>
    <xf numFmtId="0" fontId="4" fillId="10" borderId="41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4" fillId="9" borderId="35" xfId="0" applyFont="1" applyFill="1" applyBorder="1" applyAlignment="1">
      <alignment horizontal="center"/>
    </xf>
    <xf numFmtId="10" fontId="2" fillId="9" borderId="45" xfId="0" applyNumberFormat="1" applyFont="1" applyFill="1" applyBorder="1" applyAlignment="1">
      <alignment horizontal="center" vertical="center"/>
    </xf>
    <xf numFmtId="10" fontId="2" fillId="9" borderId="39" xfId="0" applyNumberFormat="1" applyFont="1" applyFill="1" applyBorder="1" applyAlignment="1">
      <alignment horizontal="center" vertical="center"/>
    </xf>
    <xf numFmtId="10" fontId="2" fillId="9" borderId="43" xfId="0" applyNumberFormat="1" applyFont="1" applyFill="1" applyBorder="1" applyAlignment="1">
      <alignment horizontal="center" vertical="center"/>
    </xf>
    <xf numFmtId="0" fontId="4" fillId="9" borderId="37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/>
    </xf>
    <xf numFmtId="0" fontId="4" fillId="9" borderId="41" xfId="0" applyFont="1" applyFill="1" applyBorder="1" applyAlignment="1">
      <alignment horizontal="center"/>
    </xf>
  </cellXfs>
  <cellStyles count="5">
    <cellStyle name="Hiperlink" xfId="4" builtinId="8"/>
    <cellStyle name="Moeda" xfId="1" builtinId="4"/>
    <cellStyle name="Normal" xfId="0" builtinId="0"/>
    <cellStyle name="Porcentagem" xfId="3" builtinId="5"/>
    <cellStyle name="Vírgula" xfId="2" builtinId="3"/>
  </cellStyles>
  <dxfs count="302">
    <dxf>
      <numFmt numFmtId="1" formatCode="0"/>
    </dxf>
    <dxf>
      <numFmt numFmtId="1" formatCode="0"/>
    </dxf>
    <dxf>
      <numFmt numFmtId="167" formatCode="&quot;R$&quot;\ #,##0.00"/>
    </dxf>
    <dxf>
      <numFmt numFmtId="1" formatCode="0"/>
    </dxf>
    <dxf>
      <numFmt numFmtId="1" formatCode="0"/>
    </dxf>
    <dxf>
      <numFmt numFmtId="167" formatCode="&quot;R$&quot;\ #,##0.00"/>
    </dxf>
    <dxf>
      <numFmt numFmtId="1" formatCode="0"/>
    </dxf>
    <dxf>
      <numFmt numFmtId="1" formatCode="0"/>
    </dxf>
    <dxf>
      <numFmt numFmtId="167" formatCode="&quot;R$&quot;\ #,##0.00"/>
    </dxf>
    <dxf>
      <numFmt numFmtId="1" formatCode="0"/>
    </dxf>
    <dxf>
      <numFmt numFmtId="1" formatCode="0"/>
    </dxf>
    <dxf>
      <numFmt numFmtId="167" formatCode="&quot;R$&quot;\ #,##0.00"/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alignment horizontal="general"/>
    </dxf>
    <dxf>
      <numFmt numFmtId="164" formatCode="0.000"/>
    </dxf>
    <dxf>
      <numFmt numFmtId="1" formatCode="0"/>
    </dxf>
    <dxf>
      <numFmt numFmtId="1" formatCode="0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right"/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alignment horizontal="center"/>
    </dxf>
    <dxf>
      <alignment horizontal="center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alignment horizontal="right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general"/>
    </dxf>
    <dxf>
      <numFmt numFmtId="1" formatCode="0"/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67" formatCode="&quot;R$&quot;\ #,##0.0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&quot;R$&quot;\ #,##0.00"/>
    </dxf>
    <dxf>
      <numFmt numFmtId="1" formatCode="0"/>
    </dxf>
    <dxf>
      <numFmt numFmtId="14" formatCode="0.00%"/>
    </dxf>
    <dxf>
      <numFmt numFmtId="13" formatCode="0%"/>
    </dxf>
    <dxf>
      <numFmt numFmtId="1" formatCode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microsoft.com/office/2007/relationships/slicerCache" Target="slicerCaches/slicerCache10.xml"/><Relationship Id="rId21" Type="http://schemas.openxmlformats.org/officeDocument/2006/relationships/externalLink" Target="externalLinks/externalLink2.xml"/><Relationship Id="rId34" Type="http://schemas.microsoft.com/office/2007/relationships/slicerCache" Target="slicerCaches/slicerCache5.xml"/><Relationship Id="rId42" Type="http://schemas.microsoft.com/office/2007/relationships/slicerCache" Target="slicerCaches/slicerCache13.xml"/><Relationship Id="rId47" Type="http://schemas.microsoft.com/office/2007/relationships/slicerCache" Target="slicerCaches/slicerCache18.xml"/><Relationship Id="rId50" Type="http://schemas.microsoft.com/office/2007/relationships/slicerCache" Target="slicerCaches/slicerCache21.xml"/><Relationship Id="rId55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7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microsoft.com/office/2007/relationships/slicerCache" Target="slicerCaches/slicerCache3.xml"/><Relationship Id="rId37" Type="http://schemas.microsoft.com/office/2007/relationships/slicerCache" Target="slicerCaches/slicerCache8.xml"/><Relationship Id="rId40" Type="http://schemas.microsoft.com/office/2007/relationships/slicerCache" Target="slicerCaches/slicerCache11.xml"/><Relationship Id="rId45" Type="http://schemas.microsoft.com/office/2007/relationships/slicerCache" Target="slicerCaches/slicerCache16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pivotCacheDefinition" Target="pivotCache/pivotCacheDefinition5.xml"/><Relationship Id="rId30" Type="http://schemas.microsoft.com/office/2007/relationships/slicerCache" Target="slicerCaches/slicerCache1.xml"/><Relationship Id="rId35" Type="http://schemas.microsoft.com/office/2007/relationships/slicerCache" Target="slicerCaches/slicerCache6.xml"/><Relationship Id="rId43" Type="http://schemas.microsoft.com/office/2007/relationships/slicerCache" Target="slicerCaches/slicerCache14.xml"/><Relationship Id="rId48" Type="http://schemas.microsoft.com/office/2007/relationships/slicerCache" Target="slicerCaches/slicerCache19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microsoft.com/office/2007/relationships/slicerCache" Target="slicerCaches/slicerCache4.xml"/><Relationship Id="rId38" Type="http://schemas.microsoft.com/office/2007/relationships/slicerCache" Target="slicerCaches/slicerCache9.xml"/><Relationship Id="rId46" Type="http://schemas.microsoft.com/office/2007/relationships/slicerCache" Target="slicerCaches/slicerCache17.xml"/><Relationship Id="rId20" Type="http://schemas.openxmlformats.org/officeDocument/2006/relationships/externalLink" Target="externalLinks/externalLink1.xml"/><Relationship Id="rId41" Type="http://schemas.microsoft.com/office/2007/relationships/slicerCache" Target="slicerCaches/slicerCache1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microsoft.com/office/2007/relationships/slicerCache" Target="slicerCaches/slicerCache7.xml"/><Relationship Id="rId49" Type="http://schemas.microsoft.com/office/2007/relationships/slicerCache" Target="slicerCaches/slicerCache20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microsoft.com/office/2007/relationships/slicerCache" Target="slicerCaches/slicerCache2.xml"/><Relationship Id="rId44" Type="http://schemas.microsoft.com/office/2007/relationships/slicerCache" Target="slicerCaches/slicerCache15.xml"/><Relationship Id="rId5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RECEB!Tabela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VOLUMES RECEBIDOS DIA</a:t>
            </a:r>
          </a:p>
        </c:rich>
      </c:tx>
      <c:layout>
        <c:manualLayout>
          <c:xMode val="edge"/>
          <c:yMode val="edge"/>
          <c:x val="0.28615213477789431"/>
          <c:y val="5.7516886504263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RECEB'!$B$1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RECEB'!$A$2:$A$24</c:f>
              <c:strCache>
                <c:ptCount val="22"/>
                <c:pt idx="0">
                  <c:v>02/02/2026</c:v>
                </c:pt>
                <c:pt idx="1">
                  <c:v>03/02/2026</c:v>
                </c:pt>
                <c:pt idx="2">
                  <c:v>04/02/2026</c:v>
                </c:pt>
                <c:pt idx="3">
                  <c:v>05/02/2026</c:v>
                </c:pt>
                <c:pt idx="4">
                  <c:v>06/02/2026</c:v>
                </c:pt>
                <c:pt idx="5">
                  <c:v>09/02/2026</c:v>
                </c:pt>
                <c:pt idx="6">
                  <c:v>10/02/2026</c:v>
                </c:pt>
                <c:pt idx="7">
                  <c:v>11/02/2026</c:v>
                </c:pt>
                <c:pt idx="8">
                  <c:v>12/02/2026</c:v>
                </c:pt>
                <c:pt idx="9">
                  <c:v>13/02/2026</c:v>
                </c:pt>
                <c:pt idx="10">
                  <c:v>14/02/2026</c:v>
                </c:pt>
                <c:pt idx="11">
                  <c:v>16/02/2026</c:v>
                </c:pt>
                <c:pt idx="12">
                  <c:v>18/02/2026</c:v>
                </c:pt>
                <c:pt idx="13">
                  <c:v>19/02/2026</c:v>
                </c:pt>
                <c:pt idx="14">
                  <c:v>20/02/2026</c:v>
                </c:pt>
                <c:pt idx="15">
                  <c:v>21/02/2026</c:v>
                </c:pt>
                <c:pt idx="16">
                  <c:v>23/02/2026</c:v>
                </c:pt>
                <c:pt idx="17">
                  <c:v>24/02/2026</c:v>
                </c:pt>
                <c:pt idx="18">
                  <c:v>25/02/2026</c:v>
                </c:pt>
                <c:pt idx="19">
                  <c:v>26/02/2026</c:v>
                </c:pt>
                <c:pt idx="20">
                  <c:v>27/02/2026</c:v>
                </c:pt>
                <c:pt idx="21">
                  <c:v>28/02/2026</c:v>
                </c:pt>
              </c:strCache>
            </c:strRef>
          </c:cat>
          <c:val>
            <c:numRef>
              <c:f>'ANALISES RECEB'!$B$2:$B$24</c:f>
              <c:numCache>
                <c:formatCode>General</c:formatCode>
                <c:ptCount val="22"/>
                <c:pt idx="0">
                  <c:v>39</c:v>
                </c:pt>
                <c:pt idx="1">
                  <c:v>322</c:v>
                </c:pt>
                <c:pt idx="2">
                  <c:v>56</c:v>
                </c:pt>
                <c:pt idx="3">
                  <c:v>299</c:v>
                </c:pt>
                <c:pt idx="4">
                  <c:v>112</c:v>
                </c:pt>
                <c:pt idx="5">
                  <c:v>176</c:v>
                </c:pt>
                <c:pt idx="6">
                  <c:v>36</c:v>
                </c:pt>
                <c:pt idx="7">
                  <c:v>407</c:v>
                </c:pt>
                <c:pt idx="8">
                  <c:v>153</c:v>
                </c:pt>
                <c:pt idx="9">
                  <c:v>309</c:v>
                </c:pt>
                <c:pt idx="10">
                  <c:v>44</c:v>
                </c:pt>
                <c:pt idx="11">
                  <c:v>49</c:v>
                </c:pt>
                <c:pt idx="12">
                  <c:v>120</c:v>
                </c:pt>
                <c:pt idx="13">
                  <c:v>106</c:v>
                </c:pt>
                <c:pt idx="14">
                  <c:v>111</c:v>
                </c:pt>
                <c:pt idx="15">
                  <c:v>114</c:v>
                </c:pt>
                <c:pt idx="16">
                  <c:v>77</c:v>
                </c:pt>
                <c:pt idx="17">
                  <c:v>125</c:v>
                </c:pt>
                <c:pt idx="18">
                  <c:v>85</c:v>
                </c:pt>
                <c:pt idx="19">
                  <c:v>512</c:v>
                </c:pt>
                <c:pt idx="20">
                  <c:v>597</c:v>
                </c:pt>
                <c:pt idx="2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5-49AC-BD8D-37CCDBEC66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3612080"/>
        <c:axId val="763614160"/>
      </c:barChart>
      <c:catAx>
        <c:axId val="76361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614160"/>
        <c:crosses val="autoZero"/>
        <c:auto val="1"/>
        <c:lblAlgn val="ctr"/>
        <c:lblOffset val="100"/>
        <c:noMultiLvlLbl val="0"/>
      </c:catAx>
      <c:valAx>
        <c:axId val="7636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6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RECEB!Tabela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 PEDIDOS POR FORNECEDOR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4509950967630996"/>
          <c:y val="1.7281906328081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1192340792081"/>
          <c:y val="0.21549342973176813"/>
          <c:w val="0.53989701530679268"/>
          <c:h val="0.734517047744203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'ANALISES RECEB'!$F$1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RECEB'!$E$2:$E$53</c:f>
              <c:strCache>
                <c:ptCount val="51"/>
                <c:pt idx="0">
                  <c:v>CAZI QUIMICA FARMACEUTICA INDUSTRIA</c:v>
                </c:pt>
                <c:pt idx="1">
                  <c:v>JC DISTRIBUICAO LOGISTICA IMP E EXP</c:v>
                </c:pt>
                <c:pt idx="2">
                  <c:v>REMORA PRODUTOS PARA SAUDE LTDA-EPP</c:v>
                </c:pt>
                <c:pt idx="3">
                  <c:v>WW DISTRIBUIDORA DE MEDICAMENTOS LT</c:v>
                </c:pt>
                <c:pt idx="4">
                  <c:v>HOSPDROGAS COMERCIAL LTDA-DEMAIS</c:v>
                </c:pt>
                <c:pt idx="5">
                  <c:v>3B INDUSTRIA E COMERCIO DE ARTEFATO</c:v>
                </c:pt>
                <c:pt idx="6">
                  <c:v>ATIVA COMERCIAL HOSPITALAR LTDA-DEM</c:v>
                </c:pt>
                <c:pt idx="7">
                  <c:v>RD HOSPITALAR LTDA-EPP</c:v>
                </c:pt>
                <c:pt idx="8">
                  <c:v>DISTRIBEM MED. E MAT. HOSP. LTDA-DE</c:v>
                </c:pt>
                <c:pt idx="9">
                  <c:v>ESTOQUE MED TO A LOGISTICA CERTA CO</c:v>
                </c:pt>
                <c:pt idx="10">
                  <c:v>ACCUMED PRODUTOS MEDICO HOSPITALARE</c:v>
                </c:pt>
                <c:pt idx="11">
                  <c:v>URBANIN &amp; NAVARRO LTDA-DEMAIS</c:v>
                </c:pt>
                <c:pt idx="12">
                  <c:v>REDE BRASIL DISTRIBUICAO E LOGIST L</c:v>
                </c:pt>
                <c:pt idx="13">
                  <c:v>VFB BRASIL LTDA-DEMAIS</c:v>
                </c:pt>
                <c:pt idx="14">
                  <c:v>SUPERMEDICA DISTRIBUIDORA HOSPITALA</c:v>
                </c:pt>
                <c:pt idx="15">
                  <c:v>LINK HOME DISTRIBUIDORA LTDA-EPP</c:v>
                </c:pt>
                <c:pt idx="16">
                  <c:v>ALEXDAN IMPORTACAO E EXPORTACAO LTD</c:v>
                </c:pt>
                <c:pt idx="17">
                  <c:v>RIO VERMELHO DISTRIBUICAO DE ALIMEN</c:v>
                </c:pt>
                <c:pt idx="18">
                  <c:v>XWW DISTRIBUIDORA DE MEDICAMENTOS LT</c:v>
                </c:pt>
                <c:pt idx="19">
                  <c:v>JRD INDUSTRIA FARMACEUTICA LTDA-</c:v>
                </c:pt>
                <c:pt idx="20">
                  <c:v>CIENTIFICA MEDICA HOSPITALAR LTDA-D</c:v>
                </c:pt>
                <c:pt idx="21">
                  <c:v>B2B PHARMACEUTICA LTDA-ME</c:v>
                </c:pt>
                <c:pt idx="22">
                  <c:v>FLORA NECTAR INDUSTRIA COMERCIO IMP</c:v>
                </c:pt>
                <c:pt idx="23">
                  <c:v>MARTINS COM SERV DISTR AS</c:v>
                </c:pt>
                <c:pt idx="24">
                  <c:v>UNIFARMA FARMACEUTICA LTDA-DEMAIS</c:v>
                </c:pt>
                <c:pt idx="25">
                  <c:v>ED MED COMERCIAL LTDA</c:v>
                </c:pt>
                <c:pt idx="26">
                  <c:v>MARTINS COMERCIO E SERVICOS DE DIST</c:v>
                </c:pt>
                <c:pt idx="27">
                  <c:v>JN PHARMA DISTRIBUIDORA DE MEDICAME</c:v>
                </c:pt>
                <c:pt idx="28">
                  <c:v>GOIAS LOGISTICA DE MEDICAMENTOS LTD</c:v>
                </c:pt>
                <c:pt idx="29">
                  <c:v>NATUBRAS INDUSTRIA E COMERCIO DE PR</c:v>
                </c:pt>
                <c:pt idx="30">
                  <c:v>MARTINS COM SERV DISTR SA</c:v>
                </c:pt>
                <c:pt idx="31">
                  <c:v>MULTICANAL ATACADO LTDA -F2</c:v>
                </c:pt>
                <c:pt idx="32">
                  <c:v>C.A. HOSPITALAR LTDA-DEMAIS</c:v>
                </c:pt>
                <c:pt idx="33">
                  <c:v>SC DISTRIBUICAO LTDA-DEMAIS(panphar</c:v>
                </c:pt>
                <c:pt idx="34">
                  <c:v>DISTRIBUIDORA BRASIL COML DE PRODUT</c:v>
                </c:pt>
                <c:pt idx="35">
                  <c:v>MAEVE PRODUTOS HOSPITALARES LTDA-DE</c:v>
                </c:pt>
                <c:pt idx="36">
                  <c:v>SERVIMED - ITUMBIARA</c:v>
                </c:pt>
                <c:pt idx="37">
                  <c:v>DISTRIBUIDORA GAMA LTDA-DEMAIS</c:v>
                </c:pt>
                <c:pt idx="38">
                  <c:v>VIVA COMERCIO E IMPORTACAO LTDA</c:v>
                </c:pt>
                <c:pt idx="39">
                  <c:v>TERRA HOSPITALAR DISTRIBUIDORA DE M</c:v>
                </c:pt>
                <c:pt idx="40">
                  <c:v>FARMALEV PRODUTOS FARMACEUTICOS LTD</c:v>
                </c:pt>
                <c:pt idx="41">
                  <c:v>JPMED DISTRIBUIDORA FARMACEUTICA LT</c:v>
                </c:pt>
                <c:pt idx="42">
                  <c:v>GOYAZ SERVICE COMERCIO E LOGISTICA </c:v>
                </c:pt>
                <c:pt idx="43">
                  <c:v>JC DISTRIB. DE PROD. FARMACEUTICOS </c:v>
                </c:pt>
                <c:pt idx="44">
                  <c:v>DPC DISTRIBUIDOR ATACADISTA S/A-DEM</c:v>
                </c:pt>
                <c:pt idx="45">
                  <c:v>MEDCENTRO DISTRIBUIDORA DE PRODUTOS</c:v>
                </c:pt>
                <c:pt idx="46">
                  <c:v>G3PHARMA DISTRIBUIDORA DE MEDICAMEN</c:v>
                </c:pt>
                <c:pt idx="47">
                  <c:v>PROFARMA DISTRIBUIDORA DE PRODUTOS </c:v>
                </c:pt>
                <c:pt idx="48">
                  <c:v>GENESIO A MENDES &amp; CIA LTDA-DEM</c:v>
                </c:pt>
                <c:pt idx="49">
                  <c:v>REAL DISTRIBUIDORA E LOGISTICA LTDA</c:v>
                </c:pt>
                <c:pt idx="50">
                  <c:v>DISTRIBUIDORA DE MEDICAMENTOS SANTA</c:v>
                </c:pt>
              </c:strCache>
            </c:strRef>
          </c:cat>
          <c:val>
            <c:numRef>
              <c:f>'ANALISES RECEB'!$F$2:$F$53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9</c:v>
                </c:pt>
                <c:pt idx="45">
                  <c:v>11</c:v>
                </c:pt>
                <c:pt idx="46">
                  <c:v>11</c:v>
                </c:pt>
                <c:pt idx="47">
                  <c:v>12</c:v>
                </c:pt>
                <c:pt idx="48">
                  <c:v>16</c:v>
                </c:pt>
                <c:pt idx="49">
                  <c:v>17</c:v>
                </c:pt>
                <c:pt idx="5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A-4BEB-B521-E260C30B31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73280064"/>
        <c:axId val="1436621664"/>
      </c:barChart>
      <c:catAx>
        <c:axId val="77328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621664"/>
        <c:crosses val="autoZero"/>
        <c:auto val="1"/>
        <c:lblAlgn val="ctr"/>
        <c:lblOffset val="100"/>
        <c:noMultiLvlLbl val="0"/>
      </c:catAx>
      <c:valAx>
        <c:axId val="14366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328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RECEB!Tabela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ACOMPANHAMENTO SLA FORNECEDOR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35142118863048E-2"/>
              <c:y val="-0.109802069375346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RECEB'!$J$1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'ANALISES RECEB'!$I$2:$I$24</c:f>
              <c:strCache>
                <c:ptCount val="22"/>
                <c:pt idx="0">
                  <c:v>02/02/2026</c:v>
                </c:pt>
                <c:pt idx="1">
                  <c:v>03/02/2026</c:v>
                </c:pt>
                <c:pt idx="2">
                  <c:v>04/02/2026</c:v>
                </c:pt>
                <c:pt idx="3">
                  <c:v>05/02/2026</c:v>
                </c:pt>
                <c:pt idx="4">
                  <c:v>06/02/2026</c:v>
                </c:pt>
                <c:pt idx="5">
                  <c:v>09/02/2026</c:v>
                </c:pt>
                <c:pt idx="6">
                  <c:v>10/02/2026</c:v>
                </c:pt>
                <c:pt idx="7">
                  <c:v>11/02/2026</c:v>
                </c:pt>
                <c:pt idx="8">
                  <c:v>12/02/2026</c:v>
                </c:pt>
                <c:pt idx="9">
                  <c:v>13/02/2026</c:v>
                </c:pt>
                <c:pt idx="10">
                  <c:v>14/02/2026</c:v>
                </c:pt>
                <c:pt idx="11">
                  <c:v>16/02/2026</c:v>
                </c:pt>
                <c:pt idx="12">
                  <c:v>18/02/2026</c:v>
                </c:pt>
                <c:pt idx="13">
                  <c:v>19/02/2026</c:v>
                </c:pt>
                <c:pt idx="14">
                  <c:v>20/02/2026</c:v>
                </c:pt>
                <c:pt idx="15">
                  <c:v>21/02/2026</c:v>
                </c:pt>
                <c:pt idx="16">
                  <c:v>23/02/2026</c:v>
                </c:pt>
                <c:pt idx="17">
                  <c:v>24/02/2026</c:v>
                </c:pt>
                <c:pt idx="18">
                  <c:v>25/02/2026</c:v>
                </c:pt>
                <c:pt idx="19">
                  <c:v>26/02/2026</c:v>
                </c:pt>
                <c:pt idx="20">
                  <c:v>27/02/2026</c:v>
                </c:pt>
                <c:pt idx="21">
                  <c:v>28/02/2026</c:v>
                </c:pt>
              </c:strCache>
            </c:strRef>
          </c:cat>
          <c:val>
            <c:numRef>
              <c:f>'ANALISES RECEB'!$J$2:$J$24</c:f>
              <c:numCache>
                <c:formatCode>0%</c:formatCode>
                <c:ptCount val="22"/>
                <c:pt idx="0">
                  <c:v>1</c:v>
                </c:pt>
                <c:pt idx="1">
                  <c:v>0.92307692307692313</c:v>
                </c:pt>
                <c:pt idx="2">
                  <c:v>0.83333333333333337</c:v>
                </c:pt>
                <c:pt idx="3">
                  <c:v>1</c:v>
                </c:pt>
                <c:pt idx="4">
                  <c:v>0.91666666666666663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0.92307692307692313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0.75</c:v>
                </c:pt>
                <c:pt idx="18">
                  <c:v>1</c:v>
                </c:pt>
                <c:pt idx="19">
                  <c:v>0.9</c:v>
                </c:pt>
                <c:pt idx="20">
                  <c:v>0.92307692307692313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A-4096-ADBE-2B46627A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795344"/>
        <c:axId val="1443810320"/>
      </c:lineChart>
      <c:catAx>
        <c:axId val="14437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810320"/>
        <c:crosses val="autoZero"/>
        <c:auto val="1"/>
        <c:lblAlgn val="ctr"/>
        <c:lblOffset val="100"/>
        <c:noMultiLvlLbl val="0"/>
      </c:catAx>
      <c:valAx>
        <c:axId val="144381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7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LEAD D+0 DISPONIBILIZACAO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70-4808-9E60-3B72E899075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70-4808-9E60-3B72E8990753}"/>
              </c:ext>
            </c:extLst>
          </c:dPt>
          <c:cat>
            <c:strRef>
              <c:f>'ANALISES RECEB'!$D$89:$D$90</c:f>
              <c:strCache>
                <c:ptCount val="2"/>
                <c:pt idx="0">
                  <c:v>D1 +</c:v>
                </c:pt>
                <c:pt idx="1">
                  <c:v>D+0</c:v>
                </c:pt>
              </c:strCache>
            </c:strRef>
          </c:cat>
          <c:val>
            <c:numRef>
              <c:f>'ANALISES RECEB'!$E$89:$E$90</c:f>
              <c:numCache>
                <c:formatCode>0.00%</c:formatCode>
                <c:ptCount val="2"/>
                <c:pt idx="0">
                  <c:v>0.34299516908212557</c:v>
                </c:pt>
                <c:pt idx="1">
                  <c:v>0.65700483091787443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70-4808-9E60-3B72E8990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 MEDIA SKU SEPARADO POR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92D050"/>
          </a:solidFill>
          <a:ln>
            <a:noFill/>
          </a:ln>
          <a:effectLst/>
        </c:spPr>
      </c:pivotFmt>
      <c:pivotFmt>
        <c:idx val="9"/>
        <c:spPr>
          <a:solidFill>
            <a:srgbClr val="002060"/>
          </a:solidFill>
          <a:ln>
            <a:noFill/>
          </a:ln>
          <a:effectLst/>
        </c:spPr>
      </c:pivotFmt>
      <c:pivotFmt>
        <c:idx val="10"/>
        <c:spPr>
          <a:solidFill>
            <a:srgbClr val="0070C0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SEPARACAO'!$C$47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SEPARACAO'!$B$48:$B$59</c:f>
              <c:strCache>
                <c:ptCount val="11"/>
                <c:pt idx="0">
                  <c:v>JOAO VITOR</c:v>
                </c:pt>
                <c:pt idx="1">
                  <c:v>PABLYNE SANTANA</c:v>
                </c:pt>
                <c:pt idx="2">
                  <c:v>RONALDO JOSE</c:v>
                </c:pt>
                <c:pt idx="3">
                  <c:v>GUILHERME HENRIQUE</c:v>
                </c:pt>
                <c:pt idx="4">
                  <c:v>MARILEUZA</c:v>
                </c:pt>
                <c:pt idx="5">
                  <c:v>JAILSON</c:v>
                </c:pt>
                <c:pt idx="6">
                  <c:v>FERNANDO BORGES</c:v>
                </c:pt>
                <c:pt idx="7">
                  <c:v>WARLEY GABRIEL</c:v>
                </c:pt>
                <c:pt idx="8">
                  <c:v>IGOR</c:v>
                </c:pt>
                <c:pt idx="9">
                  <c:v>WILSON JUNIOR</c:v>
                </c:pt>
                <c:pt idx="10">
                  <c:v>ARMANDO SANTOS</c:v>
                </c:pt>
              </c:strCache>
            </c:strRef>
          </c:cat>
          <c:val>
            <c:numRef>
              <c:f>'ANALISES SEPARACAO'!$C$48:$C$59</c:f>
              <c:numCache>
                <c:formatCode>0</c:formatCode>
                <c:ptCount val="11"/>
                <c:pt idx="0">
                  <c:v>6.8042291770160617</c:v>
                </c:pt>
                <c:pt idx="1">
                  <c:v>6.7789225589225595</c:v>
                </c:pt>
                <c:pt idx="2">
                  <c:v>6.2642847108211308</c:v>
                </c:pt>
                <c:pt idx="3">
                  <c:v>5.9220389805097451</c:v>
                </c:pt>
                <c:pt idx="4">
                  <c:v>5.8280556921204587</c:v>
                </c:pt>
                <c:pt idx="5">
                  <c:v>5.8012034497847322</c:v>
                </c:pt>
                <c:pt idx="6">
                  <c:v>5.6000514982969669</c:v>
                </c:pt>
                <c:pt idx="7">
                  <c:v>5.1560504446533866</c:v>
                </c:pt>
                <c:pt idx="8">
                  <c:v>4.9767605873359795</c:v>
                </c:pt>
                <c:pt idx="9">
                  <c:v>4.1380162466369352</c:v>
                </c:pt>
                <c:pt idx="10">
                  <c:v>3.8488635783720921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583-4F05-8594-4FBB66E435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110423696"/>
        <c:axId val="2110429680"/>
      </c:barChart>
      <c:catAx>
        <c:axId val="211042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9680"/>
        <c:crosses val="autoZero"/>
        <c:auto val="1"/>
        <c:lblAlgn val="ctr"/>
        <c:lblOffset val="100"/>
        <c:noMultiLvlLbl val="0"/>
      </c:catAx>
      <c:valAx>
        <c:axId val="211042968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QUANTIDADE UNIDADES SEPARADAS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rgbClr val="0070C0"/>
          </a:solidFill>
          <a:ln>
            <a:noFill/>
          </a:ln>
          <a:effectLst/>
        </c:spPr>
      </c:pivotFmt>
      <c:pivotFmt>
        <c:idx val="8"/>
      </c:pivotFmt>
      <c:pivotFmt>
        <c:idx val="9"/>
      </c:pivotFmt>
      <c:pivotFmt>
        <c:idx val="10"/>
        <c:spPr>
          <a:solidFill>
            <a:srgbClr val="0070C0"/>
          </a:solidFill>
          <a:ln>
            <a:noFill/>
          </a:ln>
          <a:effectLst/>
        </c:spPr>
      </c:pivotFmt>
      <c:pivotFmt>
        <c:idx val="11"/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SEPARACAO'!$B$90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SEPARACAO'!$A$91:$A$102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ARMANDO SANTOS</c:v>
                </c:pt>
                <c:pt idx="5">
                  <c:v>WARLEY GABRIEL</c:v>
                </c:pt>
                <c:pt idx="6">
                  <c:v>MARILEUZA</c:v>
                </c:pt>
                <c:pt idx="7">
                  <c:v>IGOR</c:v>
                </c:pt>
                <c:pt idx="8">
                  <c:v>JAILSON</c:v>
                </c:pt>
                <c:pt idx="9">
                  <c:v>FERNANDO BORGES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SEPARACAO'!$B$91:$B$102</c:f>
              <c:numCache>
                <c:formatCode>General</c:formatCode>
                <c:ptCount val="11"/>
                <c:pt idx="0">
                  <c:v>1302</c:v>
                </c:pt>
                <c:pt idx="1">
                  <c:v>5304</c:v>
                </c:pt>
                <c:pt idx="2">
                  <c:v>5318</c:v>
                </c:pt>
                <c:pt idx="3">
                  <c:v>5655</c:v>
                </c:pt>
                <c:pt idx="4">
                  <c:v>8408</c:v>
                </c:pt>
                <c:pt idx="5">
                  <c:v>10417</c:v>
                </c:pt>
                <c:pt idx="6">
                  <c:v>19717</c:v>
                </c:pt>
                <c:pt idx="7">
                  <c:v>26267</c:v>
                </c:pt>
                <c:pt idx="8">
                  <c:v>27768</c:v>
                </c:pt>
                <c:pt idx="9">
                  <c:v>29463</c:v>
                </c:pt>
                <c:pt idx="10">
                  <c:v>52504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C6-42C3-9744-6F7ABD9BB7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0428048"/>
        <c:axId val="2110424784"/>
      </c:barChart>
      <c:catAx>
        <c:axId val="21104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4784"/>
        <c:crosses val="autoZero"/>
        <c:auto val="1"/>
        <c:lblAlgn val="ctr"/>
        <c:lblOffset val="100"/>
        <c:noMultiLvlLbl val="0"/>
      </c:catAx>
      <c:valAx>
        <c:axId val="21104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META</a:t>
            </a:r>
            <a:r>
              <a:rPr lang="pt-BR" baseline="0">
                <a:solidFill>
                  <a:schemeClr val="tx1"/>
                </a:solidFill>
              </a:rPr>
              <a:t> CONFORMIDADE SEPARACAO DE PEDIDOS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597651065233862"/>
          <c:y val="0.17568888888888889"/>
          <c:w val="0.35979819971726268"/>
          <c:h val="0.7754222222222222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2F-48BF-A17E-21B33114CD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2F-48BF-A17E-21B33114CDBE}"/>
              </c:ext>
            </c:extLst>
          </c:dPt>
          <c:cat>
            <c:strRef>
              <c:f>'ANALISES SEPARACAO'!$Y$14:$Y$15</c:f>
              <c:strCache>
                <c:ptCount val="2"/>
                <c:pt idx="0">
                  <c:v>Atual</c:v>
                </c:pt>
                <c:pt idx="1">
                  <c:v>Faltante</c:v>
                </c:pt>
              </c:strCache>
            </c:strRef>
          </c:cat>
          <c:val>
            <c:numRef>
              <c:f>'ANALISES SEPARACAO'!$Z$14:$Z$15</c:f>
              <c:numCache>
                <c:formatCode>0.00%</c:formatCode>
                <c:ptCount val="2"/>
                <c:pt idx="0">
                  <c:v>0.99963433938370616</c:v>
                </c:pt>
                <c:pt idx="1">
                  <c:v>3.6566061629383917E-4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F-48BF-A17E-21B33114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REPRES.</a:t>
            </a:r>
            <a:r>
              <a:rPr lang="en-US" baseline="0"/>
              <a:t> POR OPERADOR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850693898102403"/>
          <c:y val="0.27789650029781099"/>
          <c:w val="0.55552364918022468"/>
          <c:h val="0.608743714803283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'ANALISES SEPARACAO'!$B$129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'ANALISES SEPARACAO'!$A$130:$A$141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WARLEY GABRIEL</c:v>
                </c:pt>
                <c:pt idx="5">
                  <c:v>ARMANDO SANTOS</c:v>
                </c:pt>
                <c:pt idx="6">
                  <c:v>MARILEUZA</c:v>
                </c:pt>
                <c:pt idx="7">
                  <c:v>JAILSON</c:v>
                </c:pt>
                <c:pt idx="8">
                  <c:v>FERNANDO BORGES</c:v>
                </c:pt>
                <c:pt idx="9">
                  <c:v>IGOR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SEPARACAO'!$B$130:$B$141</c:f>
              <c:numCache>
                <c:formatCode>General</c:formatCode>
                <c:ptCount val="11"/>
                <c:pt idx="0">
                  <c:v>52</c:v>
                </c:pt>
                <c:pt idx="1">
                  <c:v>114</c:v>
                </c:pt>
                <c:pt idx="2">
                  <c:v>133</c:v>
                </c:pt>
                <c:pt idx="3">
                  <c:v>230</c:v>
                </c:pt>
                <c:pt idx="4">
                  <c:v>272</c:v>
                </c:pt>
                <c:pt idx="5">
                  <c:v>329</c:v>
                </c:pt>
                <c:pt idx="6">
                  <c:v>518</c:v>
                </c:pt>
                <c:pt idx="7">
                  <c:v>707</c:v>
                </c:pt>
                <c:pt idx="8">
                  <c:v>831</c:v>
                </c:pt>
                <c:pt idx="9">
                  <c:v>914</c:v>
                </c:pt>
                <c:pt idx="10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C-4C51-8999-8BF8A12CE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429680"/>
        <c:axId val="389437168"/>
      </c:barChart>
      <c:catAx>
        <c:axId val="38942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437168"/>
        <c:crosses val="autoZero"/>
        <c:auto val="1"/>
        <c:lblAlgn val="ctr"/>
        <c:lblOffset val="100"/>
        <c:noMultiLvlLbl val="0"/>
      </c:catAx>
      <c:valAx>
        <c:axId val="38943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42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pPr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 MEDIA SKU CONFERIDO POR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CONF'!$H$92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CONF'!$G$93:$G$104</c:f>
              <c:strCache>
                <c:ptCount val="11"/>
                <c:pt idx="0">
                  <c:v>GUIILHERME HENRIQUE</c:v>
                </c:pt>
                <c:pt idx="1">
                  <c:v>Marileuza</c:v>
                </c:pt>
                <c:pt idx="2">
                  <c:v>Ronaldo </c:v>
                </c:pt>
                <c:pt idx="3">
                  <c:v>Igor</c:v>
                </c:pt>
                <c:pt idx="4">
                  <c:v>Pablyne</c:v>
                </c:pt>
                <c:pt idx="5">
                  <c:v>Fernando</c:v>
                </c:pt>
                <c:pt idx="6">
                  <c:v>Joao Vitor</c:v>
                </c:pt>
                <c:pt idx="7">
                  <c:v>WARLEY GABRIEL</c:v>
                </c:pt>
                <c:pt idx="8">
                  <c:v>JAILSON </c:v>
                </c:pt>
                <c:pt idx="9">
                  <c:v>Armando</c:v>
                </c:pt>
                <c:pt idx="10">
                  <c:v>Wilson</c:v>
                </c:pt>
              </c:strCache>
            </c:strRef>
          </c:cat>
          <c:val>
            <c:numRef>
              <c:f>'ANALISES CONF'!$H$93:$H$104</c:f>
              <c:numCache>
                <c:formatCode>0</c:formatCode>
                <c:ptCount val="11"/>
                <c:pt idx="0">
                  <c:v>6.5</c:v>
                </c:pt>
                <c:pt idx="1">
                  <c:v>6.4987249386150134</c:v>
                </c:pt>
                <c:pt idx="2">
                  <c:v>6.0018004057016716</c:v>
                </c:pt>
                <c:pt idx="3">
                  <c:v>5.7190103371127403</c:v>
                </c:pt>
                <c:pt idx="4">
                  <c:v>5.6749999999999998</c:v>
                </c:pt>
                <c:pt idx="5">
                  <c:v>5.5420207703897644</c:v>
                </c:pt>
                <c:pt idx="6">
                  <c:v>5.4898809523809522</c:v>
                </c:pt>
                <c:pt idx="7">
                  <c:v>4.8</c:v>
                </c:pt>
                <c:pt idx="8">
                  <c:v>4.5130952380952376</c:v>
                </c:pt>
                <c:pt idx="9">
                  <c:v>4.3763878691455629</c:v>
                </c:pt>
                <c:pt idx="10">
                  <c:v>3.7443721719457019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5-403A-B3BD-1C05EBCB25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1527760"/>
        <c:axId val="285232096"/>
      </c:barChart>
      <c:catAx>
        <c:axId val="4015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232096"/>
        <c:crosses val="autoZero"/>
        <c:auto val="1"/>
        <c:lblAlgn val="ctr"/>
        <c:lblOffset val="100"/>
        <c:noMultiLvlLbl val="0"/>
      </c:catAx>
      <c:valAx>
        <c:axId val="2852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 QUANTIDADE UNIDADES CONFERIDAS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CONF'!$B$110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CONF'!$A$111:$A$122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Pablyne</c:v>
                </c:pt>
                <c:pt idx="8">
                  <c:v>JAILSON 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CONF'!$B$111:$B$122</c:f>
              <c:numCache>
                <c:formatCode>General</c:formatCode>
                <c:ptCount val="11"/>
                <c:pt idx="0">
                  <c:v>59607</c:v>
                </c:pt>
                <c:pt idx="1">
                  <c:v>47208</c:v>
                </c:pt>
                <c:pt idx="2">
                  <c:v>30829</c:v>
                </c:pt>
                <c:pt idx="3">
                  <c:v>27245</c:v>
                </c:pt>
                <c:pt idx="4">
                  <c:v>20115</c:v>
                </c:pt>
                <c:pt idx="5">
                  <c:v>8912</c:v>
                </c:pt>
                <c:pt idx="6">
                  <c:v>2301</c:v>
                </c:pt>
                <c:pt idx="7">
                  <c:v>1615</c:v>
                </c:pt>
                <c:pt idx="8">
                  <c:v>688</c:v>
                </c:pt>
                <c:pt idx="9">
                  <c:v>283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E-4198-964A-0993B4782F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1355568"/>
        <c:axId val="531351760"/>
      </c:barChart>
      <c:catAx>
        <c:axId val="5313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51760"/>
        <c:crosses val="autoZero"/>
        <c:auto val="1"/>
        <c:lblAlgn val="ctr"/>
        <c:lblOffset val="100"/>
        <c:noMultiLvlLbl val="0"/>
      </c:catAx>
      <c:valAx>
        <c:axId val="53135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>
                    <a:lumMod val="95000"/>
                    <a:lumOff val="5000"/>
                  </a:schemeClr>
                </a:solidFill>
              </a:rPr>
              <a:t> REPRESENTATIVIDADE PEDIDOS CONFERIDOS</a:t>
            </a:r>
          </a:p>
          <a:p>
            <a:pPr>
              <a:defRPr sz="10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10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1786372007366477"/>
              <c:y val="-3.876618799464458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1.6206261510128914E-2"/>
              <c:y val="-6.858633260590964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7.3664825046040563E-2"/>
              <c:y val="-5.069424583915062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11786372007366477"/>
              <c:y val="-3.876618799464458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layout>
            <c:manualLayout>
              <c:x val="-7.3664825046040563E-2"/>
              <c:y val="-5.069424583915062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1.6206261510128914E-2"/>
              <c:y val="-6.858633260590964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</c:pivotFmt>
      <c:pivotFmt>
        <c:idx val="25"/>
      </c:pivotFmt>
      <c:pivotFmt>
        <c:idx val="26"/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</c:pivotFmt>
      <c:pivotFmt>
        <c:idx val="29"/>
      </c:pivotFmt>
      <c:pivotFmt>
        <c:idx val="30"/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018377905052522E-2"/>
          <c:y val="0.28639108350796583"/>
          <c:w val="0.8929874531107489"/>
          <c:h val="0.4687346243462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'ANALISES CONF'!$B$149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'ANALISES CONF'!$A$150:$A$161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JAILSON </c:v>
                </c:pt>
                <c:pt idx="8">
                  <c:v>Pablyne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CONF'!$B$150:$B$161</c:f>
              <c:numCache>
                <c:formatCode>General</c:formatCode>
                <c:ptCount val="11"/>
                <c:pt idx="0">
                  <c:v>1747</c:v>
                </c:pt>
                <c:pt idx="1">
                  <c:v>1385</c:v>
                </c:pt>
                <c:pt idx="2">
                  <c:v>890</c:v>
                </c:pt>
                <c:pt idx="3">
                  <c:v>647</c:v>
                </c:pt>
                <c:pt idx="4">
                  <c:v>474</c:v>
                </c:pt>
                <c:pt idx="5">
                  <c:v>186</c:v>
                </c:pt>
                <c:pt idx="6">
                  <c:v>70</c:v>
                </c:pt>
                <c:pt idx="7">
                  <c:v>32</c:v>
                </c:pt>
                <c:pt idx="8">
                  <c:v>29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CF-40D7-B826-F88CC82B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531346320"/>
        <c:axId val="531352304"/>
      </c:barChart>
      <c:catAx>
        <c:axId val="53134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52304"/>
        <c:crosses val="autoZero"/>
        <c:auto val="1"/>
        <c:lblAlgn val="ctr"/>
        <c:lblOffset val="100"/>
        <c:noMultiLvlLbl val="0"/>
      </c:catAx>
      <c:valAx>
        <c:axId val="5313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>
                    <a:lumMod val="95000"/>
                    <a:lumOff val="5000"/>
                  </a:schemeClr>
                </a:solidFill>
              </a:rPr>
              <a:t>META</a:t>
            </a:r>
            <a:r>
              <a:rPr lang="pt-BR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CONFORMIDADE CONFERENCIA DE PEDIDOS</a:t>
            </a:r>
            <a:endParaRPr lang="pt-BR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92-496C-A1EE-DB0E51EF41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92-496C-A1EE-DB0E51EF4192}"/>
              </c:ext>
            </c:extLst>
          </c:dPt>
          <c:cat>
            <c:strRef>
              <c:f>'ANALISES CONF'!$D$2:$D$3</c:f>
              <c:strCache>
                <c:ptCount val="2"/>
                <c:pt idx="0">
                  <c:v>Atual</c:v>
                </c:pt>
                <c:pt idx="1">
                  <c:v>Faltante</c:v>
                </c:pt>
              </c:strCache>
            </c:strRef>
          </c:cat>
          <c:val>
            <c:numRef>
              <c:f>'ANALISES CONF'!$E$2:$E$3</c:f>
              <c:numCache>
                <c:formatCode>0.00%</c:formatCode>
                <c:ptCount val="2"/>
                <c:pt idx="0">
                  <c:v>0.99969579865239788</c:v>
                </c:pt>
                <c:pt idx="1">
                  <c:v>3.042013476021177E-4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92-496C-A1EE-DB0E51EF4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POSITIVACOES</a:t>
            </a:r>
            <a:r>
              <a:rPr lang="pt-BR" baseline="0"/>
              <a:t> POR REPRESENTANTE PERIODO GERAL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COMERCIAL'!$Q$36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COMERCIAL'!$P$37:$P$49</c:f>
              <c:strCache>
                <c:ptCount val="13"/>
                <c:pt idx="0">
                  <c:v>AMANDA</c:v>
                </c:pt>
                <c:pt idx="1">
                  <c:v>FLAVIO</c:v>
                </c:pt>
                <c:pt idx="2">
                  <c:v>JULIO CESAR</c:v>
                </c:pt>
                <c:pt idx="3">
                  <c:v>RENATO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SINIBALDO</c:v>
                </c:pt>
                <c:pt idx="8">
                  <c:v>VICTOR</c:v>
                </c:pt>
                <c:pt idx="9">
                  <c:v>IOLNDA</c:v>
                </c:pt>
                <c:pt idx="10">
                  <c:v>ANA</c:v>
                </c:pt>
                <c:pt idx="11">
                  <c:v>GABRIEL</c:v>
                </c:pt>
                <c:pt idx="12">
                  <c:v>JULIA</c:v>
                </c:pt>
              </c:strCache>
            </c:strRef>
          </c:cat>
          <c:val>
            <c:numRef>
              <c:f>'ANALISES COMERCIAL'!$Q$37:$Q$49</c:f>
              <c:numCache>
                <c:formatCode>0</c:formatCode>
                <c:ptCount val="13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9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9-45F6-BE71-2B887F60FC24}"/>
            </c:ext>
          </c:extLst>
        </c:ser>
        <c:ser>
          <c:idx val="1"/>
          <c:order val="1"/>
          <c:tx>
            <c:strRef>
              <c:f>'ANALISES COMERCIAL'!$R$36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COMERCIAL'!$P$37:$P$49</c:f>
              <c:strCache>
                <c:ptCount val="13"/>
                <c:pt idx="0">
                  <c:v>AMANDA</c:v>
                </c:pt>
                <c:pt idx="1">
                  <c:v>FLAVIO</c:v>
                </c:pt>
                <c:pt idx="2">
                  <c:v>JULIO CESAR</c:v>
                </c:pt>
                <c:pt idx="3">
                  <c:v>RENATO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SINIBALDO</c:v>
                </c:pt>
                <c:pt idx="8">
                  <c:v>VICTOR</c:v>
                </c:pt>
                <c:pt idx="9">
                  <c:v>IOLNDA</c:v>
                </c:pt>
                <c:pt idx="10">
                  <c:v>ANA</c:v>
                </c:pt>
                <c:pt idx="11">
                  <c:v>GABRIEL</c:v>
                </c:pt>
                <c:pt idx="12">
                  <c:v>JULIA</c:v>
                </c:pt>
              </c:strCache>
            </c:strRef>
          </c:cat>
          <c:val>
            <c:numRef>
              <c:f>'ANALISES COMERCIAL'!$R$37:$R$49</c:f>
              <c:numCache>
                <c:formatCode>0</c:formatCode>
                <c:ptCount val="13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9-45F6-BE71-2B887F60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256240864"/>
        <c:axId val="1256244472"/>
      </c:barChart>
      <c:lineChart>
        <c:grouping val="standard"/>
        <c:varyColors val="0"/>
        <c:ser>
          <c:idx val="2"/>
          <c:order val="2"/>
          <c:tx>
            <c:strRef>
              <c:f>'ANALISES COMERCIAL'!$S$36</c:f>
              <c:strCache>
                <c:ptCount val="1"/>
                <c:pt idx="0">
                  <c:v>CRESCIMENTO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'ANALISES COMERCIAL'!$P$37:$P$49</c:f>
              <c:strCache>
                <c:ptCount val="13"/>
                <c:pt idx="0">
                  <c:v>AMANDA</c:v>
                </c:pt>
                <c:pt idx="1">
                  <c:v>FLAVIO</c:v>
                </c:pt>
                <c:pt idx="2">
                  <c:v>JULIO CESAR</c:v>
                </c:pt>
                <c:pt idx="3">
                  <c:v>RENATO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SINIBALDO</c:v>
                </c:pt>
                <c:pt idx="8">
                  <c:v>VICTOR</c:v>
                </c:pt>
                <c:pt idx="9">
                  <c:v>IOLNDA</c:v>
                </c:pt>
                <c:pt idx="10">
                  <c:v>ANA</c:v>
                </c:pt>
                <c:pt idx="11">
                  <c:v>GABRIEL</c:v>
                </c:pt>
                <c:pt idx="12">
                  <c:v>JULIA</c:v>
                </c:pt>
              </c:strCache>
            </c:strRef>
          </c:cat>
          <c:val>
            <c:numRef>
              <c:f>'ANALISES COMERCIAL'!$S$37:$S$49</c:f>
              <c:numCache>
                <c:formatCode>0%</c:formatCode>
                <c:ptCount val="13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-0.55555555555555558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9-45F6-BE71-2B887F60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238240"/>
        <c:axId val="1256239552"/>
      </c:lineChart>
      <c:catAx>
        <c:axId val="125624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44472"/>
        <c:crosses val="autoZero"/>
        <c:auto val="1"/>
        <c:lblAlgn val="ctr"/>
        <c:lblOffset val="100"/>
        <c:noMultiLvlLbl val="0"/>
      </c:catAx>
      <c:valAx>
        <c:axId val="125624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40864"/>
        <c:crosses val="autoZero"/>
        <c:crossBetween val="between"/>
      </c:valAx>
      <c:valAx>
        <c:axId val="12562395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38240"/>
        <c:crosses val="max"/>
        <c:crossBetween val="between"/>
      </c:valAx>
      <c:catAx>
        <c:axId val="1256238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6239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REPRESENTANTE PERIODO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COMERCIAL'!$Q$1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COMERCIAL'!$P$2:$P$14</c:f>
              <c:strCache>
                <c:ptCount val="13"/>
                <c:pt idx="0">
                  <c:v>AMANDA</c:v>
                </c:pt>
                <c:pt idx="1">
                  <c:v>ANA</c:v>
                </c:pt>
                <c:pt idx="2">
                  <c:v>FLAVIO</c:v>
                </c:pt>
                <c:pt idx="3">
                  <c:v>GABRIEL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IOLANDA</c:v>
                </c:pt>
                <c:pt idx="8">
                  <c:v>JULIA</c:v>
                </c:pt>
                <c:pt idx="9">
                  <c:v>JULIO CESAR</c:v>
                </c:pt>
                <c:pt idx="10">
                  <c:v>RENATO</c:v>
                </c:pt>
                <c:pt idx="11">
                  <c:v>SINIBALDO</c:v>
                </c:pt>
                <c:pt idx="12">
                  <c:v>VICTOR</c:v>
                </c:pt>
              </c:strCache>
            </c:strRef>
          </c:cat>
          <c:val>
            <c:numRef>
              <c:f>'ANALISES COMERCIAL'!$Q$2:$Q$14</c:f>
              <c:numCache>
                <c:formatCode>"R$"\ #,##0.00</c:formatCode>
                <c:ptCount val="13"/>
                <c:pt idx="0">
                  <c:v>63415.37</c:v>
                </c:pt>
                <c:pt idx="1">
                  <c:v>151948.82999999999</c:v>
                </c:pt>
                <c:pt idx="2">
                  <c:v>43400.49</c:v>
                </c:pt>
                <c:pt idx="3">
                  <c:v>4466.9799999999996</c:v>
                </c:pt>
                <c:pt idx="4">
                  <c:v>621582.89</c:v>
                </c:pt>
                <c:pt idx="5">
                  <c:v>11530.23</c:v>
                </c:pt>
                <c:pt idx="6">
                  <c:v>8399.56</c:v>
                </c:pt>
                <c:pt idx="7">
                  <c:v>27967.200000000001</c:v>
                </c:pt>
                <c:pt idx="8">
                  <c:v>219146.11</c:v>
                </c:pt>
                <c:pt idx="9">
                  <c:v>25523.71</c:v>
                </c:pt>
                <c:pt idx="10">
                  <c:v>231307.25</c:v>
                </c:pt>
                <c:pt idx="11">
                  <c:v>153205.51999999999</c:v>
                </c:pt>
                <c:pt idx="12">
                  <c:v>6174.53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5-4594-AC3A-B9C3659AF84B}"/>
            </c:ext>
          </c:extLst>
        </c:ser>
        <c:ser>
          <c:idx val="1"/>
          <c:order val="1"/>
          <c:tx>
            <c:strRef>
              <c:f>'ANALISES COMERCIAL'!$R$1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COMERCIAL'!$P$2:$P$14</c:f>
              <c:strCache>
                <c:ptCount val="13"/>
                <c:pt idx="0">
                  <c:v>AMANDA</c:v>
                </c:pt>
                <c:pt idx="1">
                  <c:v>ANA</c:v>
                </c:pt>
                <c:pt idx="2">
                  <c:v>FLAVIO</c:v>
                </c:pt>
                <c:pt idx="3">
                  <c:v>GABRIEL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IOLANDA</c:v>
                </c:pt>
                <c:pt idx="8">
                  <c:v>JULIA</c:v>
                </c:pt>
                <c:pt idx="9">
                  <c:v>JULIO CESAR</c:v>
                </c:pt>
                <c:pt idx="10">
                  <c:v>RENATO</c:v>
                </c:pt>
                <c:pt idx="11">
                  <c:v>SINIBALDO</c:v>
                </c:pt>
                <c:pt idx="12">
                  <c:v>VICTOR</c:v>
                </c:pt>
              </c:strCache>
            </c:strRef>
          </c:cat>
          <c:val>
            <c:numRef>
              <c:f>'ANALISES COMERCIAL'!$R$2:$R$14</c:f>
              <c:numCache>
                <c:formatCode>"R$"\ #,##0.00</c:formatCode>
                <c:ptCount val="13"/>
                <c:pt idx="0">
                  <c:v>69097.539999999994</c:v>
                </c:pt>
                <c:pt idx="1">
                  <c:v>198386.32</c:v>
                </c:pt>
                <c:pt idx="2">
                  <c:v>90578.53</c:v>
                </c:pt>
                <c:pt idx="3">
                  <c:v>7893.42</c:v>
                </c:pt>
                <c:pt idx="4">
                  <c:v>611361.09</c:v>
                </c:pt>
                <c:pt idx="5">
                  <c:v>13773.95</c:v>
                </c:pt>
                <c:pt idx="6">
                  <c:v>34742.370000000003</c:v>
                </c:pt>
                <c:pt idx="7">
                  <c:v>67412.41</c:v>
                </c:pt>
                <c:pt idx="8">
                  <c:v>178980.94</c:v>
                </c:pt>
                <c:pt idx="9">
                  <c:v>38237.519999999997</c:v>
                </c:pt>
                <c:pt idx="10">
                  <c:v>283757.82</c:v>
                </c:pt>
                <c:pt idx="11">
                  <c:v>178716.43</c:v>
                </c:pt>
                <c:pt idx="12">
                  <c:v>12194.51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5-4594-AC3A-B9C3659A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291376"/>
        <c:axId val="1256297936"/>
      </c:barChart>
      <c:lineChart>
        <c:grouping val="standard"/>
        <c:varyColors val="0"/>
        <c:ser>
          <c:idx val="2"/>
          <c:order val="2"/>
          <c:tx>
            <c:strRef>
              <c:f>'ANALISES COMERCIAL'!$S$1</c:f>
              <c:strCache>
                <c:ptCount val="1"/>
                <c:pt idx="0">
                  <c:v>CRESCIMENTO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'ANALISES COMERCIAL'!$P$2:$P$14</c:f>
              <c:strCache>
                <c:ptCount val="13"/>
                <c:pt idx="0">
                  <c:v>AMANDA</c:v>
                </c:pt>
                <c:pt idx="1">
                  <c:v>ANA</c:v>
                </c:pt>
                <c:pt idx="2">
                  <c:v>FLAVIO</c:v>
                </c:pt>
                <c:pt idx="3">
                  <c:v>GABRIEL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IOLANDA</c:v>
                </c:pt>
                <c:pt idx="8">
                  <c:v>JULIA</c:v>
                </c:pt>
                <c:pt idx="9">
                  <c:v>JULIO CESAR</c:v>
                </c:pt>
                <c:pt idx="10">
                  <c:v>RENATO</c:v>
                </c:pt>
                <c:pt idx="11">
                  <c:v>SINIBALDO</c:v>
                </c:pt>
                <c:pt idx="12">
                  <c:v>VICTOR</c:v>
                </c:pt>
              </c:strCache>
            </c:strRef>
          </c:cat>
          <c:val>
            <c:numRef>
              <c:f>'ANALISES COMERCIAL'!$S$2:$S$14</c:f>
              <c:numCache>
                <c:formatCode>0.00%</c:formatCode>
                <c:ptCount val="13"/>
                <c:pt idx="0">
                  <c:v>8.9602410267416097E-2</c:v>
                </c:pt>
                <c:pt idx="1">
                  <c:v>0.30561268553367621</c:v>
                </c:pt>
                <c:pt idx="2">
                  <c:v>1.0870393398784208</c:v>
                </c:pt>
                <c:pt idx="3">
                  <c:v>0.76705962417561768</c:v>
                </c:pt>
                <c:pt idx="4">
                  <c:v>-1.6444789849347441E-2</c:v>
                </c:pt>
                <c:pt idx="5">
                  <c:v>0.19459455709036172</c:v>
                </c:pt>
                <c:pt idx="6">
                  <c:v>3.1362130873521954</c:v>
                </c:pt>
                <c:pt idx="7">
                  <c:v>1.4104096942132214</c:v>
                </c:pt>
                <c:pt idx="8">
                  <c:v>-0.18328032379858344</c:v>
                </c:pt>
                <c:pt idx="9">
                  <c:v>0.49811763258554492</c:v>
                </c:pt>
                <c:pt idx="10">
                  <c:v>0.22675713796260172</c:v>
                </c:pt>
                <c:pt idx="11">
                  <c:v>0.16651430052911936</c:v>
                </c:pt>
                <c:pt idx="12">
                  <c:v>0.97496975478295522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C5-4594-AC3A-B9C3659A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292032"/>
        <c:axId val="1256289408"/>
      </c:lineChart>
      <c:catAx>
        <c:axId val="125629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97936"/>
        <c:crosses val="autoZero"/>
        <c:auto val="1"/>
        <c:lblAlgn val="ctr"/>
        <c:lblOffset val="100"/>
        <c:noMultiLvlLbl val="0"/>
      </c:catAx>
      <c:valAx>
        <c:axId val="125629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91376"/>
        <c:crosses val="autoZero"/>
        <c:crossBetween val="between"/>
      </c:valAx>
      <c:valAx>
        <c:axId val="12562894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92032"/>
        <c:crosses val="max"/>
        <c:crossBetween val="between"/>
      </c:valAx>
      <c:catAx>
        <c:axId val="1256292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628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COMERCIAL!Tabela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EVOLUCAO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66666666666667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66666666666667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66666666666667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COMERCIAL'!$B$3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02C5-4AAC-98F4-2A04F9DCE4BB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66-4E31-9F90-757AFCA3FB3E}"/>
              </c:ext>
            </c:extLst>
          </c:dPt>
          <c:dLbls>
            <c:dLbl>
              <c:idx val="0"/>
              <c:layout>
                <c:manualLayout>
                  <c:x val="-6.6666666666666721E-2"/>
                  <c:y val="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C5-4AAC-98F4-2A04F9DCE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COMERCIAL'!$A$4:$A$6</c:f>
              <c:strCache>
                <c:ptCount val="2"/>
                <c:pt idx="0">
                  <c:v>JANEIRO</c:v>
                </c:pt>
                <c:pt idx="1">
                  <c:v>FEVEREIRO</c:v>
                </c:pt>
              </c:strCache>
            </c:strRef>
          </c:cat>
          <c:val>
            <c:numRef>
              <c:f>'ANALISES COMERCIAL'!$B$4:$B$6</c:f>
              <c:numCache>
                <c:formatCode>"R$"\ #,##0.00</c:formatCode>
                <c:ptCount val="2"/>
                <c:pt idx="0">
                  <c:v>1568068.67</c:v>
                </c:pt>
                <c:pt idx="1">
                  <c:v>1785132.85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5-4AAC-98F4-2A04F9DCE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6232664"/>
        <c:axId val="1256227744"/>
      </c:lineChart>
      <c:catAx>
        <c:axId val="125623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27744"/>
        <c:crosses val="autoZero"/>
        <c:auto val="1"/>
        <c:lblAlgn val="ctr"/>
        <c:lblOffset val="100"/>
        <c:noMultiLvlLbl val="0"/>
      </c:catAx>
      <c:valAx>
        <c:axId val="12562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3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COMERCIAL!Tabela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EVOLUCAO POSITIVACOES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0861111111111134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3.0833333333334352E-3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0861111111111134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3.0833333333334352E-3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0861111111111134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3.0833333333334352E-3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COMERCIAL'!$F$3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COMERCIAL'!$E$4:$E$6</c:f>
              <c:strCache>
                <c:ptCount val="2"/>
                <c:pt idx="0">
                  <c:v>JANEIRO</c:v>
                </c:pt>
                <c:pt idx="1">
                  <c:v>FEVEREIRO</c:v>
                </c:pt>
              </c:strCache>
            </c:strRef>
          </c:cat>
          <c:val>
            <c:numRef>
              <c:f>'ANALISES COMERCIAL'!$F$4:$F$6</c:f>
              <c:numCache>
                <c:formatCode>0</c:formatCode>
                <c:ptCount val="2"/>
                <c:pt idx="0">
                  <c:v>37</c:v>
                </c:pt>
                <c:pt idx="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F8-47F4-BD51-27BD668CC5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9234848"/>
        <c:axId val="809231896"/>
      </c:lineChart>
      <c:catAx>
        <c:axId val="80923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231896"/>
        <c:crosses val="autoZero"/>
        <c:auto val="1"/>
        <c:lblAlgn val="ctr"/>
        <c:lblOffset val="100"/>
        <c:noMultiLvlLbl val="0"/>
      </c:catAx>
      <c:valAx>
        <c:axId val="80923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2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RECEITAS MES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'BASE. FIN.'!$M$3</c:f>
              <c:strCache>
                <c:ptCount val="1"/>
                <c:pt idx="0">
                  <c:v>VALOR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'BASE. FIN.'!$L$4:$L$8</c:f>
              <c:strCache>
                <c:ptCount val="5"/>
                <c:pt idx="0">
                  <c:v>FERREIRA E MENDONÇA </c:v>
                </c:pt>
                <c:pt idx="1">
                  <c:v>FARMACIA YANOMELO</c:v>
                </c:pt>
                <c:pt idx="2">
                  <c:v>MORAES REPRESENTAÇÕES</c:v>
                </c:pt>
                <c:pt idx="3">
                  <c:v>RECMED</c:v>
                </c:pt>
                <c:pt idx="4">
                  <c:v>VIVA BEM </c:v>
                </c:pt>
              </c:strCache>
            </c:strRef>
          </c:cat>
          <c:val>
            <c:numRef>
              <c:f>'BASE. FIN.'!$M$4:$M$8</c:f>
              <c:numCache>
                <c:formatCode>_("R$"* #,##0.00_);_("R$"* \(#,##0.00\);_("R$"* "-"??_);_(@_)</c:formatCode>
                <c:ptCount val="5"/>
                <c:pt idx="0">
                  <c:v>24869.93</c:v>
                </c:pt>
                <c:pt idx="1">
                  <c:v>25303.09</c:v>
                </c:pt>
                <c:pt idx="2">
                  <c:v>30121</c:v>
                </c:pt>
                <c:pt idx="3">
                  <c:v>31797.84</c:v>
                </c:pt>
                <c:pt idx="4">
                  <c:v>40461.699999999997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5-496D-91A5-7980DEF7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2758783"/>
        <c:axId val="1612755039"/>
      </c:barChart>
      <c:catAx>
        <c:axId val="1612758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2755039"/>
        <c:crosses val="autoZero"/>
        <c:auto val="1"/>
        <c:lblAlgn val="ctr"/>
        <c:lblOffset val="100"/>
        <c:noMultiLvlLbl val="0"/>
      </c:catAx>
      <c:valAx>
        <c:axId val="16127550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275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DESPESAS MES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'BASE. FIN.'!$Q$3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'BASE. FIN.'!$P$4:$P$8</c:f>
              <c:strCache>
                <c:ptCount val="5"/>
                <c:pt idx="0">
                  <c:v>MANUTENÇÃO </c:v>
                </c:pt>
                <c:pt idx="1">
                  <c:v>COMPUTADORES E PERIFERICOS </c:v>
                </c:pt>
                <c:pt idx="2">
                  <c:v>TARIFAS BANCARIAS </c:v>
                </c:pt>
                <c:pt idx="3">
                  <c:v>COMBUSTIVEL </c:v>
                </c:pt>
                <c:pt idx="4">
                  <c:v>GASTOS COM VEICULOS </c:v>
                </c:pt>
              </c:strCache>
            </c:strRef>
          </c:cat>
          <c:val>
            <c:numRef>
              <c:f>'BASE. FIN.'!$Q$4:$Q$8</c:f>
              <c:numCache>
                <c:formatCode>_("R$"* #,##0.00_);_("R$"* \(#,##0.00\);_("R$"* "-"??_);_(@_)</c:formatCode>
                <c:ptCount val="5"/>
                <c:pt idx="0">
                  <c:v>2956.66</c:v>
                </c:pt>
                <c:pt idx="1">
                  <c:v>4794</c:v>
                </c:pt>
                <c:pt idx="2">
                  <c:v>5694.2</c:v>
                </c:pt>
                <c:pt idx="3">
                  <c:v>8400.02</c:v>
                </c:pt>
                <c:pt idx="4">
                  <c:v>12104.66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F-4EBB-ABE4-97687DA33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2760863"/>
        <c:axId val="1612757119"/>
      </c:barChart>
      <c:catAx>
        <c:axId val="161276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2757119"/>
        <c:crosses val="autoZero"/>
        <c:auto val="1"/>
        <c:lblAlgn val="ctr"/>
        <c:lblOffset val="100"/>
        <c:noMultiLvlLbl val="0"/>
      </c:catAx>
      <c:valAx>
        <c:axId val="16127571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27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FIN.!Tabela dinâmica10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EVOLUCAO MARGEM BRUTA LUCRO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351388888888889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FIN.'!$Q$3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F209-4621-A052-6F751E11A83E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0.1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09-4621-A052-6F751E11A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'ANALISES FIN.'!$P$4:$P$6</c:f>
              <c:multiLvlStrCache>
                <c:ptCount val="1"/>
                <c:lvl>
                  <c:pt idx="0">
                    <c:v>FEVEREIRO</c:v>
                  </c:pt>
                </c:lvl>
                <c:lvl>
                  <c:pt idx="0">
                    <c:v>Lucro antes pagamento dívidas, investimentos e sócio</c:v>
                  </c:pt>
                </c:lvl>
              </c:multiLvlStrCache>
            </c:multiLvlStrRef>
          </c:cat>
          <c:val>
            <c:numRef>
              <c:f>'ANALISES FIN.'!$Q$4:$Q$6</c:f>
              <c:numCache>
                <c:formatCode>"R$"\ #,##0.00</c:formatCode>
                <c:ptCount val="1"/>
                <c:pt idx="0">
                  <c:v>326747.93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9-4621-A052-6F751E11A8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55610095"/>
        <c:axId val="1455610511"/>
        <c:axId val="0"/>
      </c:bar3DChart>
      <c:catAx>
        <c:axId val="1455610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5610511"/>
        <c:crosses val="autoZero"/>
        <c:auto val="1"/>
        <c:lblAlgn val="ctr"/>
        <c:lblOffset val="100"/>
        <c:noMultiLvlLbl val="0"/>
      </c:catAx>
      <c:valAx>
        <c:axId val="145561051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45561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REPRES.</a:t>
            </a:r>
            <a:r>
              <a:rPr lang="pt-BR" baseline="0"/>
              <a:t> VENDAS  X COMPRAS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DE-4A87-AFD8-8F2C668144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DE-4A87-AFD8-8F2C66814408}"/>
              </c:ext>
            </c:extLst>
          </c:dPt>
          <c:dLbls>
            <c:dLbl>
              <c:idx val="0"/>
              <c:layout>
                <c:manualLayout>
                  <c:x val="0.14238722205928833"/>
                  <c:y val="0.231801119974278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DE-4A87-AFD8-8F2C66814408}"/>
                </c:ext>
              </c:extLst>
            </c:dLbl>
            <c:dLbl>
              <c:idx val="1"/>
              <c:layout>
                <c:manualLayout>
                  <c:x val="-0.17628894159721412"/>
                  <c:y val="-0.169393126135049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DE-4A87-AFD8-8F2C66814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FIN.'!$W$3:$X$3</c:f>
              <c:strCache>
                <c:ptCount val="2"/>
                <c:pt idx="0">
                  <c:v>VENDAS</c:v>
                </c:pt>
                <c:pt idx="1">
                  <c:v>COMPRAS</c:v>
                </c:pt>
              </c:strCache>
            </c:strRef>
          </c:cat>
          <c:val>
            <c:numRef>
              <c:f>'ANALISES FIN.'!$W$4:$X$4</c:f>
              <c:numCache>
                <c:formatCode>"R$"\ #,##0.00</c:formatCode>
                <c:ptCount val="2"/>
                <c:pt idx="0">
                  <c:v>1796497.92</c:v>
                </c:pt>
                <c:pt idx="1">
                  <c:v>1301864.8799999999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E-4A87-AFD8-8F2C6681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MARGEM CONTRIB. PREVISTO</a:t>
            </a:r>
            <a:r>
              <a:rPr lang="pt-BR" sz="1400" baseline="0"/>
              <a:t> X REALIZADO</a:t>
            </a:r>
            <a:r>
              <a:rPr lang="pt-BR" sz="14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7-4D8B-A2CD-038677D37C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FIN.'!$AI$1:$AJ$1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'ANALISES FIN.'!$AI$2:$AJ$2</c:f>
              <c:numCache>
                <c:formatCode>"R$"\ #,##0.00</c:formatCode>
                <c:ptCount val="2"/>
                <c:pt idx="0">
                  <c:v>530375.25</c:v>
                </c:pt>
                <c:pt idx="1">
                  <c:v>288855.31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7-4D8B-A2CD-038677D37C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44751080"/>
        <c:axId val="844751736"/>
      </c:barChart>
      <c:catAx>
        <c:axId val="844751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751736"/>
        <c:crosses val="autoZero"/>
        <c:auto val="1"/>
        <c:lblAlgn val="ctr"/>
        <c:lblOffset val="100"/>
        <c:noMultiLvlLbl val="0"/>
      </c:catAx>
      <c:valAx>
        <c:axId val="844751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4475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RESULT MES DRE PREVISTO X REALIZADO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6-4BC0-A9D5-42F14F3754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FIN.'!$AM$1:$AN$1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'ANALISES FIN.'!$AM$2:$AN$2</c:f>
              <c:numCache>
                <c:formatCode>"R$"\ #,##0.00</c:formatCode>
                <c:ptCount val="2"/>
                <c:pt idx="0">
                  <c:v>76509.75</c:v>
                </c:pt>
                <c:pt idx="1">
                  <c:v>56091.59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6-4BC0-A9D5-42F14F375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844683512"/>
        <c:axId val="844679904"/>
      </c:barChart>
      <c:catAx>
        <c:axId val="84468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679904"/>
        <c:crosses val="autoZero"/>
        <c:auto val="1"/>
        <c:lblAlgn val="ctr"/>
        <c:lblOffset val="100"/>
        <c:noMultiLvlLbl val="0"/>
      </c:catAx>
      <c:valAx>
        <c:axId val="84467990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4468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INADIMPLENCIAS</a:t>
            </a:r>
            <a:r>
              <a:rPr lang="pt-BR" baseline="0"/>
              <a:t> PREV X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2C-4764-9787-C428050516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FIN.'!$AQ$1:$AR$1</c:f>
              <c:strCache>
                <c:ptCount val="2"/>
                <c:pt idx="0">
                  <c:v>PREVISTO </c:v>
                </c:pt>
                <c:pt idx="1">
                  <c:v>REALIZADO</c:v>
                </c:pt>
              </c:strCache>
            </c:strRef>
          </c:cat>
          <c:val>
            <c:numRef>
              <c:f>'ANALISES FIN.'!$AQ$2:$AR$2</c:f>
              <c:numCache>
                <c:formatCode>"R$"\ #,##0.00</c:formatCode>
                <c:ptCount val="2"/>
                <c:pt idx="0">
                  <c:v>331808.28999999998</c:v>
                </c:pt>
                <c:pt idx="1">
                  <c:v>455960.81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C-4764-9787-C428050516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6573232"/>
        <c:axId val="446582088"/>
      </c:barChart>
      <c:catAx>
        <c:axId val="44657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582088"/>
        <c:crosses val="autoZero"/>
        <c:auto val="1"/>
        <c:lblAlgn val="ctr"/>
        <c:lblOffset val="100"/>
        <c:noMultiLvlLbl val="0"/>
      </c:catAx>
      <c:valAx>
        <c:axId val="446582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465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DISPONIB. CAIXA PREVISTO X REALIZADO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B-4AE2-B783-6173E793D0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FIN.'!$AA$1:$AB$1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'ANALISES FIN.'!$AA$2:$AB$2</c:f>
              <c:numCache>
                <c:formatCode>"R$"\ #,##0.00</c:formatCode>
                <c:ptCount val="2"/>
                <c:pt idx="0">
                  <c:v>128239.54</c:v>
                </c:pt>
                <c:pt idx="1">
                  <c:v>99628.87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AE2-B783-6173E793D0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19585288"/>
        <c:axId val="819578072"/>
      </c:barChart>
      <c:catAx>
        <c:axId val="819585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578072"/>
        <c:crosses val="autoZero"/>
        <c:auto val="1"/>
        <c:lblAlgn val="ctr"/>
        <c:lblOffset val="100"/>
        <c:noMultiLvlLbl val="0"/>
      </c:catAx>
      <c:valAx>
        <c:axId val="8195780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19585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SLA DESEMPENHO</a:t>
            </a:r>
            <a:r>
              <a:rPr lang="pt-BR" baseline="0"/>
              <a:t> ACURACIDADE SEPARACAO DE PEDIDOS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697731799509104E-2"/>
              <c:y val="-5.7985319378946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4308156913131119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79976853039561E-2"/>
              <c:y val="-7.249896089695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1857992183358271E-2"/>
              <c:y val="-4.780671660256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9977109691904841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139432253997215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4884912457962226E-3"/>
              <c:y val="2.1258739173083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45834351038852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756259464660811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513918063112285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8271576661563652E-2"/>
              <c:y val="-5.5349623043540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823474110033962E-2"/>
              <c:y val="-7.6435193726793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850165952819335E-2"/>
              <c:y val="-6.042008611051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924742368130074E-2"/>
              <c:y val="-4.783256817082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5798512"/>
        <c:axId val="2045787632"/>
      </c:lineChart>
      <c:catAx>
        <c:axId val="204579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87632"/>
        <c:crosses val="autoZero"/>
        <c:auto val="1"/>
        <c:lblAlgn val="ctr"/>
        <c:lblOffset val="100"/>
        <c:noMultiLvlLbl val="0"/>
      </c:catAx>
      <c:valAx>
        <c:axId val="20457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MEDIA</a:t>
            </a:r>
            <a:r>
              <a:rPr lang="en-US" baseline="0"/>
              <a:t> SKU SEPARADO POR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1435951122753E-2"/>
          <c:y val="0.14135643044619423"/>
          <c:w val="0.93905434364324969"/>
          <c:h val="0.7205434502505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'ANALISES SEPARACAO'!$C$47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SEPARACAO'!$B$48:$B$59</c:f>
              <c:strCache>
                <c:ptCount val="11"/>
                <c:pt idx="0">
                  <c:v>JOAO VITOR</c:v>
                </c:pt>
                <c:pt idx="1">
                  <c:v>PABLYNE SANTANA</c:v>
                </c:pt>
                <c:pt idx="2">
                  <c:v>RONALDO JOSE</c:v>
                </c:pt>
                <c:pt idx="3">
                  <c:v>GUILHERME HENRIQUE</c:v>
                </c:pt>
                <c:pt idx="4">
                  <c:v>MARILEUZA</c:v>
                </c:pt>
                <c:pt idx="5">
                  <c:v>JAILSON</c:v>
                </c:pt>
                <c:pt idx="6">
                  <c:v>FERNANDO BORGES</c:v>
                </c:pt>
                <c:pt idx="7">
                  <c:v>WARLEY GABRIEL</c:v>
                </c:pt>
                <c:pt idx="8">
                  <c:v>IGOR</c:v>
                </c:pt>
                <c:pt idx="9">
                  <c:v>WILSON JUNIOR</c:v>
                </c:pt>
                <c:pt idx="10">
                  <c:v>ARMANDO SANTOS</c:v>
                </c:pt>
              </c:strCache>
            </c:strRef>
          </c:cat>
          <c:val>
            <c:numRef>
              <c:f>'ANALISES SEPARACAO'!$C$48:$C$59</c:f>
              <c:numCache>
                <c:formatCode>0</c:formatCode>
                <c:ptCount val="11"/>
                <c:pt idx="0">
                  <c:v>6.8042291770160617</c:v>
                </c:pt>
                <c:pt idx="1">
                  <c:v>6.7789225589225595</c:v>
                </c:pt>
                <c:pt idx="2">
                  <c:v>6.2642847108211308</c:v>
                </c:pt>
                <c:pt idx="3">
                  <c:v>5.9220389805097451</c:v>
                </c:pt>
                <c:pt idx="4">
                  <c:v>5.8280556921204587</c:v>
                </c:pt>
                <c:pt idx="5">
                  <c:v>5.8012034497847322</c:v>
                </c:pt>
                <c:pt idx="6">
                  <c:v>5.6000514982969669</c:v>
                </c:pt>
                <c:pt idx="7">
                  <c:v>5.1560504446533866</c:v>
                </c:pt>
                <c:pt idx="8">
                  <c:v>4.9767605873359795</c:v>
                </c:pt>
                <c:pt idx="9">
                  <c:v>4.1380162466369352</c:v>
                </c:pt>
                <c:pt idx="10">
                  <c:v>3.8488635783720921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CEE-8EB8-5DCAB356B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45797424"/>
        <c:axId val="2045794160"/>
      </c:barChart>
      <c:catAx>
        <c:axId val="204579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4160"/>
        <c:crosses val="autoZero"/>
        <c:auto val="1"/>
        <c:lblAlgn val="ctr"/>
        <c:lblOffset val="100"/>
        <c:noMultiLvlLbl val="0"/>
      </c:catAx>
      <c:valAx>
        <c:axId val="20457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QUANTIDADE</a:t>
            </a:r>
            <a:r>
              <a:rPr lang="en-US" baseline="0"/>
              <a:t> ITENS SEPARADOR POR SEPARADOR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SEPARACAO'!$B$90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SEPARACAO'!$A$91:$A$102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ARMANDO SANTOS</c:v>
                </c:pt>
                <c:pt idx="5">
                  <c:v>WARLEY GABRIEL</c:v>
                </c:pt>
                <c:pt idx="6">
                  <c:v>MARILEUZA</c:v>
                </c:pt>
                <c:pt idx="7">
                  <c:v>IGOR</c:v>
                </c:pt>
                <c:pt idx="8">
                  <c:v>JAILSON</c:v>
                </c:pt>
                <c:pt idx="9">
                  <c:v>FERNANDO BORGES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SEPARACAO'!$B$91:$B$102</c:f>
              <c:numCache>
                <c:formatCode>General</c:formatCode>
                <c:ptCount val="11"/>
                <c:pt idx="0">
                  <c:v>1302</c:v>
                </c:pt>
                <c:pt idx="1">
                  <c:v>5304</c:v>
                </c:pt>
                <c:pt idx="2">
                  <c:v>5318</c:v>
                </c:pt>
                <c:pt idx="3">
                  <c:v>5655</c:v>
                </c:pt>
                <c:pt idx="4">
                  <c:v>8408</c:v>
                </c:pt>
                <c:pt idx="5">
                  <c:v>10417</c:v>
                </c:pt>
                <c:pt idx="6">
                  <c:v>19717</c:v>
                </c:pt>
                <c:pt idx="7">
                  <c:v>26267</c:v>
                </c:pt>
                <c:pt idx="8">
                  <c:v>27768</c:v>
                </c:pt>
                <c:pt idx="9">
                  <c:v>29463</c:v>
                </c:pt>
                <c:pt idx="10">
                  <c:v>52504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008-96E0-5AEF077C74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5792528"/>
        <c:axId val="2045793072"/>
        <c:axId val="0"/>
      </c:bar3DChart>
      <c:catAx>
        <c:axId val="20457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3072"/>
        <c:crosses val="autoZero"/>
        <c:auto val="1"/>
        <c:lblAlgn val="ctr"/>
        <c:lblOffset val="100"/>
        <c:noMultiLvlLbl val="0"/>
      </c:catAx>
      <c:valAx>
        <c:axId val="20457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SLA REPRESENTATIVIDADE</a:t>
            </a:r>
            <a:r>
              <a:rPr lang="en-US" sz="1200" baseline="0"/>
              <a:t> PEDIDOS SEPARADOR POR SEPARADOR</a:t>
            </a:r>
          </a:p>
          <a:p>
            <a:pPr algn="l"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46806258609938944"/>
          <c:y val="2.9162692604087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'ANALISES SEPARACAO'!$B$129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04-48E4-B28F-872BE2C509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04-48E4-B28F-872BE2C509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04-48E4-B28F-872BE2C509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04-48E4-B28F-872BE2C509F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A04-48E4-B28F-872BE2C509F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A04-48E4-B28F-872BE2C509F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A04-48E4-B28F-872BE2C509F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A04-48E4-B28F-872BE2C509F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A04-48E4-B28F-872BE2C509F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A04-48E4-B28F-872BE2C509F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A04-48E4-B28F-872BE2C509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SEPARACAO'!$A$130:$A$141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WARLEY GABRIEL</c:v>
                </c:pt>
                <c:pt idx="5">
                  <c:v>ARMANDO SANTOS</c:v>
                </c:pt>
                <c:pt idx="6">
                  <c:v>MARILEUZA</c:v>
                </c:pt>
                <c:pt idx="7">
                  <c:v>JAILSON</c:v>
                </c:pt>
                <c:pt idx="8">
                  <c:v>FERNANDO BORGES</c:v>
                </c:pt>
                <c:pt idx="9">
                  <c:v>IGOR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SEPARACAO'!$B$130:$B$141</c:f>
              <c:numCache>
                <c:formatCode>General</c:formatCode>
                <c:ptCount val="11"/>
                <c:pt idx="0">
                  <c:v>52</c:v>
                </c:pt>
                <c:pt idx="1">
                  <c:v>114</c:v>
                </c:pt>
                <c:pt idx="2">
                  <c:v>133</c:v>
                </c:pt>
                <c:pt idx="3">
                  <c:v>230</c:v>
                </c:pt>
                <c:pt idx="4">
                  <c:v>272</c:v>
                </c:pt>
                <c:pt idx="5">
                  <c:v>329</c:v>
                </c:pt>
                <c:pt idx="6">
                  <c:v>518</c:v>
                </c:pt>
                <c:pt idx="7">
                  <c:v>707</c:v>
                </c:pt>
                <c:pt idx="8">
                  <c:v>831</c:v>
                </c:pt>
                <c:pt idx="9">
                  <c:v>914</c:v>
                </c:pt>
                <c:pt idx="10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04-48E4-B28F-872BE2C509F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SLA DESEMPENHO</a:t>
            </a:r>
            <a:r>
              <a:rPr lang="pt-BR" baseline="0"/>
              <a:t> ACURACIDADE SEPARACAO DE PEDIDOS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697731799509104E-2"/>
              <c:y val="-5.7985319378946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4308156913131119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79976853039561E-2"/>
              <c:y val="-7.249896089695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1857992183358271E-2"/>
              <c:y val="-4.780671660256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9977109691904841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139432253997215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4884912457962226E-3"/>
              <c:y val="2.1258739173083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45834351038852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756259464660811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513918063112285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8271576661563652E-2"/>
              <c:y val="-5.5349623043540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823474110033962E-2"/>
              <c:y val="-7.6435193726793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850165952819335E-2"/>
              <c:y val="-6.042008611051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924742368130074E-2"/>
              <c:y val="-4.783256817082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CONF'!$B$29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1E3-4647-B9A3-D81D0684D0A5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1E3-4647-B9A3-D81D0684D0A5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1E3-4647-B9A3-D81D0684D0A5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1E3-4647-B9A3-D81D0684D0A5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1E3-4647-B9A3-D81D0684D0A5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1E3-4647-B9A3-D81D0684D0A5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1E3-4647-B9A3-D81D0684D0A5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1E3-4647-B9A3-D81D0684D0A5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1E3-4647-B9A3-D81D0684D0A5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1E3-4647-B9A3-D81D0684D0A5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61E3-4647-B9A3-D81D0684D0A5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61E3-4647-B9A3-D81D0684D0A5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61E3-4647-B9A3-D81D0684D0A5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61E3-4647-B9A3-D81D0684D0A5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61E3-4647-B9A3-D81D0684D0A5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61E3-4647-B9A3-D81D0684D0A5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61E3-4647-B9A3-D81D0684D0A5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61E3-4647-B9A3-D81D0684D0A5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61E3-4647-B9A3-D81D0684D0A5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61E3-4647-B9A3-D81D0684D0A5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61E3-4647-B9A3-D81D0684D0A5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61E3-4647-B9A3-D81D0684D0A5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61E3-4647-B9A3-D81D0684D0A5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61E3-4647-B9A3-D81D0684D0A5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61E3-4647-B9A3-D81D0684D0A5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1E3-4647-B9A3-D81D0684D0A5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1E3-4647-B9A3-D81D0684D0A5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1E3-4647-B9A3-D81D0684D0A5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1E3-4647-B9A3-D81D0684D0A5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1E3-4647-B9A3-D81D0684D0A5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1E3-4647-B9A3-D81D0684D0A5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1E3-4647-B9A3-D81D0684D0A5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1E3-4647-B9A3-D81D0684D0A5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1E3-4647-B9A3-D81D0684D0A5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1E3-4647-B9A3-D81D0684D0A5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1E3-4647-B9A3-D81D0684D0A5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1E3-4647-B9A3-D81D0684D0A5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D849-466D-A94B-9090BF5FF94B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849-466D-A94B-9090BF5FF94B}"/>
              </c:ext>
            </c:extLst>
          </c:dPt>
          <c:dPt>
            <c:idx val="3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D849-466D-A94B-9090BF5FF94B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849-466D-A94B-9090BF5FF94B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849-466D-A94B-9090BF5FF94B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849-466D-A94B-9090BF5FF94B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D849-466D-A94B-9090BF5FF94B}"/>
              </c:ext>
            </c:extLst>
          </c:dPt>
          <c:dPt>
            <c:idx val="4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D849-466D-A94B-9090BF5FF94B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D849-466D-A94B-9090BF5FF94B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D849-466D-A94B-9090BF5FF94B}"/>
              </c:ext>
            </c:extLst>
          </c:dPt>
          <c:dPt>
            <c:idx val="4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D849-466D-A94B-9090BF5FF94B}"/>
              </c:ext>
            </c:extLst>
          </c:dPt>
          <c:dPt>
            <c:idx val="4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D849-466D-A94B-9090BF5FF9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CONF'!$A$30:$A$79</c:f>
              <c:strCache>
                <c:ptCount val="49"/>
                <c:pt idx="0">
                  <c:v>02/01/2026</c:v>
                </c:pt>
                <c:pt idx="1">
                  <c:v>05/01/2026</c:v>
                </c:pt>
                <c:pt idx="2">
                  <c:v>06/01/2026</c:v>
                </c:pt>
                <c:pt idx="3">
                  <c:v>07/01/2026</c:v>
                </c:pt>
                <c:pt idx="4">
                  <c:v>08/01/2026</c:v>
                </c:pt>
                <c:pt idx="5">
                  <c:v>09/01/2026</c:v>
                </c:pt>
                <c:pt idx="6">
                  <c:v>10/01/2026</c:v>
                </c:pt>
                <c:pt idx="7">
                  <c:v>12/01/2026</c:v>
                </c:pt>
                <c:pt idx="8">
                  <c:v>13/01/2026</c:v>
                </c:pt>
                <c:pt idx="9">
                  <c:v>14/01/2026</c:v>
                </c:pt>
                <c:pt idx="10">
                  <c:v>15/01/2026</c:v>
                </c:pt>
                <c:pt idx="11">
                  <c:v>16/01/2026</c:v>
                </c:pt>
                <c:pt idx="12">
                  <c:v>17/01/2026</c:v>
                </c:pt>
                <c:pt idx="13">
                  <c:v>19/01/2026</c:v>
                </c:pt>
                <c:pt idx="14">
                  <c:v>20/01/2026</c:v>
                </c:pt>
                <c:pt idx="15">
                  <c:v>21/01/2026</c:v>
                </c:pt>
                <c:pt idx="16">
                  <c:v>22/01/2026</c:v>
                </c:pt>
                <c:pt idx="17">
                  <c:v>23/01/2026</c:v>
                </c:pt>
                <c:pt idx="18">
                  <c:v>24/01/2026</c:v>
                </c:pt>
                <c:pt idx="19">
                  <c:v>26/01/2026</c:v>
                </c:pt>
                <c:pt idx="20">
                  <c:v>27/01/2026</c:v>
                </c:pt>
                <c:pt idx="21">
                  <c:v>28/01/2026</c:v>
                </c:pt>
                <c:pt idx="22">
                  <c:v>29/01/2026</c:v>
                </c:pt>
                <c:pt idx="23">
                  <c:v>30/01/2026</c:v>
                </c:pt>
                <c:pt idx="24">
                  <c:v>31/01/2026</c:v>
                </c:pt>
                <c:pt idx="25">
                  <c:v>02/02/2026</c:v>
                </c:pt>
                <c:pt idx="26">
                  <c:v>03/02/2026</c:v>
                </c:pt>
                <c:pt idx="27">
                  <c:v>04/02/2026</c:v>
                </c:pt>
                <c:pt idx="28">
                  <c:v>05/02/2026</c:v>
                </c:pt>
                <c:pt idx="29">
                  <c:v>06/02/2026</c:v>
                </c:pt>
                <c:pt idx="30">
                  <c:v>07/02/2026</c:v>
                </c:pt>
                <c:pt idx="31">
                  <c:v>09/02/2026</c:v>
                </c:pt>
                <c:pt idx="32">
                  <c:v>10/02/2026</c:v>
                </c:pt>
                <c:pt idx="33">
                  <c:v>11/02/2026</c:v>
                </c:pt>
                <c:pt idx="34">
                  <c:v>12/02/2026</c:v>
                </c:pt>
                <c:pt idx="35">
                  <c:v>13/02/2026</c:v>
                </c:pt>
                <c:pt idx="36">
                  <c:v>14/02/2026</c:v>
                </c:pt>
                <c:pt idx="37">
                  <c:v>16/02/2026</c:v>
                </c:pt>
                <c:pt idx="38">
                  <c:v>17/02/2026</c:v>
                </c:pt>
                <c:pt idx="39">
                  <c:v>18/02/2026</c:v>
                </c:pt>
                <c:pt idx="40">
                  <c:v>19/02/2026</c:v>
                </c:pt>
                <c:pt idx="41">
                  <c:v>20/02/2026</c:v>
                </c:pt>
                <c:pt idx="42">
                  <c:v>21/02/2026</c:v>
                </c:pt>
                <c:pt idx="43">
                  <c:v>22/02/2026</c:v>
                </c:pt>
                <c:pt idx="44">
                  <c:v>24/02/2026</c:v>
                </c:pt>
                <c:pt idx="45">
                  <c:v>25/02/2026</c:v>
                </c:pt>
                <c:pt idx="46">
                  <c:v>26/02/2026</c:v>
                </c:pt>
                <c:pt idx="47">
                  <c:v>27/02/2026</c:v>
                </c:pt>
                <c:pt idx="48">
                  <c:v>28/02/2026</c:v>
                </c:pt>
              </c:strCache>
            </c:strRef>
          </c:cat>
          <c:val>
            <c:numRef>
              <c:f>'ANALISES CONF'!$B$30:$B$79</c:f>
              <c:numCache>
                <c:formatCode>0.00%</c:formatCode>
                <c:ptCount val="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0.99655172413793092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0.995</c:v>
                </c:pt>
                <c:pt idx="23">
                  <c:v>0.99444444444444446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1E3-4647-B9A3-D81D0684D0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1526672"/>
        <c:axId val="401531024"/>
      </c:lineChart>
      <c:catAx>
        <c:axId val="40152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31024"/>
        <c:crosses val="autoZero"/>
        <c:auto val="1"/>
        <c:lblAlgn val="ctr"/>
        <c:lblOffset val="100"/>
        <c:noMultiLvlLbl val="0"/>
      </c:catAx>
      <c:valAx>
        <c:axId val="4015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MEDIA</a:t>
            </a:r>
            <a:r>
              <a:rPr lang="en-US" baseline="0"/>
              <a:t> SKU SEPARADO POR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CONF'!$H$92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CONF'!$G$93:$G$104</c:f>
              <c:strCache>
                <c:ptCount val="11"/>
                <c:pt idx="0">
                  <c:v>GUIILHERME HENRIQUE</c:v>
                </c:pt>
                <c:pt idx="1">
                  <c:v>Marileuza</c:v>
                </c:pt>
                <c:pt idx="2">
                  <c:v>Ronaldo </c:v>
                </c:pt>
                <c:pt idx="3">
                  <c:v>Igor</c:v>
                </c:pt>
                <c:pt idx="4">
                  <c:v>Pablyne</c:v>
                </c:pt>
                <c:pt idx="5">
                  <c:v>Fernando</c:v>
                </c:pt>
                <c:pt idx="6">
                  <c:v>Joao Vitor</c:v>
                </c:pt>
                <c:pt idx="7">
                  <c:v>WARLEY GABRIEL</c:v>
                </c:pt>
                <c:pt idx="8">
                  <c:v>JAILSON </c:v>
                </c:pt>
                <c:pt idx="9">
                  <c:v>Armando</c:v>
                </c:pt>
                <c:pt idx="10">
                  <c:v>Wilson</c:v>
                </c:pt>
              </c:strCache>
            </c:strRef>
          </c:cat>
          <c:val>
            <c:numRef>
              <c:f>'ANALISES CONF'!$H$93:$H$104</c:f>
              <c:numCache>
                <c:formatCode>0</c:formatCode>
                <c:ptCount val="11"/>
                <c:pt idx="0">
                  <c:v>6.5</c:v>
                </c:pt>
                <c:pt idx="1">
                  <c:v>6.4987249386150134</c:v>
                </c:pt>
                <c:pt idx="2">
                  <c:v>6.0018004057016716</c:v>
                </c:pt>
                <c:pt idx="3">
                  <c:v>5.7190103371127403</c:v>
                </c:pt>
                <c:pt idx="4">
                  <c:v>5.6749999999999998</c:v>
                </c:pt>
                <c:pt idx="5">
                  <c:v>5.5420207703897644</c:v>
                </c:pt>
                <c:pt idx="6">
                  <c:v>5.4898809523809522</c:v>
                </c:pt>
                <c:pt idx="7">
                  <c:v>4.8</c:v>
                </c:pt>
                <c:pt idx="8">
                  <c:v>4.5130952380952376</c:v>
                </c:pt>
                <c:pt idx="9">
                  <c:v>4.3763878691455629</c:v>
                </c:pt>
                <c:pt idx="10">
                  <c:v>3.7443721719457019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6-4BC8-B20D-1C67CEE0B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1521232"/>
        <c:axId val="401519056"/>
      </c:barChart>
      <c:catAx>
        <c:axId val="4015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19056"/>
        <c:crosses val="autoZero"/>
        <c:auto val="1"/>
        <c:lblAlgn val="ctr"/>
        <c:lblOffset val="100"/>
        <c:noMultiLvlLbl val="0"/>
      </c:catAx>
      <c:valAx>
        <c:axId val="4015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QUANTIDADE</a:t>
            </a:r>
            <a:r>
              <a:rPr lang="en-US" baseline="0"/>
              <a:t> ITENS SEPARADOR POR SEPARADOR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CONF'!$B$110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CONF'!$A$111:$A$122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Pablyne</c:v>
                </c:pt>
                <c:pt idx="8">
                  <c:v>JAILSON 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CONF'!$B$111:$B$122</c:f>
              <c:numCache>
                <c:formatCode>General</c:formatCode>
                <c:ptCount val="11"/>
                <c:pt idx="0">
                  <c:v>59607</c:v>
                </c:pt>
                <c:pt idx="1">
                  <c:v>47208</c:v>
                </c:pt>
                <c:pt idx="2">
                  <c:v>30829</c:v>
                </c:pt>
                <c:pt idx="3">
                  <c:v>27245</c:v>
                </c:pt>
                <c:pt idx="4">
                  <c:v>20115</c:v>
                </c:pt>
                <c:pt idx="5">
                  <c:v>8912</c:v>
                </c:pt>
                <c:pt idx="6">
                  <c:v>2301</c:v>
                </c:pt>
                <c:pt idx="7">
                  <c:v>1615</c:v>
                </c:pt>
                <c:pt idx="8">
                  <c:v>688</c:v>
                </c:pt>
                <c:pt idx="9">
                  <c:v>283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7-43B2-B596-53EA9D4F7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01522864"/>
        <c:axId val="401532112"/>
        <c:axId val="0"/>
      </c:bar3DChart>
      <c:catAx>
        <c:axId val="4015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32112"/>
        <c:crosses val="autoZero"/>
        <c:auto val="1"/>
        <c:lblAlgn val="ctr"/>
        <c:lblOffset val="100"/>
        <c:noMultiLvlLbl val="0"/>
      </c:catAx>
      <c:valAx>
        <c:axId val="4015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SLA REPRESENTATIVIDADE</a:t>
            </a:r>
            <a:r>
              <a:rPr lang="en-US" sz="1200" baseline="0"/>
              <a:t> PEDIDOS SEPARADOR POR SEPARADOR</a:t>
            </a:r>
          </a:p>
          <a:p>
            <a:pPr algn="l"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46806258609938944"/>
          <c:y val="2.9162692604087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786372007366477"/>
              <c:y val="-3.87661879946445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206261510128914E-2"/>
              <c:y val="-6.85863326059096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3664825046040563E-2"/>
              <c:y val="-5.0694245839150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'ANALISES CONF'!$B$149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3E-4AE5-853C-29095C7268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3E-4AE5-853C-29095C7268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3E-4AE5-853C-29095C7268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3E-4AE5-853C-29095C7268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3E-4AE5-853C-29095C7268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A3E-4AE5-853C-29095C7268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A3E-4AE5-853C-29095C72689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A3E-4AE5-853C-29095C72689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A3E-4AE5-853C-29095C72689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A3E-4AE5-853C-29095C72689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A3E-4AE5-853C-29095C7268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CONF'!$A$150:$A$161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JAILSON </c:v>
                </c:pt>
                <c:pt idx="8">
                  <c:v>Pablyne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CONF'!$B$150:$B$161</c:f>
              <c:numCache>
                <c:formatCode>General</c:formatCode>
                <c:ptCount val="11"/>
                <c:pt idx="0">
                  <c:v>1747</c:v>
                </c:pt>
                <c:pt idx="1">
                  <c:v>1385</c:v>
                </c:pt>
                <c:pt idx="2">
                  <c:v>890</c:v>
                </c:pt>
                <c:pt idx="3">
                  <c:v>647</c:v>
                </c:pt>
                <c:pt idx="4">
                  <c:v>474</c:v>
                </c:pt>
                <c:pt idx="5">
                  <c:v>186</c:v>
                </c:pt>
                <c:pt idx="6">
                  <c:v>70</c:v>
                </c:pt>
                <c:pt idx="7">
                  <c:v>32</c:v>
                </c:pt>
                <c:pt idx="8">
                  <c:v>29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3E-4AE5-853C-29095C72689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SH SEPARACAO'!A1"/><Relationship Id="rId3" Type="http://schemas.openxmlformats.org/officeDocument/2006/relationships/hyperlink" Target="#LOGISTICA!A1"/><Relationship Id="rId7" Type="http://schemas.openxmlformats.org/officeDocument/2006/relationships/hyperlink" Target="#'DASH RECEB'!A1"/><Relationship Id="rId2" Type="http://schemas.openxmlformats.org/officeDocument/2006/relationships/image" Target="../media/image1.jpeg"/><Relationship Id="rId1" Type="http://schemas.openxmlformats.org/officeDocument/2006/relationships/hyperlink" Target="#'DASH COMERCIAL'!A1"/><Relationship Id="rId6" Type="http://schemas.openxmlformats.org/officeDocument/2006/relationships/hyperlink" Target="#'DASH DP'!A1"/><Relationship Id="rId5" Type="http://schemas.openxmlformats.org/officeDocument/2006/relationships/hyperlink" Target="#'DASH REGULATORIO'!A1"/><Relationship Id="rId4" Type="http://schemas.openxmlformats.org/officeDocument/2006/relationships/hyperlink" Target="#'DASH FINANCEIRO'!A1"/><Relationship Id="rId9" Type="http://schemas.openxmlformats.org/officeDocument/2006/relationships/hyperlink" Target="#'DASH CONF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hyperlink" Target="https://1drv.ms/x/c/ee83a35310b33a91/IQBVLVOMbqO8Sp1cIsYY7bLgAZqfiEeKxh1Xi4Erm5WLVDw" TargetMode="External"/><Relationship Id="rId18" Type="http://schemas.openxmlformats.org/officeDocument/2006/relationships/image" Target="../media/image11.png"/><Relationship Id="rId3" Type="http://schemas.openxmlformats.org/officeDocument/2006/relationships/hyperlink" Target="https://onedrive.live.com/:x:/g/personal/EE83A35310B33A91/IQCwDTB2S3VsS4XvDb93oTzvAZ12y1wU06j3CJwuOfthEPU?resid=EE83A35310B33A91!s76300db0754b4b6c85ef0dbf77a13cef&amp;ithint=file,xlsx&amp;migratedtospo=true&amp;redeem=aHR0cHM6Ly8xZHJ2Lm1zL3gvYy9lZTgzYTM1MzEwYjMzYTkxL0lRQ3dEVEIyUzNWc1M0WHZEYjkzb1R6dkFaMTJ5MXdVMDZqM0NKd3VPZnRoRVBV" TargetMode="External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hyperlink" Target="https://1drv.ms/x/c/ee83a35310b33a91/IQBlFI2EssZTSKk03p1H8FI4AdEk-moQ8kuG2W0ZUsHsLw4" TargetMode="External"/><Relationship Id="rId2" Type="http://schemas.openxmlformats.org/officeDocument/2006/relationships/image" Target="../media/image3.sv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hyperlink" Target="https://onedrive.live.com/:x:/g/personal/EE83A35310B33A91/IQB3NznhvaJdS5GXNxR-GNWaARz33ehE0uXULmBDOpmbV9M?resid=EE83A35310B33A91!se1393777a2bd4b5d919737147e18d59a&amp;ithint=file,xlsx&amp;migratedtospo=true&amp;redeem=aHR0cHM6Ly8xZHJ2Lm1zL3gvYy9lZTgzYTM1MzEwYjMzYTkxL0lRQjNOem5odmFKZFM1R1hOeFItR05XYUFSejMzZWhFMHVYVUxtQkRPcG1iVjlN" TargetMode="External"/><Relationship Id="rId10" Type="http://schemas.openxmlformats.org/officeDocument/2006/relationships/chart" Target="../charts/chart3.xml"/><Relationship Id="rId19" Type="http://schemas.openxmlformats.org/officeDocument/2006/relationships/hyperlink" Target="#MENU!A1"/><Relationship Id="rId4" Type="http://schemas.openxmlformats.org/officeDocument/2006/relationships/image" Target="../media/image4.png"/><Relationship Id="rId9" Type="http://schemas.openxmlformats.org/officeDocument/2006/relationships/chart" Target="../charts/chart2.xml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onedrive.live.com/:x:/g/personal/EE83A35310B33A91/IQCwDTB2S3VsS4XvDb93oTzvAZ12y1wU06j3CJwuOfthEPU?resid=EE83A35310B33A91!s76300db0754b4b6c85ef0dbf77a13cef&amp;ithint=file,xlsx&amp;migratedtospo=true&amp;redeem=aHR0cHM6Ly8xZHJ2Lm1zL3gvYy9lZTgzYTM1MzEwYjMzYTkxL0lRQ3dEVEIyUzNWc1M0WHZEYjkzb1R6dkFaMTJ5MXdVMDZqM0NKd3VPZnRoRVBV" TargetMode="External"/><Relationship Id="rId13" Type="http://schemas.openxmlformats.org/officeDocument/2006/relationships/image" Target="../media/image11.png"/><Relationship Id="rId3" Type="http://schemas.openxmlformats.org/officeDocument/2006/relationships/hyperlink" Target="https://1drv.ms/x/c/ee83a35310b33a91/IQBVLVOMbqO8Sp1cIsYY7bLgAZqfiEeKxh1Xi4Erm5WLVDw" TargetMode="External"/><Relationship Id="rId7" Type="http://schemas.openxmlformats.org/officeDocument/2006/relationships/chart" Target="../charts/chart7.xml"/><Relationship Id="rId12" Type="http://schemas.openxmlformats.org/officeDocument/2006/relationships/hyperlink" Target="https://1drv.ms/x/c/ee83a35310b33a91/IQBlFI2EssZTSKk03p1H8FI4AdEk-moQ8kuG2W0ZUsHsLw4" TargetMode="External"/><Relationship Id="rId2" Type="http://schemas.openxmlformats.org/officeDocument/2006/relationships/image" Target="../media/image3.svg"/><Relationship Id="rId16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chart" Target="../charts/chart6.xml"/><Relationship Id="rId11" Type="http://schemas.openxmlformats.org/officeDocument/2006/relationships/image" Target="../media/image10.png"/><Relationship Id="rId5" Type="http://schemas.openxmlformats.org/officeDocument/2006/relationships/chart" Target="../charts/chart5.xml"/><Relationship Id="rId15" Type="http://schemas.openxmlformats.org/officeDocument/2006/relationships/hyperlink" Target="#MENU!A1"/><Relationship Id="rId10" Type="http://schemas.openxmlformats.org/officeDocument/2006/relationships/hyperlink" Target="https://onedrive.live.com/:x:/g/personal/EE83A35310B33A91/IQB3NznhvaJdS5GXNxR-GNWaARz33ehE0uXULmBDOpmbV9M?resid=EE83A35310B33A91!se1393777a2bd4b5d919737147e18d59a&amp;ithint=file,xlsx&amp;migratedtospo=true&amp;redeem=aHR0cHM6Ly8xZHJ2Lm1zL3gvYy9lZTgzYTM1MzEwYjMzYTkxL0lRQjNOem5odmFKZFM1R1hOeFItR05XYUFSejMzZWhFMHVYVUxtQkRPcG1iVjlN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13.png"/><Relationship Id="rId1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hyperlink" Target="https://1drv.ms/x/c/ee83a35310b33a91/IQBlFI2EssZTSKk03p1H8FI4AdEk-moQ8kuG2W0ZUsHsLw4" TargetMode="External"/><Relationship Id="rId3" Type="http://schemas.openxmlformats.org/officeDocument/2006/relationships/hyperlink" Target="https://onedrive.live.com/:x:/g/personal/EE83A35310B33A91/IQB3NznhvaJdS5GXNxR-GNWaARz33ehE0uXULmBDOpmbV9M?resid=EE83A35310B33A91!se1393777a2bd4b5d919737147e18d59a&amp;ithint=file,xlsx&amp;migratedtospo=true&amp;redeem=aHR0cHM6Ly8xZHJ2Lm1zL3gvYy9lZTgzYTM1MzEwYjMzYTkxL0lRQjNOem5odmFKZFM1R1hOeFItR05XYUFSejMzZWhFMHVYVUxtQkRPcG1iVjlN" TargetMode="External"/><Relationship Id="rId7" Type="http://schemas.openxmlformats.org/officeDocument/2006/relationships/chart" Target="../charts/chart11.xml"/><Relationship Id="rId12" Type="http://schemas.openxmlformats.org/officeDocument/2006/relationships/image" Target="../media/image9.png"/><Relationship Id="rId2" Type="http://schemas.openxmlformats.org/officeDocument/2006/relationships/image" Target="../media/image3.svg"/><Relationship Id="rId16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chart" Target="../charts/chart10.xml"/><Relationship Id="rId11" Type="http://schemas.openxmlformats.org/officeDocument/2006/relationships/hyperlink" Target="https://1drv.ms/x/c/ee83a35310b33a91/IQBVLVOMbqO8Sp1cIsYY7bLgAZqfiEeKxh1Xi4Erm5WLVDw" TargetMode="External"/><Relationship Id="rId5" Type="http://schemas.openxmlformats.org/officeDocument/2006/relationships/chart" Target="../charts/chart9.xml"/><Relationship Id="rId15" Type="http://schemas.openxmlformats.org/officeDocument/2006/relationships/hyperlink" Target="#MENU!A1"/><Relationship Id="rId10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hyperlink" Target="https://onedrive.live.com/:x:/g/personal/EE83A35310B33A91/IQCwDTB2S3VsS4XvDb93oTzvAZ12y1wU06j3CJwuOfthEPU?resid=EE83A35310B33A91!s76300db0754b4b6c85ef0dbf77a13cef&amp;ithint=file,xlsx&amp;migratedtospo=true&amp;redeem=aHR0cHM6Ly8xZHJ2Lm1zL3gvYy9lZTgzYTM1MzEwYjMzYTkxL0lRQ3dEVEIyUzNWc1M0WHZEYjkzb1R6dkFaMTJ5MXdVMDZqM0NKd3VPZnRoRVBV" TargetMode="External"/><Relationship Id="rId1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chart" Target="../charts/chart16.xml"/><Relationship Id="rId3" Type="http://schemas.openxmlformats.org/officeDocument/2006/relationships/image" Target="../media/image14.jpeg"/><Relationship Id="rId7" Type="http://schemas.openxmlformats.org/officeDocument/2006/relationships/image" Target="../media/image18.png"/><Relationship Id="rId12" Type="http://schemas.openxmlformats.org/officeDocument/2006/relationships/chart" Target="../charts/chart15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17.png"/><Relationship Id="rId11" Type="http://schemas.openxmlformats.org/officeDocument/2006/relationships/chart" Target="../charts/chart14.xml"/><Relationship Id="rId5" Type="http://schemas.openxmlformats.org/officeDocument/2006/relationships/image" Target="../media/image16.png"/><Relationship Id="rId15" Type="http://schemas.openxmlformats.org/officeDocument/2006/relationships/image" Target="../media/image12.png"/><Relationship Id="rId10" Type="http://schemas.openxmlformats.org/officeDocument/2006/relationships/chart" Target="../charts/chart13.xml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image" Target="../media/image23.jpeg"/><Relationship Id="rId18" Type="http://schemas.openxmlformats.org/officeDocument/2006/relationships/image" Target="../media/image28.png"/><Relationship Id="rId3" Type="http://schemas.openxmlformats.org/officeDocument/2006/relationships/image" Target="../media/image15.png"/><Relationship Id="rId21" Type="http://schemas.openxmlformats.org/officeDocument/2006/relationships/chart" Target="../charts/chart23.xml"/><Relationship Id="rId7" Type="http://schemas.openxmlformats.org/officeDocument/2006/relationships/chart" Target="../charts/chart17.xml"/><Relationship Id="rId12" Type="http://schemas.openxmlformats.org/officeDocument/2006/relationships/image" Target="../media/image12.png"/><Relationship Id="rId17" Type="http://schemas.openxmlformats.org/officeDocument/2006/relationships/image" Target="../media/image27.png"/><Relationship Id="rId2" Type="http://schemas.openxmlformats.org/officeDocument/2006/relationships/image" Target="../media/image3.svg"/><Relationship Id="rId16" Type="http://schemas.openxmlformats.org/officeDocument/2006/relationships/image" Target="../media/image26.png"/><Relationship Id="rId20" Type="http://schemas.openxmlformats.org/officeDocument/2006/relationships/chart" Target="../charts/chart22.xml"/><Relationship Id="rId1" Type="http://schemas.openxmlformats.org/officeDocument/2006/relationships/image" Target="../media/image2.png"/><Relationship Id="rId6" Type="http://schemas.openxmlformats.org/officeDocument/2006/relationships/image" Target="../media/image22.png"/><Relationship Id="rId11" Type="http://schemas.openxmlformats.org/officeDocument/2006/relationships/hyperlink" Target="#MENU!A1"/><Relationship Id="rId5" Type="http://schemas.openxmlformats.org/officeDocument/2006/relationships/image" Target="../media/image21.png"/><Relationship Id="rId15" Type="http://schemas.openxmlformats.org/officeDocument/2006/relationships/image" Target="../media/image25.png"/><Relationship Id="rId10" Type="http://schemas.openxmlformats.org/officeDocument/2006/relationships/chart" Target="../charts/chart20.xml"/><Relationship Id="rId19" Type="http://schemas.openxmlformats.org/officeDocument/2006/relationships/chart" Target="../charts/chart21.xml"/><Relationship Id="rId4" Type="http://schemas.openxmlformats.org/officeDocument/2006/relationships/image" Target="../media/image17.png"/><Relationship Id="rId9" Type="http://schemas.openxmlformats.org/officeDocument/2006/relationships/chart" Target="../charts/chart19.xml"/><Relationship Id="rId14" Type="http://schemas.openxmlformats.org/officeDocument/2006/relationships/image" Target="../media/image24.png"/><Relationship Id="rId22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85725</xdr:colOff>
      <xdr:row>0</xdr:row>
      <xdr:rowOff>1</xdr:rowOff>
    </xdr:from>
    <xdr:to>
      <xdr:col>8</xdr:col>
      <xdr:colOff>542925</xdr:colOff>
      <xdr:row>11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PT 1">
              <a:extLst>
                <a:ext uri="{FF2B5EF4-FFF2-40B4-BE49-F238E27FC236}">
                  <a16:creationId xmlns:a16="http://schemas.microsoft.com/office/drawing/2014/main" id="{BB8C9564-684D-4ADC-8BAA-20A05EBF8E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0675" y="1"/>
              <a:ext cx="16764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1048576</xdr:row>
      <xdr:rowOff>11206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49AD4-06D7-4C56-88BE-0AB0869A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9706" cy="4964206"/>
        </a:xfrm>
        <a:prstGeom prst="rect">
          <a:avLst/>
        </a:prstGeom>
      </xdr:spPr>
    </xdr:pic>
    <xdr:clientData/>
  </xdr:twoCellAnchor>
  <xdr:twoCellAnchor>
    <xdr:from>
      <xdr:col>1</xdr:col>
      <xdr:colOff>781050</xdr:colOff>
      <xdr:row>11</xdr:row>
      <xdr:rowOff>0</xdr:rowOff>
    </xdr:from>
    <xdr:to>
      <xdr:col>1</xdr:col>
      <xdr:colOff>2257425</xdr:colOff>
      <xdr:row>19</xdr:row>
      <xdr:rowOff>95250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67C7DA-CD0D-421A-AD4E-DCD299B22725}"/>
            </a:ext>
          </a:extLst>
        </xdr:cNvPr>
        <xdr:cNvSpPr/>
      </xdr:nvSpPr>
      <xdr:spPr>
        <a:xfrm>
          <a:off x="1466850" y="1990725"/>
          <a:ext cx="1476375" cy="15430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142875</xdr:colOff>
      <xdr:row>11</xdr:row>
      <xdr:rowOff>38099</xdr:rowOff>
    </xdr:from>
    <xdr:to>
      <xdr:col>4</xdr:col>
      <xdr:colOff>304800</xdr:colOff>
      <xdr:row>19</xdr:row>
      <xdr:rowOff>9524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175C7E72-E7EC-4A95-90C7-9CD1EE601ABB}"/>
            </a:ext>
          </a:extLst>
        </xdr:cNvPr>
        <xdr:cNvSpPr/>
      </xdr:nvSpPr>
      <xdr:spPr>
        <a:xfrm>
          <a:off x="3590925" y="2028824"/>
          <a:ext cx="1533525" cy="14192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371475</xdr:colOff>
      <xdr:row>10</xdr:row>
      <xdr:rowOff>123825</xdr:rowOff>
    </xdr:from>
    <xdr:to>
      <xdr:col>7</xdr:col>
      <xdr:colOff>447675</xdr:colOff>
      <xdr:row>20</xdr:row>
      <xdr:rowOff>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19ABF4-EE71-47CB-817A-0C84DA10803E}"/>
            </a:ext>
          </a:extLst>
        </xdr:cNvPr>
        <xdr:cNvSpPr/>
      </xdr:nvSpPr>
      <xdr:spPr>
        <a:xfrm>
          <a:off x="5212416" y="2028825"/>
          <a:ext cx="1286435" cy="178117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476250</xdr:colOff>
      <xdr:row>10</xdr:row>
      <xdr:rowOff>38100</xdr:rowOff>
    </xdr:from>
    <xdr:to>
      <xdr:col>11</xdr:col>
      <xdr:colOff>104775</xdr:colOff>
      <xdr:row>20</xdr:row>
      <xdr:rowOff>76200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B3D5A7-B462-46CA-9A1D-E71AA17F3090}"/>
            </a:ext>
          </a:extLst>
        </xdr:cNvPr>
        <xdr:cNvSpPr/>
      </xdr:nvSpPr>
      <xdr:spPr>
        <a:xfrm>
          <a:off x="8039100" y="1847850"/>
          <a:ext cx="1685925" cy="18478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85725</xdr:colOff>
      <xdr:row>10</xdr:row>
      <xdr:rowOff>28575</xdr:rowOff>
    </xdr:from>
    <xdr:to>
      <xdr:col>14</xdr:col>
      <xdr:colOff>285750</xdr:colOff>
      <xdr:row>20</xdr:row>
      <xdr:rowOff>95250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1B2C8F-2606-4F02-8952-5A8707A59113}"/>
            </a:ext>
          </a:extLst>
        </xdr:cNvPr>
        <xdr:cNvSpPr/>
      </xdr:nvSpPr>
      <xdr:spPr>
        <a:xfrm>
          <a:off x="10391775" y="1838325"/>
          <a:ext cx="1571625" cy="18764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485776</xdr:colOff>
      <xdr:row>17</xdr:row>
      <xdr:rowOff>114301</xdr:rowOff>
    </xdr:from>
    <xdr:to>
      <xdr:col>1</xdr:col>
      <xdr:colOff>1095376</xdr:colOff>
      <xdr:row>19</xdr:row>
      <xdr:rowOff>19050</xdr:rowOff>
    </xdr:to>
    <xdr:sp macro="" textlink="">
      <xdr:nvSpPr>
        <xdr:cNvPr id="15" name="CaixaDeText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D2101E-DA66-43C5-A654-A54BB941F2C5}"/>
            </a:ext>
          </a:extLst>
        </xdr:cNvPr>
        <xdr:cNvSpPr txBox="1"/>
      </xdr:nvSpPr>
      <xdr:spPr>
        <a:xfrm>
          <a:off x="1171576" y="3190876"/>
          <a:ext cx="609600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RECEB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866775</xdr:colOff>
      <xdr:row>17</xdr:row>
      <xdr:rowOff>114300</xdr:rowOff>
    </xdr:from>
    <xdr:to>
      <xdr:col>1</xdr:col>
      <xdr:colOff>1514475</xdr:colOff>
      <xdr:row>18</xdr:row>
      <xdr:rowOff>161925</xdr:rowOff>
    </xdr:to>
    <xdr:sp macro="" textlink="">
      <xdr:nvSpPr>
        <xdr:cNvPr id="16" name="CaixaDeTexto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F43A01-8653-4E92-A04F-D4EDBBF1ABE9}"/>
            </a:ext>
          </a:extLst>
        </xdr:cNvPr>
        <xdr:cNvSpPr txBox="1"/>
      </xdr:nvSpPr>
      <xdr:spPr>
        <a:xfrm>
          <a:off x="1471893" y="3352800"/>
          <a:ext cx="6477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SEP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1238250</xdr:colOff>
      <xdr:row>17</xdr:row>
      <xdr:rowOff>114300</xdr:rowOff>
    </xdr:from>
    <xdr:to>
      <xdr:col>1</xdr:col>
      <xdr:colOff>1885950</xdr:colOff>
      <xdr:row>18</xdr:row>
      <xdr:rowOff>161925</xdr:rowOff>
    </xdr:to>
    <xdr:sp macro="" textlink="">
      <xdr:nvSpPr>
        <xdr:cNvPr id="17" name="CaixaDeTexto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3DA453-C405-47BF-B6DE-132A9BC4E6B3}"/>
            </a:ext>
          </a:extLst>
        </xdr:cNvPr>
        <xdr:cNvSpPr txBox="1"/>
      </xdr:nvSpPr>
      <xdr:spPr>
        <a:xfrm>
          <a:off x="1924050" y="3190875"/>
          <a:ext cx="647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CONF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1619250</xdr:colOff>
      <xdr:row>17</xdr:row>
      <xdr:rowOff>114300</xdr:rowOff>
    </xdr:from>
    <xdr:to>
      <xdr:col>1</xdr:col>
      <xdr:colOff>2266950</xdr:colOff>
      <xdr:row>18</xdr:row>
      <xdr:rowOff>161925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5C1FE317-0919-4446-96EC-004BFF428BCF}"/>
            </a:ext>
          </a:extLst>
        </xdr:cNvPr>
        <xdr:cNvSpPr txBox="1"/>
      </xdr:nvSpPr>
      <xdr:spPr>
        <a:xfrm>
          <a:off x="2305050" y="3190875"/>
          <a:ext cx="647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TRP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1952625</xdr:colOff>
      <xdr:row>17</xdr:row>
      <xdr:rowOff>114300</xdr:rowOff>
    </xdr:from>
    <xdr:to>
      <xdr:col>1</xdr:col>
      <xdr:colOff>2600325</xdr:colOff>
      <xdr:row>18</xdr:row>
      <xdr:rowOff>161925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EF4AD4F-DAEF-4E16-AF4A-23DBB80ED0DE}"/>
            </a:ext>
          </a:extLst>
        </xdr:cNvPr>
        <xdr:cNvSpPr txBox="1"/>
      </xdr:nvSpPr>
      <xdr:spPr>
        <a:xfrm>
          <a:off x="2638425" y="3190875"/>
          <a:ext cx="647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WN</a:t>
          </a:r>
        </a:p>
        <a:p>
          <a:pPr algn="ctr"/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354352</xdr:colOff>
      <xdr:row>0</xdr:row>
      <xdr:rowOff>35719</xdr:rowOff>
    </xdr:from>
    <xdr:to>
      <xdr:col>24</xdr:col>
      <xdr:colOff>333941</xdr:colOff>
      <xdr:row>48</xdr:row>
      <xdr:rowOff>35719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EFD70876-1366-4202-8EF2-DAC8ED19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4352" y="35719"/>
          <a:ext cx="16784410" cy="8490857"/>
        </a:xfrm>
        <a:prstGeom prst="rect">
          <a:avLst/>
        </a:prstGeom>
      </xdr:spPr>
    </xdr:pic>
    <xdr:clientData/>
  </xdr:twoCellAnchor>
  <xdr:twoCellAnchor>
    <xdr:from>
      <xdr:col>0</xdr:col>
      <xdr:colOff>610054</xdr:colOff>
      <xdr:row>0</xdr:row>
      <xdr:rowOff>174624</xdr:rowOff>
    </xdr:from>
    <xdr:to>
      <xdr:col>1</xdr:col>
      <xdr:colOff>273842</xdr:colOff>
      <xdr:row>43</xdr:row>
      <xdr:rowOff>31749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6B23EF6-3703-4070-8253-476B2DA314A1}"/>
            </a:ext>
          </a:extLst>
        </xdr:cNvPr>
        <xdr:cNvSpPr/>
      </xdr:nvSpPr>
      <xdr:spPr>
        <a:xfrm>
          <a:off x="610054" y="174624"/>
          <a:ext cx="825838" cy="8048625"/>
        </a:xfrm>
        <a:prstGeom prst="roundRect">
          <a:avLst>
            <a:gd name="adj" fmla="val 26936"/>
          </a:avLst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739321</xdr:colOff>
      <xdr:row>2</xdr:row>
      <xdr:rowOff>113393</xdr:rowOff>
    </xdr:from>
    <xdr:to>
      <xdr:col>1</xdr:col>
      <xdr:colOff>94594</xdr:colOff>
      <xdr:row>5</xdr:row>
      <xdr:rowOff>100831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CAEFCD-278B-4B82-9B0E-E7C439EF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9321" y="494393"/>
          <a:ext cx="517323" cy="523219"/>
        </a:xfrm>
        <a:prstGeom prst="rect">
          <a:avLst/>
        </a:prstGeom>
        <a:noFill/>
      </xdr:spPr>
    </xdr:pic>
    <xdr:clientData/>
  </xdr:twoCellAnchor>
  <xdr:twoCellAnchor>
    <xdr:from>
      <xdr:col>3</xdr:col>
      <xdr:colOff>163285</xdr:colOff>
      <xdr:row>7</xdr:row>
      <xdr:rowOff>27214</xdr:rowOff>
    </xdr:from>
    <xdr:to>
      <xdr:col>7</xdr:col>
      <xdr:colOff>190499</xdr:colOff>
      <xdr:row>11</xdr:row>
      <xdr:rowOff>13607</xdr:rowOff>
    </xdr:to>
    <xdr:sp macro="" textlink="'ANALISES RECEB'!D97">
      <xdr:nvSpPr>
        <xdr:cNvPr id="5" name="Retângulo: Cantos Arredondados 4">
          <a:extLst>
            <a:ext uri="{FF2B5EF4-FFF2-40B4-BE49-F238E27FC236}">
              <a16:creationId xmlns:a16="http://schemas.microsoft.com/office/drawing/2014/main" id="{76F6EE1A-3AC2-4B09-A545-4AE2D881E89A}"/>
            </a:ext>
          </a:extLst>
        </xdr:cNvPr>
        <xdr:cNvSpPr/>
      </xdr:nvSpPr>
      <xdr:spPr>
        <a:xfrm>
          <a:off x="2680606" y="1265464"/>
          <a:ext cx="2748643" cy="69396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5FC83191-86E9-43B1-8170-5A9A0B144ADA}" type="TxLink">
            <a:rPr lang="en-US" sz="16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</a:t>
          </a:fld>
          <a:endParaRPr lang="pt-BR" sz="2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9</xdr:col>
      <xdr:colOff>130968</xdr:colOff>
      <xdr:row>7</xdr:row>
      <xdr:rowOff>40821</xdr:rowOff>
    </xdr:from>
    <xdr:to>
      <xdr:col>12</xdr:col>
      <xdr:colOff>503463</xdr:colOff>
      <xdr:row>10</xdr:row>
      <xdr:rowOff>124610</xdr:rowOff>
    </xdr:to>
    <xdr:sp macro="" textlink="'ANALISES RECEB'!K1">
      <xdr:nvSpPr>
        <xdr:cNvPr id="6" name="Retângulo: Cantos Arredondados 5">
          <a:extLst>
            <a:ext uri="{FF2B5EF4-FFF2-40B4-BE49-F238E27FC236}">
              <a16:creationId xmlns:a16="http://schemas.microsoft.com/office/drawing/2014/main" id="{AEB4882D-A4B3-4FB5-A8B9-D7CA437045D9}"/>
            </a:ext>
          </a:extLst>
        </xdr:cNvPr>
        <xdr:cNvSpPr/>
      </xdr:nvSpPr>
      <xdr:spPr>
        <a:xfrm>
          <a:off x="6730432" y="1279071"/>
          <a:ext cx="2413567" cy="61446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16BE3713-4328-44B6-B3BC-F9CAD4EA5EF8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96,14%</a:t>
          </a:fld>
          <a:endParaRPr lang="en-US" sz="3200" b="1" i="0">
            <a:latin typeface="Calibri"/>
          </a:endParaRPr>
        </a:p>
      </xdr:txBody>
    </xdr:sp>
    <xdr:clientData/>
  </xdr:twoCellAnchor>
  <xdr:twoCellAnchor>
    <xdr:from>
      <xdr:col>14</xdr:col>
      <xdr:colOff>510267</xdr:colOff>
      <xdr:row>7</xdr:row>
      <xdr:rowOff>61798</xdr:rowOff>
    </xdr:from>
    <xdr:to>
      <xdr:col>18</xdr:col>
      <xdr:colOff>285750</xdr:colOff>
      <xdr:row>11</xdr:row>
      <xdr:rowOff>81643</xdr:rowOff>
    </xdr:to>
    <xdr:sp macro="" textlink="'ANALISES RECEB'!C1">
      <xdr:nvSpPr>
        <xdr:cNvPr id="7" name="Retângulo: Cantos Arredondados 6">
          <a:extLst>
            <a:ext uri="{FF2B5EF4-FFF2-40B4-BE49-F238E27FC236}">
              <a16:creationId xmlns:a16="http://schemas.microsoft.com/office/drawing/2014/main" id="{7668BF3A-FFD1-4F79-AC11-49361C9DD9EB}"/>
            </a:ext>
          </a:extLst>
        </xdr:cNvPr>
        <xdr:cNvSpPr/>
      </xdr:nvSpPr>
      <xdr:spPr>
        <a:xfrm>
          <a:off x="10511517" y="1300048"/>
          <a:ext cx="2496912" cy="727416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53836647-2665-41CF-8607-B3A21912EF01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3879</a:t>
          </a:fld>
          <a:endParaRPr lang="en-US" sz="1800" b="1">
            <a:latin typeface="Calibri"/>
          </a:endParaRPr>
        </a:p>
      </xdr:txBody>
    </xdr:sp>
    <xdr:clientData/>
  </xdr:twoCellAnchor>
  <xdr:twoCellAnchor>
    <xdr:from>
      <xdr:col>20</xdr:col>
      <xdr:colOff>214314</xdr:colOff>
      <xdr:row>8</xdr:row>
      <xdr:rowOff>31749</xdr:rowOff>
    </xdr:from>
    <xdr:to>
      <xdr:col>23</xdr:col>
      <xdr:colOff>567533</xdr:colOff>
      <xdr:row>10</xdr:row>
      <xdr:rowOff>180172</xdr:rowOff>
    </xdr:to>
    <xdr:sp macro="" textlink="'ANALISES RECEB'!G1">
      <xdr:nvSpPr>
        <xdr:cNvPr id="8" name="Retângulo: Cantos Arredondados 7">
          <a:extLst>
            <a:ext uri="{FF2B5EF4-FFF2-40B4-BE49-F238E27FC236}">
              <a16:creationId xmlns:a16="http://schemas.microsoft.com/office/drawing/2014/main" id="{554CA8AD-A4BB-4690-B9AB-C44F9032D214}"/>
            </a:ext>
          </a:extLst>
        </xdr:cNvPr>
        <xdr:cNvSpPr/>
      </xdr:nvSpPr>
      <xdr:spPr>
        <a:xfrm>
          <a:off x="12958764" y="1555749"/>
          <a:ext cx="2182019" cy="52942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5555A803-8089-4814-96D7-55703F18DCFF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207</a:t>
          </a:fld>
          <a:endParaRPr lang="pt-BR" sz="1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6</xdr:col>
      <xdr:colOff>333376</xdr:colOff>
      <xdr:row>0</xdr:row>
      <xdr:rowOff>166689</xdr:rowOff>
    </xdr:from>
    <xdr:to>
      <xdr:col>24</xdr:col>
      <xdr:colOff>83344</xdr:colOff>
      <xdr:row>4</xdr:row>
      <xdr:rowOff>119063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B706D047-06F5-4890-AC3C-0F47517EFBA3}"/>
            </a:ext>
          </a:extLst>
        </xdr:cNvPr>
        <xdr:cNvSpPr/>
      </xdr:nvSpPr>
      <xdr:spPr>
        <a:xfrm>
          <a:off x="4543426" y="166689"/>
          <a:ext cx="10722768" cy="71437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l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</a:t>
          </a:r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LOGÍSTICA (RECEBIMENTO DE MERCADORIAS)</a:t>
          </a:r>
        </a:p>
      </xdr:txBody>
    </xdr:sp>
    <xdr:clientData/>
  </xdr:twoCellAnchor>
  <xdr:twoCellAnchor>
    <xdr:from>
      <xdr:col>20</xdr:col>
      <xdr:colOff>297657</xdr:colOff>
      <xdr:row>6</xdr:row>
      <xdr:rowOff>35718</xdr:rowOff>
    </xdr:from>
    <xdr:to>
      <xdr:col>23</xdr:col>
      <xdr:colOff>462644</xdr:colOff>
      <xdr:row>8</xdr:row>
      <xdr:rowOff>68035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1E2AB85-0E9B-4BF3-945E-B6878B82B8EE}"/>
            </a:ext>
          </a:extLst>
        </xdr:cNvPr>
        <xdr:cNvSpPr/>
      </xdr:nvSpPr>
      <xdr:spPr>
        <a:xfrm>
          <a:off x="14381050" y="1097075"/>
          <a:ext cx="2206058" cy="38610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Recebimentos Merc</a:t>
          </a:r>
        </a:p>
      </xdr:txBody>
    </xdr:sp>
    <xdr:clientData/>
  </xdr:twoCellAnchor>
  <xdr:twoCellAnchor>
    <xdr:from>
      <xdr:col>14</xdr:col>
      <xdr:colOff>544852</xdr:colOff>
      <xdr:row>6</xdr:row>
      <xdr:rowOff>0</xdr:rowOff>
    </xdr:from>
    <xdr:to>
      <xdr:col>18</xdr:col>
      <xdr:colOff>238124</xdr:colOff>
      <xdr:row>7</xdr:row>
      <xdr:rowOff>83344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974385D-626D-4EA2-8727-597879F710C8}"/>
            </a:ext>
          </a:extLst>
        </xdr:cNvPr>
        <xdr:cNvSpPr/>
      </xdr:nvSpPr>
      <xdr:spPr>
        <a:xfrm>
          <a:off x="9631702" y="1143000"/>
          <a:ext cx="2131672" cy="27384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Volumes Recebidos</a:t>
          </a:r>
        </a:p>
      </xdr:txBody>
    </xdr:sp>
    <xdr:clientData/>
  </xdr:twoCellAnchor>
  <xdr:twoCellAnchor>
    <xdr:from>
      <xdr:col>9</xdr:col>
      <xdr:colOff>209096</xdr:colOff>
      <xdr:row>6</xdr:row>
      <xdr:rowOff>21431</xdr:rowOff>
    </xdr:from>
    <xdr:to>
      <xdr:col>12</xdr:col>
      <xdr:colOff>500062</xdr:colOff>
      <xdr:row>7</xdr:row>
      <xdr:rowOff>119062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64998303-106B-400B-B576-354D45BDA709}"/>
            </a:ext>
          </a:extLst>
        </xdr:cNvPr>
        <xdr:cNvSpPr/>
      </xdr:nvSpPr>
      <xdr:spPr>
        <a:xfrm>
          <a:off x="6247946" y="1164431"/>
          <a:ext cx="2119766" cy="2881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Performance Fornecedor</a:t>
          </a:r>
        </a:p>
      </xdr:txBody>
    </xdr:sp>
    <xdr:clientData/>
  </xdr:twoCellAnchor>
  <xdr:twoCellAnchor>
    <xdr:from>
      <xdr:col>3</xdr:col>
      <xdr:colOff>111464</xdr:colOff>
      <xdr:row>6</xdr:row>
      <xdr:rowOff>7144</xdr:rowOff>
    </xdr:from>
    <xdr:to>
      <xdr:col>7</xdr:col>
      <xdr:colOff>95250</xdr:colOff>
      <xdr:row>7</xdr:row>
      <xdr:rowOff>71437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D697844-0661-4027-BB2C-E2AEA35425F4}"/>
            </a:ext>
          </a:extLst>
        </xdr:cNvPr>
        <xdr:cNvSpPr/>
      </xdr:nvSpPr>
      <xdr:spPr>
        <a:xfrm>
          <a:off x="2492714" y="1150144"/>
          <a:ext cx="2422186" cy="25479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solidFill>
                <a:srgbClr val="002060"/>
              </a:solidFill>
            </a:rPr>
            <a:t>LEAD</a:t>
          </a:r>
          <a:r>
            <a:rPr lang="pt-BR" sz="1000" b="1" baseline="0">
              <a:solidFill>
                <a:srgbClr val="002060"/>
              </a:solidFill>
            </a:rPr>
            <a:t> TIME MEDIO DISPONIBILIZACAO MERC. </a:t>
          </a:r>
          <a:endParaRPr lang="pt-BR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166687</xdr:colOff>
      <xdr:row>5</xdr:row>
      <xdr:rowOff>154781</xdr:rowOff>
    </xdr:from>
    <xdr:to>
      <xdr:col>14</xdr:col>
      <xdr:colOff>544286</xdr:colOff>
      <xdr:row>11</xdr:row>
      <xdr:rowOff>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44212D7C-4D87-4392-9720-160DA69D8671}"/>
            </a:ext>
          </a:extLst>
        </xdr:cNvPr>
        <xdr:cNvSpPr/>
      </xdr:nvSpPr>
      <xdr:spPr>
        <a:xfrm>
          <a:off x="9487580" y="1039245"/>
          <a:ext cx="1057956" cy="90657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204104</xdr:colOff>
      <xdr:row>6</xdr:row>
      <xdr:rowOff>56130</xdr:rowOff>
    </xdr:from>
    <xdr:to>
      <xdr:col>14</xdr:col>
      <xdr:colOff>394608</xdr:colOff>
      <xdr:row>10</xdr:row>
      <xdr:rowOff>131016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36DCE52-BF03-4B0A-BDC3-8E3CFCB89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97" y="1117487"/>
          <a:ext cx="870861" cy="782458"/>
        </a:xfrm>
        <a:prstGeom prst="rect">
          <a:avLst/>
        </a:prstGeom>
      </xdr:spPr>
    </xdr:pic>
    <xdr:clientData/>
  </xdr:twoCellAnchor>
  <xdr:twoCellAnchor>
    <xdr:from>
      <xdr:col>18</xdr:col>
      <xdr:colOff>523875</xdr:colOff>
      <xdr:row>5</xdr:row>
      <xdr:rowOff>130970</xdr:rowOff>
    </xdr:from>
    <xdr:to>
      <xdr:col>20</xdr:col>
      <xdr:colOff>285749</xdr:colOff>
      <xdr:row>11</xdr:row>
      <xdr:rowOff>27215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89A39B14-9EEA-42F3-9D90-42441AA5CA04}"/>
            </a:ext>
          </a:extLst>
        </xdr:cNvPr>
        <xdr:cNvSpPr/>
      </xdr:nvSpPr>
      <xdr:spPr>
        <a:xfrm>
          <a:off x="13246554" y="1015434"/>
          <a:ext cx="1122588" cy="95760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636135</xdr:colOff>
      <xdr:row>5</xdr:row>
      <xdr:rowOff>129266</xdr:rowOff>
    </xdr:from>
    <xdr:to>
      <xdr:col>20</xdr:col>
      <xdr:colOff>347353</xdr:colOff>
      <xdr:row>10</xdr:row>
      <xdr:rowOff>136071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C2FB3C7-D785-4BDD-8389-14D36FD6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8814" y="1013730"/>
          <a:ext cx="1071932" cy="891270"/>
        </a:xfrm>
        <a:prstGeom prst="rect">
          <a:avLst/>
        </a:prstGeom>
      </xdr:spPr>
    </xdr:pic>
    <xdr:clientData/>
  </xdr:twoCellAnchor>
  <xdr:twoCellAnchor>
    <xdr:from>
      <xdr:col>7</xdr:col>
      <xdr:colOff>273844</xdr:colOff>
      <xdr:row>5</xdr:row>
      <xdr:rowOff>71438</xdr:rowOff>
    </xdr:from>
    <xdr:to>
      <xdr:col>9</xdr:col>
      <xdr:colOff>81643</xdr:colOff>
      <xdr:row>11</xdr:row>
      <xdr:rowOff>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79168433-EDD3-4477-A9FB-82F32856BCBB}"/>
            </a:ext>
          </a:extLst>
        </xdr:cNvPr>
        <xdr:cNvSpPr/>
      </xdr:nvSpPr>
      <xdr:spPr>
        <a:xfrm>
          <a:off x="5512594" y="955902"/>
          <a:ext cx="1168513" cy="989919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413320</xdr:colOff>
      <xdr:row>5</xdr:row>
      <xdr:rowOff>146276</xdr:rowOff>
    </xdr:from>
    <xdr:to>
      <xdr:col>9</xdr:col>
      <xdr:colOff>108858</xdr:colOff>
      <xdr:row>10</xdr:row>
      <xdr:rowOff>108857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3B5754A-3027-47F0-94E5-2E4FF400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2070" y="1030740"/>
          <a:ext cx="1056252" cy="847046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5</xdr:row>
      <xdr:rowOff>45245</xdr:rowOff>
    </xdr:from>
    <xdr:to>
      <xdr:col>3</xdr:col>
      <xdr:colOff>137660</xdr:colOff>
      <xdr:row>11</xdr:row>
      <xdr:rowOff>11906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FB200B18-87D0-4C2B-B509-3F44BA517488}"/>
            </a:ext>
          </a:extLst>
        </xdr:cNvPr>
        <xdr:cNvSpPr/>
      </xdr:nvSpPr>
      <xdr:spPr>
        <a:xfrm>
          <a:off x="1543049" y="997745"/>
          <a:ext cx="975861" cy="110966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401975</xdr:colOff>
      <xdr:row>12</xdr:row>
      <xdr:rowOff>47626</xdr:rowOff>
    </xdr:from>
    <xdr:to>
      <xdr:col>23</xdr:col>
      <xdr:colOff>559593</xdr:colOff>
      <xdr:row>27</xdr:row>
      <xdr:rowOff>11906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76D819A-B709-4FE6-905E-8FAE2CEB1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333376</xdr:colOff>
      <xdr:row>11</xdr:row>
      <xdr:rowOff>178593</xdr:rowOff>
    </xdr:from>
    <xdr:to>
      <xdr:col>4</xdr:col>
      <xdr:colOff>488156</xdr:colOff>
      <xdr:row>21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DATA PEDIDO">
              <a:extLst>
                <a:ext uri="{FF2B5EF4-FFF2-40B4-BE49-F238E27FC236}">
                  <a16:creationId xmlns:a16="http://schemas.microsoft.com/office/drawing/2014/main" id="{59832DD4-DA0A-4F44-8C91-6BB2621AF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9983" y="2124414"/>
              <a:ext cx="2195852" cy="1685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47624</xdr:colOff>
      <xdr:row>12</xdr:row>
      <xdr:rowOff>11906</xdr:rowOff>
    </xdr:from>
    <xdr:to>
      <xdr:col>13</xdr:col>
      <xdr:colOff>261937</xdr:colOff>
      <xdr:row>43</xdr:row>
      <xdr:rowOff>142875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196D4BBA-1AEC-4BF6-B78B-7A22522EFA71}"/>
            </a:ext>
          </a:extLst>
        </xdr:cNvPr>
        <xdr:cNvSpPr/>
      </xdr:nvSpPr>
      <xdr:spPr>
        <a:xfrm>
          <a:off x="3648074" y="2297906"/>
          <a:ext cx="5091113" cy="6036469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endParaRPr lang="en-US" sz="2000" b="1">
            <a:latin typeface="Calibri"/>
          </a:endParaRPr>
        </a:p>
      </xdr:txBody>
    </xdr:sp>
    <xdr:clientData/>
  </xdr:twoCellAnchor>
  <xdr:twoCellAnchor>
    <xdr:from>
      <xdr:col>5</xdr:col>
      <xdr:colOff>35719</xdr:colOff>
      <xdr:row>12</xdr:row>
      <xdr:rowOff>71437</xdr:rowOff>
    </xdr:from>
    <xdr:to>
      <xdr:col>13</xdr:col>
      <xdr:colOff>285748</xdr:colOff>
      <xdr:row>30</xdr:row>
      <xdr:rowOff>154781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803A650B-A698-49E4-B6AD-858181C38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590209</xdr:colOff>
      <xdr:row>30</xdr:row>
      <xdr:rowOff>64633</xdr:rowOff>
    </xdr:from>
    <xdr:to>
      <xdr:col>23</xdr:col>
      <xdr:colOff>661647</xdr:colOff>
      <xdr:row>45</xdr:row>
      <xdr:rowOff>52726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CAD70F5-38A8-4362-8004-86C5DC53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387803</xdr:colOff>
      <xdr:row>32</xdr:row>
      <xdr:rowOff>171790</xdr:rowOff>
    </xdr:from>
    <xdr:to>
      <xdr:col>4</xdr:col>
      <xdr:colOff>476250</xdr:colOff>
      <xdr:row>43</xdr:row>
      <xdr:rowOff>158183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FORNECEDOR">
              <a:extLst>
                <a:ext uri="{FF2B5EF4-FFF2-40B4-BE49-F238E27FC236}">
                  <a16:creationId xmlns:a16="http://schemas.microsoft.com/office/drawing/2014/main" id="{6FD7F3F8-AFFE-4B3E-9A69-552FE521A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410" y="5832361"/>
              <a:ext cx="2129519" cy="193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416720</xdr:colOff>
      <xdr:row>5</xdr:row>
      <xdr:rowOff>149410</xdr:rowOff>
    </xdr:from>
    <xdr:to>
      <xdr:col>3</xdr:col>
      <xdr:colOff>23812</xdr:colOff>
      <xdr:row>10</xdr:row>
      <xdr:rowOff>77970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D9C03A06-2283-47D0-892E-1867D147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70" y="1101910"/>
          <a:ext cx="826292" cy="821529"/>
        </a:xfrm>
        <a:prstGeom prst="rect">
          <a:avLst/>
        </a:prstGeom>
      </xdr:spPr>
    </xdr:pic>
    <xdr:clientData/>
  </xdr:twoCellAnchor>
  <xdr:twoCellAnchor>
    <xdr:from>
      <xdr:col>21</xdr:col>
      <xdr:colOff>95251</xdr:colOff>
      <xdr:row>2</xdr:row>
      <xdr:rowOff>107156</xdr:rowOff>
    </xdr:from>
    <xdr:to>
      <xdr:col>23</xdr:col>
      <xdr:colOff>583406</xdr:colOff>
      <xdr:row>4</xdr:row>
      <xdr:rowOff>17454</xdr:rowOff>
    </xdr:to>
    <xdr:sp macro="" textlink="'ANALISES RECEB'!N1">
      <xdr:nvSpPr>
        <xdr:cNvPr id="28" name="Retângulo: Cantos Arredondados 27">
          <a:extLst>
            <a:ext uri="{FF2B5EF4-FFF2-40B4-BE49-F238E27FC236}">
              <a16:creationId xmlns:a16="http://schemas.microsoft.com/office/drawing/2014/main" id="{BAFDA78C-37F6-424B-964E-5D58EEB0AE79}"/>
            </a:ext>
          </a:extLst>
        </xdr:cNvPr>
        <xdr:cNvSpPr/>
      </xdr:nvSpPr>
      <xdr:spPr>
        <a:xfrm>
          <a:off x="13449301" y="488156"/>
          <a:ext cx="1707355" cy="29129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7CB63B0F-1353-4554-8323-3EE8DC3D8B54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98,07%</a:t>
          </a:fld>
          <a:endParaRPr lang="pt-BR" sz="32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20</xdr:col>
      <xdr:colOff>547688</xdr:colOff>
      <xdr:row>0</xdr:row>
      <xdr:rowOff>130969</xdr:rowOff>
    </xdr:from>
    <xdr:to>
      <xdr:col>24</xdr:col>
      <xdr:colOff>231435</xdr:colOff>
      <xdr:row>2</xdr:row>
      <xdr:rowOff>38100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D41E71CD-2F54-41F8-87BF-7E83879CD624}"/>
            </a:ext>
          </a:extLst>
        </xdr:cNvPr>
        <xdr:cNvSpPr/>
      </xdr:nvSpPr>
      <xdr:spPr>
        <a:xfrm>
          <a:off x="13292138" y="130969"/>
          <a:ext cx="2122147" cy="2881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%</a:t>
          </a:r>
          <a:r>
            <a:rPr lang="pt-BR" sz="1400" b="1" baseline="0">
              <a:solidFill>
                <a:srgbClr val="002060"/>
              </a:solidFill>
            </a:rPr>
            <a:t> </a:t>
          </a:r>
          <a:r>
            <a:rPr lang="pt-BR" sz="1200" b="1" baseline="0">
              <a:solidFill>
                <a:srgbClr val="002060"/>
              </a:solidFill>
            </a:rPr>
            <a:t>ACURACIDADE OPERADOR</a:t>
          </a:r>
        </a:p>
        <a:p>
          <a:pPr algn="l"/>
          <a:endParaRPr lang="pt-BR" sz="1400" b="1" baseline="0">
            <a:solidFill>
              <a:srgbClr val="002060"/>
            </a:solidFill>
          </a:endParaRPr>
        </a:p>
        <a:p>
          <a:pPr algn="l"/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</xdr:col>
      <xdr:colOff>354352</xdr:colOff>
      <xdr:row>21</xdr:row>
      <xdr:rowOff>35717</xdr:rowOff>
    </xdr:from>
    <xdr:to>
      <xdr:col>4</xdr:col>
      <xdr:colOff>476250</xdr:colOff>
      <xdr:row>27</xdr:row>
      <xdr:rowOff>107157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ÊS">
              <a:extLst>
                <a:ext uri="{FF2B5EF4-FFF2-40B4-BE49-F238E27FC236}">
                  <a16:creationId xmlns:a16="http://schemas.microsoft.com/office/drawing/2014/main" id="{8CDC59E0-0991-48B0-A83E-2E5BB10C82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959" y="3750467"/>
              <a:ext cx="2162970" cy="1132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354352</xdr:colOff>
      <xdr:row>27</xdr:row>
      <xdr:rowOff>130969</xdr:rowOff>
    </xdr:from>
    <xdr:to>
      <xdr:col>4</xdr:col>
      <xdr:colOff>511967</xdr:colOff>
      <xdr:row>32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SEMANA">
              <a:extLst>
                <a:ext uri="{FF2B5EF4-FFF2-40B4-BE49-F238E27FC236}">
                  <a16:creationId xmlns:a16="http://schemas.microsoft.com/office/drawing/2014/main" id="{81127107-6932-4505-9B1B-0BB892A14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959" y="4907076"/>
              <a:ext cx="2198687" cy="896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66333</xdr:colOff>
      <xdr:row>32</xdr:row>
      <xdr:rowOff>108858</xdr:rowOff>
    </xdr:from>
    <xdr:to>
      <xdr:col>13</xdr:col>
      <xdr:colOff>316365</xdr:colOff>
      <xdr:row>45</xdr:row>
      <xdr:rowOff>51026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6F36CC74-C741-4A88-B555-CDB5AD3DE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479651</xdr:colOff>
      <xdr:row>37</xdr:row>
      <xdr:rowOff>154781</xdr:rowOff>
    </xdr:from>
    <xdr:to>
      <xdr:col>9</xdr:col>
      <xdr:colOff>670151</xdr:colOff>
      <xdr:row>40</xdr:row>
      <xdr:rowOff>37420</xdr:rowOff>
    </xdr:to>
    <xdr:sp macro="" textlink="'ANALISES RECEB'!M81">
      <xdr:nvSpPr>
        <xdr:cNvPr id="33" name="CaixaDeTexto 32">
          <a:extLst>
            <a:ext uri="{FF2B5EF4-FFF2-40B4-BE49-F238E27FC236}">
              <a16:creationId xmlns:a16="http://schemas.microsoft.com/office/drawing/2014/main" id="{EE070B35-7B43-48A3-9E40-C10AFE7660A2}"/>
            </a:ext>
          </a:extLst>
        </xdr:cNvPr>
        <xdr:cNvSpPr txBox="1"/>
      </xdr:nvSpPr>
      <xdr:spPr>
        <a:xfrm>
          <a:off x="6398758" y="6699817"/>
          <a:ext cx="870857" cy="413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D3A8683-AEEE-440D-9508-8F9705AE0682}" type="TxLink">
            <a:rPr lang="en-US" sz="1700" b="1" i="0" u="none" strike="noStrike">
              <a:solidFill>
                <a:sysClr val="windowText" lastClr="000000"/>
              </a:solidFill>
              <a:latin typeface="Aptos Narrow"/>
              <a:ea typeface="Calibri"/>
              <a:cs typeface="Calibri"/>
            </a:rPr>
            <a:pPr/>
            <a:t>65,70%</a:t>
          </a:fld>
          <a:endParaRPr lang="pt-BR" sz="1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642938</xdr:colOff>
      <xdr:row>5</xdr:row>
      <xdr:rowOff>119062</xdr:rowOff>
    </xdr:from>
    <xdr:to>
      <xdr:col>1</xdr:col>
      <xdr:colOff>154781</xdr:colOff>
      <xdr:row>6</xdr:row>
      <xdr:rowOff>130969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1DAA0638-AA40-4307-BB87-E3916F5B61A9}"/>
            </a:ext>
          </a:extLst>
        </xdr:cNvPr>
        <xdr:cNvSpPr txBox="1"/>
      </xdr:nvSpPr>
      <xdr:spPr>
        <a:xfrm>
          <a:off x="642938" y="1071562"/>
          <a:ext cx="673893" cy="202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ATUAL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631032</xdr:colOff>
      <xdr:row>8</xdr:row>
      <xdr:rowOff>59532</xdr:rowOff>
    </xdr:from>
    <xdr:to>
      <xdr:col>1</xdr:col>
      <xdr:colOff>107156</xdr:colOff>
      <xdr:row>11</xdr:row>
      <xdr:rowOff>166688</xdr:rowOff>
    </xdr:to>
    <xdr:pic>
      <xdr:nvPicPr>
        <xdr:cNvPr id="35" name="Imagem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C5FCBE5-62B7-44FC-85FA-1530472CB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2" y="1583532"/>
          <a:ext cx="638174" cy="642937"/>
        </a:xfrm>
        <a:prstGeom prst="rect">
          <a:avLst/>
        </a:prstGeom>
      </xdr:spPr>
    </xdr:pic>
    <xdr:clientData/>
  </xdr:twoCellAnchor>
  <xdr:twoCellAnchor>
    <xdr:from>
      <xdr:col>0</xdr:col>
      <xdr:colOff>559594</xdr:colOff>
      <xdr:row>11</xdr:row>
      <xdr:rowOff>166688</xdr:rowOff>
    </xdr:from>
    <xdr:to>
      <xdr:col>1</xdr:col>
      <xdr:colOff>297657</xdr:colOff>
      <xdr:row>13</xdr:row>
      <xdr:rowOff>71439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95B39D85-6A74-47D8-A22C-7E94E62B9BB5}"/>
            </a:ext>
          </a:extLst>
        </xdr:cNvPr>
        <xdr:cNvSpPr txBox="1"/>
      </xdr:nvSpPr>
      <xdr:spPr>
        <a:xfrm>
          <a:off x="559594" y="2262188"/>
          <a:ext cx="900113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SEPARACAO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726281</xdr:colOff>
      <xdr:row>14</xdr:row>
      <xdr:rowOff>166688</xdr:rowOff>
    </xdr:from>
    <xdr:to>
      <xdr:col>1</xdr:col>
      <xdr:colOff>293574</xdr:colOff>
      <xdr:row>19</xdr:row>
      <xdr:rowOff>7826</xdr:rowOff>
    </xdr:to>
    <xdr:pic>
      <xdr:nvPicPr>
        <xdr:cNvPr id="37" name="Imagem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3963E7C-DD32-4CB7-BD11-695D98585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281" y="2833688"/>
          <a:ext cx="729343" cy="734106"/>
        </a:xfrm>
        <a:prstGeom prst="rect">
          <a:avLst/>
        </a:prstGeom>
      </xdr:spPr>
    </xdr:pic>
    <xdr:clientData/>
  </xdr:twoCellAnchor>
  <xdr:twoCellAnchor>
    <xdr:from>
      <xdr:col>0</xdr:col>
      <xdr:colOff>510836</xdr:colOff>
      <xdr:row>18</xdr:row>
      <xdr:rowOff>186530</xdr:rowOff>
    </xdr:from>
    <xdr:to>
      <xdr:col>1</xdr:col>
      <xdr:colOff>380999</xdr:colOff>
      <xdr:row>20</xdr:row>
      <xdr:rowOff>178592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A34CB1F4-7890-4739-B302-E03F5F8E03A7}"/>
            </a:ext>
          </a:extLst>
        </xdr:cNvPr>
        <xdr:cNvSpPr txBox="1"/>
      </xdr:nvSpPr>
      <xdr:spPr>
        <a:xfrm>
          <a:off x="510836" y="3615530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CONFERENCIA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681492</xdr:colOff>
      <xdr:row>21</xdr:row>
      <xdr:rowOff>31749</xdr:rowOff>
    </xdr:from>
    <xdr:to>
      <xdr:col>1</xdr:col>
      <xdr:colOff>187962</xdr:colOff>
      <xdr:row>24</xdr:row>
      <xdr:rowOff>169251</xdr:rowOff>
    </xdr:to>
    <xdr:pic>
      <xdr:nvPicPr>
        <xdr:cNvPr id="39" name="Imagem 3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325F4FD-0D70-46A1-843A-D5AD5798E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92" y="4032249"/>
          <a:ext cx="668520" cy="673283"/>
        </a:xfrm>
        <a:prstGeom prst="rect">
          <a:avLst/>
        </a:prstGeom>
      </xdr:spPr>
    </xdr:pic>
    <xdr:clientData/>
  </xdr:twoCellAnchor>
  <xdr:twoCellAnchor>
    <xdr:from>
      <xdr:col>0</xdr:col>
      <xdr:colOff>514804</xdr:colOff>
      <xdr:row>24</xdr:row>
      <xdr:rowOff>150812</xdr:rowOff>
    </xdr:from>
    <xdr:to>
      <xdr:col>1</xdr:col>
      <xdr:colOff>384967</xdr:colOff>
      <xdr:row>26</xdr:row>
      <xdr:rowOff>142874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EFC46417-DB88-4C84-BAEE-13962942E178}"/>
            </a:ext>
          </a:extLst>
        </xdr:cNvPr>
        <xdr:cNvSpPr txBox="1"/>
      </xdr:nvSpPr>
      <xdr:spPr>
        <a:xfrm>
          <a:off x="514804" y="4722812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WN TRANSP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19</xdr:col>
      <xdr:colOff>353787</xdr:colOff>
      <xdr:row>0</xdr:row>
      <xdr:rowOff>95250</xdr:rowOff>
    </xdr:from>
    <xdr:to>
      <xdr:col>20</xdr:col>
      <xdr:colOff>299357</xdr:colOff>
      <xdr:row>3</xdr:row>
      <xdr:rowOff>60552</xdr:rowOff>
    </xdr:to>
    <xdr:pic>
      <xdr:nvPicPr>
        <xdr:cNvPr id="43" name="Imagem 4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48A1422-BF60-47A8-9455-31E6C9AE7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6823" y="95250"/>
          <a:ext cx="625927" cy="495981"/>
        </a:xfrm>
        <a:prstGeom prst="rect">
          <a:avLst/>
        </a:prstGeom>
      </xdr:spPr>
    </xdr:pic>
    <xdr:clientData/>
  </xdr:twoCellAnchor>
  <xdr:twoCellAnchor>
    <xdr:from>
      <xdr:col>19</xdr:col>
      <xdr:colOff>353787</xdr:colOff>
      <xdr:row>3</xdr:row>
      <xdr:rowOff>13607</xdr:rowOff>
    </xdr:from>
    <xdr:to>
      <xdr:col>20</xdr:col>
      <xdr:colOff>462644</xdr:colOff>
      <xdr:row>4</xdr:row>
      <xdr:rowOff>40822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D9A99E7-C534-4782-BC62-4B3379D38544}"/>
            </a:ext>
          </a:extLst>
        </xdr:cNvPr>
        <xdr:cNvSpPr/>
      </xdr:nvSpPr>
      <xdr:spPr>
        <a:xfrm>
          <a:off x="13756823" y="544286"/>
          <a:ext cx="789214" cy="20410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MENU Recebidos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390071</xdr:colOff>
      <xdr:row>0</xdr:row>
      <xdr:rowOff>0</xdr:rowOff>
    </xdr:from>
    <xdr:to>
      <xdr:col>24</xdr:col>
      <xdr:colOff>369660</xdr:colOff>
      <xdr:row>48</xdr:row>
      <xdr:rowOff>81643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BC4E053D-2215-47D3-90E8-F91371DE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0071" y="0"/>
          <a:ext cx="15162439" cy="8572500"/>
        </a:xfrm>
        <a:prstGeom prst="rect">
          <a:avLst/>
        </a:prstGeom>
      </xdr:spPr>
    </xdr:pic>
    <xdr:clientData/>
  </xdr:twoCellAnchor>
  <xdr:twoCellAnchor>
    <xdr:from>
      <xdr:col>0</xdr:col>
      <xdr:colOff>610055</xdr:colOff>
      <xdr:row>0</xdr:row>
      <xdr:rowOff>174624</xdr:rowOff>
    </xdr:from>
    <xdr:to>
      <xdr:col>1</xdr:col>
      <xdr:colOff>333374</xdr:colOff>
      <xdr:row>43</xdr:row>
      <xdr:rowOff>31749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F1C069E-489A-4D75-AD84-010FCF872534}"/>
            </a:ext>
          </a:extLst>
        </xdr:cNvPr>
        <xdr:cNvSpPr/>
      </xdr:nvSpPr>
      <xdr:spPr>
        <a:xfrm>
          <a:off x="610055" y="174624"/>
          <a:ext cx="885369" cy="8048625"/>
        </a:xfrm>
        <a:prstGeom prst="roundRect">
          <a:avLst>
            <a:gd name="adj" fmla="val 26936"/>
          </a:avLst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739321</xdr:colOff>
      <xdr:row>2</xdr:row>
      <xdr:rowOff>113393</xdr:rowOff>
    </xdr:from>
    <xdr:to>
      <xdr:col>1</xdr:col>
      <xdr:colOff>94594</xdr:colOff>
      <xdr:row>5</xdr:row>
      <xdr:rowOff>105934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778FE8-4A92-4B32-A31C-71725C33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9321" y="494393"/>
          <a:ext cx="517323" cy="5232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388369</xdr:colOff>
      <xdr:row>28</xdr:row>
      <xdr:rowOff>27216</xdr:rowOff>
    </xdr:from>
    <xdr:to>
      <xdr:col>4</xdr:col>
      <xdr:colOff>522173</xdr:colOff>
      <xdr:row>43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LABORADOR 1">
              <a:extLst>
                <a:ext uri="{FF2B5EF4-FFF2-40B4-BE49-F238E27FC236}">
                  <a16:creationId xmlns:a16="http://schemas.microsoft.com/office/drawing/2014/main" id="{6DE816E7-E8CB-44A8-ACD9-697F74D3C5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976" y="4980216"/>
              <a:ext cx="2174876" cy="2707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505732</xdr:colOff>
      <xdr:row>28</xdr:row>
      <xdr:rowOff>27215</xdr:rowOff>
    </xdr:from>
    <xdr:to>
      <xdr:col>23</xdr:col>
      <xdr:colOff>557893</xdr:colOff>
      <xdr:row>46</xdr:row>
      <xdr:rowOff>68036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51955E-F658-4D86-B518-C17C03E5D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27214</xdr:colOff>
      <xdr:row>28</xdr:row>
      <xdr:rowOff>54429</xdr:rowOff>
    </xdr:from>
    <xdr:to>
      <xdr:col>13</xdr:col>
      <xdr:colOff>244929</xdr:colOff>
      <xdr:row>43</xdr:row>
      <xdr:rowOff>122464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28B73F4-4560-446B-910F-6C0FBFED5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350761</xdr:colOff>
      <xdr:row>8</xdr:row>
      <xdr:rowOff>30991</xdr:rowOff>
    </xdr:from>
    <xdr:to>
      <xdr:col>7</xdr:col>
      <xdr:colOff>192011</xdr:colOff>
      <xdr:row>11</xdr:row>
      <xdr:rowOff>110368</xdr:rowOff>
    </xdr:to>
    <xdr:sp macro="" textlink="'ANALISES SEPARACAO'!Z4">
      <xdr:nvSpPr>
        <xdr:cNvPr id="9" name="Retângulo: Cantos Arredondados 8">
          <a:extLst>
            <a:ext uri="{FF2B5EF4-FFF2-40B4-BE49-F238E27FC236}">
              <a16:creationId xmlns:a16="http://schemas.microsoft.com/office/drawing/2014/main" id="{B76D1FAC-B1AD-4B00-A2F2-64066BFD12E1}"/>
            </a:ext>
          </a:extLst>
        </xdr:cNvPr>
        <xdr:cNvSpPr/>
      </xdr:nvSpPr>
      <xdr:spPr>
        <a:xfrm>
          <a:off x="2868082" y="1446134"/>
          <a:ext cx="2562679" cy="61005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62E8B121-333E-445A-AD10-70CDA7CA0B2F}" type="TxLink">
            <a:rPr lang="en-US" sz="16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99,96%</a:t>
          </a:fld>
          <a:endParaRPr lang="en-US" sz="6000" b="1"/>
        </a:p>
      </xdr:txBody>
    </xdr:sp>
    <xdr:clientData/>
  </xdr:twoCellAnchor>
  <xdr:twoCellAnchor>
    <xdr:from>
      <xdr:col>9</xdr:col>
      <xdr:colOff>278947</xdr:colOff>
      <xdr:row>8</xdr:row>
      <xdr:rowOff>115660</xdr:rowOff>
    </xdr:from>
    <xdr:to>
      <xdr:col>12</xdr:col>
      <xdr:colOff>628197</xdr:colOff>
      <xdr:row>11</xdr:row>
      <xdr:rowOff>73584</xdr:rowOff>
    </xdr:to>
    <xdr:sp macro="" textlink="'ANALISES SEPARACAO'!D62">
      <xdr:nvSpPr>
        <xdr:cNvPr id="10" name="Retângulo: Cantos Arredondados 9">
          <a:extLst>
            <a:ext uri="{FF2B5EF4-FFF2-40B4-BE49-F238E27FC236}">
              <a16:creationId xmlns:a16="http://schemas.microsoft.com/office/drawing/2014/main" id="{6A208E00-7167-4DB8-A67C-A960CB52189C}"/>
            </a:ext>
          </a:extLst>
        </xdr:cNvPr>
        <xdr:cNvSpPr/>
      </xdr:nvSpPr>
      <xdr:spPr>
        <a:xfrm>
          <a:off x="6878411" y="1530803"/>
          <a:ext cx="2390322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1B8E8CF2-2075-48FA-AD6D-628BA467B0FD}" type="TxLink">
            <a:rPr lang="en-US" sz="1800" b="1" i="0" u="none" strike="noStrike">
              <a:solidFill>
                <a:srgbClr val="000000"/>
              </a:solidFill>
              <a:latin typeface="Aptos Narrow"/>
              <a:cs typeface="Calibri"/>
            </a:rPr>
            <a:pPr algn="ctr"/>
            <a:t>5</a:t>
          </a:fld>
          <a:endParaRPr lang="pt-BR" sz="36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14</xdr:col>
      <xdr:colOff>517072</xdr:colOff>
      <xdr:row>8</xdr:row>
      <xdr:rowOff>49892</xdr:rowOff>
    </xdr:from>
    <xdr:to>
      <xdr:col>18</xdr:col>
      <xdr:colOff>263072</xdr:colOff>
      <xdr:row>11</xdr:row>
      <xdr:rowOff>7816</xdr:rowOff>
    </xdr:to>
    <xdr:sp macro="" textlink="'ANALISES SEPARACAO'!C104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5117E5F-6BEA-41C1-AF66-02C51B5CFCAF}"/>
            </a:ext>
          </a:extLst>
        </xdr:cNvPr>
        <xdr:cNvSpPr/>
      </xdr:nvSpPr>
      <xdr:spPr>
        <a:xfrm>
          <a:off x="10518322" y="1465035"/>
          <a:ext cx="2467429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951438D3-F4DF-404B-867D-1CEBB9161C48}" type="TxLink">
            <a:rPr lang="en-US" sz="1800" b="1" i="0" u="none" strike="noStrike">
              <a:solidFill>
                <a:srgbClr val="000000"/>
              </a:solidFill>
              <a:latin typeface="Aptos Narrow"/>
              <a:cs typeface="Calibri"/>
            </a:rPr>
            <a:pPr algn="ctr"/>
            <a:t>192123</a:t>
          </a:fld>
          <a:endParaRPr lang="en-US" sz="3600" b="1">
            <a:latin typeface="Calibri"/>
          </a:endParaRPr>
        </a:p>
      </xdr:txBody>
    </xdr:sp>
    <xdr:clientData/>
  </xdr:twoCellAnchor>
  <xdr:twoCellAnchor>
    <xdr:from>
      <xdr:col>20</xdr:col>
      <xdr:colOff>326572</xdr:colOff>
      <xdr:row>8</xdr:row>
      <xdr:rowOff>79375</xdr:rowOff>
    </xdr:from>
    <xdr:to>
      <xdr:col>24</xdr:col>
      <xdr:colOff>72572</xdr:colOff>
      <xdr:row>11</xdr:row>
      <xdr:rowOff>37299</xdr:rowOff>
    </xdr:to>
    <xdr:sp macro="" textlink="'ANALISES SEPARACAO'!C138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A59A0E3-10DB-439F-AED9-C5F2717960A8}"/>
            </a:ext>
          </a:extLst>
        </xdr:cNvPr>
        <xdr:cNvSpPr/>
      </xdr:nvSpPr>
      <xdr:spPr>
        <a:xfrm>
          <a:off x="14409965" y="1494518"/>
          <a:ext cx="2467428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CB694948-F4B5-4214-B24F-081A97A80332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5401</a:t>
          </a:fld>
          <a:endParaRPr lang="pt-BR" sz="36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 editAs="oneCell">
    <xdr:from>
      <xdr:col>1</xdr:col>
      <xdr:colOff>461507</xdr:colOff>
      <xdr:row>12</xdr:row>
      <xdr:rowOff>11907</xdr:rowOff>
    </xdr:from>
    <xdr:to>
      <xdr:col>4</xdr:col>
      <xdr:colOff>468651</xdr:colOff>
      <xdr:row>18</xdr:row>
      <xdr:rowOff>72119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MÊS 1">
              <a:extLst>
                <a:ext uri="{FF2B5EF4-FFF2-40B4-BE49-F238E27FC236}">
                  <a16:creationId xmlns:a16="http://schemas.microsoft.com/office/drawing/2014/main" id="{A3D9D106-A1B6-4FFA-BE8B-A581E3922E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8114" y="2134621"/>
              <a:ext cx="2048216" cy="11215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437696</xdr:colOff>
      <xdr:row>18</xdr:row>
      <xdr:rowOff>71438</xdr:rowOff>
    </xdr:from>
    <xdr:to>
      <xdr:col>4</xdr:col>
      <xdr:colOff>476250</xdr:colOff>
      <xdr:row>27</xdr:row>
      <xdr:rowOff>122465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SEMANA 1">
              <a:extLst>
                <a:ext uri="{FF2B5EF4-FFF2-40B4-BE49-F238E27FC236}">
                  <a16:creationId xmlns:a16="http://schemas.microsoft.com/office/drawing/2014/main" id="{4B671689-57CB-4D10-9854-265C98612E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4303" y="3255509"/>
              <a:ext cx="2079626" cy="1643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479651</xdr:colOff>
      <xdr:row>12</xdr:row>
      <xdr:rowOff>156480</xdr:rowOff>
    </xdr:from>
    <xdr:to>
      <xdr:col>24</xdr:col>
      <xdr:colOff>51025</xdr:colOff>
      <xdr:row>28</xdr:row>
      <xdr:rowOff>15308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E44859B-9853-434D-B5B5-04EE9D26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642938</xdr:colOff>
      <xdr:row>6</xdr:row>
      <xdr:rowOff>0</xdr:rowOff>
    </xdr:from>
    <xdr:to>
      <xdr:col>1</xdr:col>
      <xdr:colOff>154781</xdr:colOff>
      <xdr:row>7</xdr:row>
      <xdr:rowOff>11907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E4F4E9A-9036-4AAB-931D-AC2D7F0E5398}"/>
            </a:ext>
          </a:extLst>
        </xdr:cNvPr>
        <xdr:cNvSpPr txBox="1"/>
      </xdr:nvSpPr>
      <xdr:spPr>
        <a:xfrm>
          <a:off x="642938" y="1143000"/>
          <a:ext cx="673893" cy="202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ATUAL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617992</xdr:colOff>
      <xdr:row>8</xdr:row>
      <xdr:rowOff>162717</xdr:rowOff>
    </xdr:from>
    <xdr:to>
      <xdr:col>1</xdr:col>
      <xdr:colOff>197190</xdr:colOff>
      <xdr:row>13</xdr:row>
      <xdr:rowOff>24264</xdr:rowOff>
    </xdr:to>
    <xdr:pic>
      <xdr:nvPicPr>
        <xdr:cNvPr id="17" name="Imagem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6775C51-1C1B-436E-8C45-2AD8F439B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92" y="1686717"/>
          <a:ext cx="741248" cy="746011"/>
        </a:xfrm>
        <a:prstGeom prst="rect">
          <a:avLst/>
        </a:prstGeom>
      </xdr:spPr>
    </xdr:pic>
    <xdr:clientData/>
  </xdr:twoCellAnchor>
  <xdr:twoCellAnchor>
    <xdr:from>
      <xdr:col>0</xdr:col>
      <xdr:colOff>510836</xdr:colOff>
      <xdr:row>13</xdr:row>
      <xdr:rowOff>19844</xdr:rowOff>
    </xdr:from>
    <xdr:to>
      <xdr:col>1</xdr:col>
      <xdr:colOff>380999</xdr:colOff>
      <xdr:row>15</xdr:row>
      <xdr:rowOff>11906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E0516C9-5F2C-4FE0-8519-F2BE0270B94B}"/>
            </a:ext>
          </a:extLst>
        </xdr:cNvPr>
        <xdr:cNvSpPr txBox="1"/>
      </xdr:nvSpPr>
      <xdr:spPr>
        <a:xfrm>
          <a:off x="510836" y="2496344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RECEBIMENTO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714378</xdr:colOff>
      <xdr:row>15</xdr:row>
      <xdr:rowOff>154781</xdr:rowOff>
    </xdr:from>
    <xdr:to>
      <xdr:col>1</xdr:col>
      <xdr:colOff>281671</xdr:colOff>
      <xdr:row>20</xdr:row>
      <xdr:rowOff>4423</xdr:rowOff>
    </xdr:to>
    <xdr:pic>
      <xdr:nvPicPr>
        <xdr:cNvPr id="19" name="Imagem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2C1D343-0E9A-4D56-AA17-7B7045B52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8" y="3012281"/>
          <a:ext cx="729343" cy="734106"/>
        </a:xfrm>
        <a:prstGeom prst="rect">
          <a:avLst/>
        </a:prstGeom>
      </xdr:spPr>
    </xdr:pic>
    <xdr:clientData/>
  </xdr:twoCellAnchor>
  <xdr:twoCellAnchor>
    <xdr:from>
      <xdr:col>0</xdr:col>
      <xdr:colOff>526711</xdr:colOff>
      <xdr:row>19</xdr:row>
      <xdr:rowOff>174624</xdr:rowOff>
    </xdr:from>
    <xdr:to>
      <xdr:col>1</xdr:col>
      <xdr:colOff>396874</xdr:colOff>
      <xdr:row>21</xdr:row>
      <xdr:rowOff>166686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24BDDF81-6134-451C-A617-C52C40819552}"/>
            </a:ext>
          </a:extLst>
        </xdr:cNvPr>
        <xdr:cNvSpPr txBox="1"/>
      </xdr:nvSpPr>
      <xdr:spPr>
        <a:xfrm>
          <a:off x="526711" y="3794124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CONFERENCIA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681492</xdr:colOff>
      <xdr:row>22</xdr:row>
      <xdr:rowOff>31749</xdr:rowOff>
    </xdr:from>
    <xdr:to>
      <xdr:col>1</xdr:col>
      <xdr:colOff>187962</xdr:colOff>
      <xdr:row>25</xdr:row>
      <xdr:rowOff>174354</xdr:rowOff>
    </xdr:to>
    <xdr:pic>
      <xdr:nvPicPr>
        <xdr:cNvPr id="21" name="Imagem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57CC32-B09C-4221-BCA3-4B9A794E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92" y="4222749"/>
          <a:ext cx="668520" cy="673283"/>
        </a:xfrm>
        <a:prstGeom prst="rect">
          <a:avLst/>
        </a:prstGeom>
      </xdr:spPr>
    </xdr:pic>
    <xdr:clientData/>
  </xdr:twoCellAnchor>
  <xdr:twoCellAnchor>
    <xdr:from>
      <xdr:col>0</xdr:col>
      <xdr:colOff>526711</xdr:colOff>
      <xdr:row>25</xdr:row>
      <xdr:rowOff>186530</xdr:rowOff>
    </xdr:from>
    <xdr:to>
      <xdr:col>1</xdr:col>
      <xdr:colOff>396874</xdr:colOff>
      <xdr:row>27</xdr:row>
      <xdr:rowOff>178592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4D81483-DE4C-4F02-895D-FA58424C9704}"/>
            </a:ext>
          </a:extLst>
        </xdr:cNvPr>
        <xdr:cNvSpPr txBox="1"/>
      </xdr:nvSpPr>
      <xdr:spPr>
        <a:xfrm>
          <a:off x="526711" y="4949030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WN TRANSP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18</xdr:col>
      <xdr:colOff>142876</xdr:colOff>
      <xdr:row>20</xdr:row>
      <xdr:rowOff>44223</xdr:rowOff>
    </xdr:from>
    <xdr:to>
      <xdr:col>19</xdr:col>
      <xdr:colOff>333376</xdr:colOff>
      <xdr:row>22</xdr:row>
      <xdr:rowOff>103754</xdr:rowOff>
    </xdr:to>
    <xdr:sp macro="" textlink="'ANALISES SEPARACAO'!$Z$4">
      <xdr:nvSpPr>
        <xdr:cNvPr id="23" name="CaixaDeTexto 22">
          <a:extLst>
            <a:ext uri="{FF2B5EF4-FFF2-40B4-BE49-F238E27FC236}">
              <a16:creationId xmlns:a16="http://schemas.microsoft.com/office/drawing/2014/main" id="{77A9CB0A-8487-4ACB-B9A5-88EE76D66C1C}"/>
            </a:ext>
          </a:extLst>
        </xdr:cNvPr>
        <xdr:cNvSpPr txBox="1"/>
      </xdr:nvSpPr>
      <xdr:spPr>
        <a:xfrm>
          <a:off x="12865555" y="3582080"/>
          <a:ext cx="870857" cy="413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AB94D0A-DB2F-4D76-95E0-68F463C8376E}" type="TxLink">
            <a:rPr lang="en-US" sz="14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99,96%</a:t>
          </a:fld>
          <a:endParaRPr lang="en-US" sz="14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335642</xdr:colOff>
      <xdr:row>12</xdr:row>
      <xdr:rowOff>149679</xdr:rowOff>
    </xdr:from>
    <xdr:to>
      <xdr:col>13</xdr:col>
      <xdr:colOff>231321</xdr:colOff>
      <xdr:row>27</xdr:row>
      <xdr:rowOff>95250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3F7A6A9-F92C-4F9F-895D-3F34631C4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22</xdr:col>
      <xdr:colOff>621392</xdr:colOff>
      <xdr:row>0</xdr:row>
      <xdr:rowOff>122465</xdr:rowOff>
    </xdr:from>
    <xdr:to>
      <xdr:col>23</xdr:col>
      <xdr:colOff>566962</xdr:colOff>
      <xdr:row>3</xdr:row>
      <xdr:rowOff>87767</xdr:rowOff>
    </xdr:to>
    <xdr:pic>
      <xdr:nvPicPr>
        <xdr:cNvPr id="25" name="Imagem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13BB8C5-413B-4BC4-8747-5416FA70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5499" y="122465"/>
          <a:ext cx="625927" cy="495981"/>
        </a:xfrm>
        <a:prstGeom prst="rect">
          <a:avLst/>
        </a:prstGeom>
      </xdr:spPr>
    </xdr:pic>
    <xdr:clientData/>
  </xdr:twoCellAnchor>
  <xdr:twoCellAnchor>
    <xdr:from>
      <xdr:col>22</xdr:col>
      <xdr:colOff>585107</xdr:colOff>
      <xdr:row>3</xdr:row>
      <xdr:rowOff>95249</xdr:rowOff>
    </xdr:from>
    <xdr:to>
      <xdr:col>24</xdr:col>
      <xdr:colOff>13607</xdr:colOff>
      <xdr:row>4</xdr:row>
      <xdr:rowOff>122464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BCADD2DA-7C40-4633-9E41-E8361B435B7E}"/>
            </a:ext>
          </a:extLst>
        </xdr:cNvPr>
        <xdr:cNvSpPr/>
      </xdr:nvSpPr>
      <xdr:spPr>
        <a:xfrm>
          <a:off x="16029214" y="625928"/>
          <a:ext cx="789214" cy="20410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MENU Recebidos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0.40657</cdr:x>
      <cdr:y>0.45685</cdr:y>
    </cdr:from>
    <cdr:to>
      <cdr:x>0.62686</cdr:x>
      <cdr:y>0.7</cdr:y>
    </cdr:to>
    <cdr:sp macro="" textlink="[2]ANALISES!$E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A80C614-476C-4708-B5BC-076AC8F1D9F1}"/>
            </a:ext>
          </a:extLst>
        </cdr:cNvPr>
        <cdr:cNvSpPr txBox="1"/>
      </cdr:nvSpPr>
      <cdr:spPr>
        <a:xfrm xmlns:a="http://schemas.openxmlformats.org/drawingml/2006/main">
          <a:off x="2503787" y="1305458"/>
          <a:ext cx="1356673" cy="69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D156A8E-9388-4DF6-A3E8-8F896E93968A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</a:t>
          </a:fld>
          <a:endParaRPr lang="pt-BR" sz="6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0.38826</cdr:x>
      <cdr:y>0.46809</cdr:y>
    </cdr:from>
    <cdr:to>
      <cdr:x>0.60606</cdr:x>
      <cdr:y>0.71489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EB843193-CB16-4F9D-80A3-B64707C5274C}"/>
            </a:ext>
          </a:extLst>
        </cdr:cNvPr>
        <cdr:cNvSpPr txBox="1"/>
      </cdr:nvSpPr>
      <cdr:spPr>
        <a:xfrm xmlns:a="http://schemas.openxmlformats.org/drawingml/2006/main">
          <a:off x="2440781" y="1309688"/>
          <a:ext cx="1369219" cy="690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511968</xdr:colOff>
      <xdr:row>19</xdr:row>
      <xdr:rowOff>119063</xdr:rowOff>
    </xdr:from>
    <xdr:to>
      <xdr:col>19</xdr:col>
      <xdr:colOff>607218</xdr:colOff>
      <xdr:row>22</xdr:row>
      <xdr:rowOff>11906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5E5C076-4192-4770-A520-1942F46D1845}"/>
            </a:ext>
          </a:extLst>
        </xdr:cNvPr>
        <xdr:cNvSpPr/>
      </xdr:nvSpPr>
      <xdr:spPr>
        <a:xfrm>
          <a:off x="11427618" y="3738563"/>
          <a:ext cx="1314450" cy="46434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endParaRPr lang="en-US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342446</xdr:colOff>
      <xdr:row>0</xdr:row>
      <xdr:rowOff>0</xdr:rowOff>
    </xdr:from>
    <xdr:to>
      <xdr:col>24</xdr:col>
      <xdr:colOff>322035</xdr:colOff>
      <xdr:row>48</xdr:row>
      <xdr:rowOff>81643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5FA74AA0-2A7C-418F-969E-797CAF1A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446" y="0"/>
          <a:ext cx="16784410" cy="8572500"/>
        </a:xfrm>
        <a:prstGeom prst="rect">
          <a:avLst/>
        </a:prstGeom>
      </xdr:spPr>
    </xdr:pic>
    <xdr:clientData/>
  </xdr:twoCellAnchor>
  <xdr:twoCellAnchor>
    <xdr:from>
      <xdr:col>0</xdr:col>
      <xdr:colOff>610054</xdr:colOff>
      <xdr:row>0</xdr:row>
      <xdr:rowOff>174624</xdr:rowOff>
    </xdr:from>
    <xdr:to>
      <xdr:col>1</xdr:col>
      <xdr:colOff>285749</xdr:colOff>
      <xdr:row>43</xdr:row>
      <xdr:rowOff>31749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40C69B7-8685-40B2-8F66-E0B3863065E3}"/>
            </a:ext>
          </a:extLst>
        </xdr:cNvPr>
        <xdr:cNvSpPr/>
      </xdr:nvSpPr>
      <xdr:spPr>
        <a:xfrm>
          <a:off x="610054" y="174624"/>
          <a:ext cx="837745" cy="8048625"/>
        </a:xfrm>
        <a:prstGeom prst="roundRect">
          <a:avLst>
            <a:gd name="adj" fmla="val 26936"/>
          </a:avLst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739321</xdr:colOff>
      <xdr:row>2</xdr:row>
      <xdr:rowOff>113393</xdr:rowOff>
    </xdr:from>
    <xdr:to>
      <xdr:col>1</xdr:col>
      <xdr:colOff>94594</xdr:colOff>
      <xdr:row>5</xdr:row>
      <xdr:rowOff>105934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38B29C-307B-49CC-B387-26424268D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9321" y="494393"/>
          <a:ext cx="517323" cy="5232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388369</xdr:colOff>
      <xdr:row>28</xdr:row>
      <xdr:rowOff>27216</xdr:rowOff>
    </xdr:from>
    <xdr:to>
      <xdr:col>4</xdr:col>
      <xdr:colOff>522173</xdr:colOff>
      <xdr:row>40</xdr:row>
      <xdr:rowOff>103755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LABORADOR 2">
              <a:extLst>
                <a:ext uri="{FF2B5EF4-FFF2-40B4-BE49-F238E27FC236}">
                  <a16:creationId xmlns:a16="http://schemas.microsoft.com/office/drawing/2014/main" id="{0E358A11-2900-46D1-96A9-60FBBBC0DD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976" y="4980216"/>
              <a:ext cx="2174876" cy="21992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505732</xdr:colOff>
      <xdr:row>28</xdr:row>
      <xdr:rowOff>27215</xdr:rowOff>
    </xdr:from>
    <xdr:to>
      <xdr:col>23</xdr:col>
      <xdr:colOff>557892</xdr:colOff>
      <xdr:row>43</xdr:row>
      <xdr:rowOff>108857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1CC50C-8FA9-47DA-A713-13C81B5BD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27214</xdr:colOff>
      <xdr:row>28</xdr:row>
      <xdr:rowOff>54429</xdr:rowOff>
    </xdr:from>
    <xdr:to>
      <xdr:col>13</xdr:col>
      <xdr:colOff>244929</xdr:colOff>
      <xdr:row>43</xdr:row>
      <xdr:rowOff>122464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3933018-67D2-4E47-ADD3-654C9D5B3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118872</xdr:colOff>
      <xdr:row>12</xdr:row>
      <xdr:rowOff>58965</xdr:rowOff>
    </xdr:from>
    <xdr:to>
      <xdr:col>13</xdr:col>
      <xdr:colOff>333374</xdr:colOff>
      <xdr:row>26</xdr:row>
      <xdr:rowOff>154781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D171634-E6DD-40DE-9993-C34242F0D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308429</xdr:colOff>
      <xdr:row>8</xdr:row>
      <xdr:rowOff>34017</xdr:rowOff>
    </xdr:from>
    <xdr:to>
      <xdr:col>7</xdr:col>
      <xdr:colOff>149679</xdr:colOff>
      <xdr:row>11</xdr:row>
      <xdr:rowOff>113394</xdr:rowOff>
    </xdr:to>
    <xdr:sp macro="" textlink="'ANALISES CONF'!C44:D44">
      <xdr:nvSpPr>
        <xdr:cNvPr id="10" name="Retângulo: Cantos Arredondados 9">
          <a:extLst>
            <a:ext uri="{FF2B5EF4-FFF2-40B4-BE49-F238E27FC236}">
              <a16:creationId xmlns:a16="http://schemas.microsoft.com/office/drawing/2014/main" id="{9459E8B1-CFDD-4F70-BE61-04AAEDE19133}"/>
            </a:ext>
          </a:extLst>
        </xdr:cNvPr>
        <xdr:cNvSpPr/>
      </xdr:nvSpPr>
      <xdr:spPr>
        <a:xfrm>
          <a:off x="2825750" y="1449160"/>
          <a:ext cx="2562679" cy="61005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DB04D46-7E3D-4393-BC8E-2FC25962DC6F}" type="TxLink">
            <a:rPr lang="en-US" sz="20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99,97%</a:t>
          </a:fld>
          <a:endParaRPr lang="pt-BR" sz="40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9</xdr:col>
      <xdr:colOff>170090</xdr:colOff>
      <xdr:row>8</xdr:row>
      <xdr:rowOff>142875</xdr:rowOff>
    </xdr:from>
    <xdr:to>
      <xdr:col>12</xdr:col>
      <xdr:colOff>519340</xdr:colOff>
      <xdr:row>11</xdr:row>
      <xdr:rowOff>100799</xdr:rowOff>
    </xdr:to>
    <xdr:sp macro="" textlink="'ANALISES CONF'!D82:E82">
      <xdr:nvSpPr>
        <xdr:cNvPr id="11" name="Retângulo: Cantos Arredondados 10">
          <a:extLst>
            <a:ext uri="{FF2B5EF4-FFF2-40B4-BE49-F238E27FC236}">
              <a16:creationId xmlns:a16="http://schemas.microsoft.com/office/drawing/2014/main" id="{AC2FA280-7123-407A-8A90-33E4411C3A6A}"/>
            </a:ext>
          </a:extLst>
        </xdr:cNvPr>
        <xdr:cNvSpPr/>
      </xdr:nvSpPr>
      <xdr:spPr>
        <a:xfrm>
          <a:off x="6769554" y="1558018"/>
          <a:ext cx="2390322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8A0180C-7417-43B7-AD29-79A34AD8A2FF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5</a:t>
          </a:fld>
          <a:endParaRPr lang="pt-BR" sz="36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14</xdr:col>
      <xdr:colOff>489857</xdr:colOff>
      <xdr:row>8</xdr:row>
      <xdr:rowOff>172357</xdr:rowOff>
    </xdr:from>
    <xdr:to>
      <xdr:col>18</xdr:col>
      <xdr:colOff>235857</xdr:colOff>
      <xdr:row>11</xdr:row>
      <xdr:rowOff>130281</xdr:rowOff>
    </xdr:to>
    <xdr:sp macro="" textlink="'ANALISES CONF'!C124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FD40721-204E-46AC-A59A-8133DF671D53}"/>
            </a:ext>
          </a:extLst>
        </xdr:cNvPr>
        <xdr:cNvSpPr/>
      </xdr:nvSpPr>
      <xdr:spPr>
        <a:xfrm>
          <a:off x="10491107" y="1587500"/>
          <a:ext cx="2467429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A5805DF1-DE91-4CE2-B6C9-EE17AF292FF4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198837</a:t>
          </a:fld>
          <a:endParaRPr lang="en-US" sz="3600" b="1">
            <a:solidFill>
              <a:sysClr val="windowText" lastClr="000000"/>
            </a:solidFill>
            <a:latin typeface="Calibri"/>
          </a:endParaRPr>
        </a:p>
      </xdr:txBody>
    </xdr:sp>
    <xdr:clientData/>
  </xdr:twoCellAnchor>
  <xdr:twoCellAnchor>
    <xdr:from>
      <xdr:col>20</xdr:col>
      <xdr:colOff>231322</xdr:colOff>
      <xdr:row>8</xdr:row>
      <xdr:rowOff>147411</xdr:rowOff>
    </xdr:from>
    <xdr:to>
      <xdr:col>23</xdr:col>
      <xdr:colOff>657679</xdr:colOff>
      <xdr:row>11</xdr:row>
      <xdr:rowOff>105335</xdr:rowOff>
    </xdr:to>
    <xdr:sp macro="" textlink="'ANALISES CONF'!C158">
      <xdr:nvSpPr>
        <xdr:cNvPr id="13" name="Retângulo: Cantos Arredondados 12">
          <a:extLst>
            <a:ext uri="{FF2B5EF4-FFF2-40B4-BE49-F238E27FC236}">
              <a16:creationId xmlns:a16="http://schemas.microsoft.com/office/drawing/2014/main" id="{8DBA5AEC-9C80-459F-860D-E5B29AC6BE51}"/>
            </a:ext>
          </a:extLst>
        </xdr:cNvPr>
        <xdr:cNvSpPr/>
      </xdr:nvSpPr>
      <xdr:spPr>
        <a:xfrm>
          <a:off x="14314715" y="1562554"/>
          <a:ext cx="2467428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34430F53-72FE-4448-9E7C-FB24EEEED4BA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5472</a:t>
          </a:fld>
          <a:endParaRPr lang="pt-BR" sz="3600" b="1" i="0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3</xdr:col>
      <xdr:colOff>116417</xdr:colOff>
      <xdr:row>6</xdr:row>
      <xdr:rowOff>63499</xdr:rowOff>
    </xdr:from>
    <xdr:to>
      <xdr:col>7</xdr:col>
      <xdr:colOff>190500</xdr:colOff>
      <xdr:row>8</xdr:row>
      <xdr:rowOff>54428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67CBBCD1-B7B6-4489-B7BC-7540CE5CAACD}"/>
            </a:ext>
          </a:extLst>
        </xdr:cNvPr>
        <xdr:cNvSpPr/>
      </xdr:nvSpPr>
      <xdr:spPr>
        <a:xfrm>
          <a:off x="2633738" y="1124856"/>
          <a:ext cx="2795512" cy="34471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ACURACIDADE CONFERENCIA</a:t>
          </a:r>
        </a:p>
      </xdr:txBody>
    </xdr:sp>
    <xdr:clientData/>
  </xdr:twoCellAnchor>
  <xdr:twoCellAnchor>
    <xdr:from>
      <xdr:col>14</xdr:col>
      <xdr:colOff>607029</xdr:colOff>
      <xdr:row>6</xdr:row>
      <xdr:rowOff>52917</xdr:rowOff>
    </xdr:from>
    <xdr:to>
      <xdr:col>18</xdr:col>
      <xdr:colOff>285750</xdr:colOff>
      <xdr:row>8</xdr:row>
      <xdr:rowOff>40821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106BDD77-FBF5-47A2-813C-96DF36A33F3B}"/>
            </a:ext>
          </a:extLst>
        </xdr:cNvPr>
        <xdr:cNvSpPr/>
      </xdr:nvSpPr>
      <xdr:spPr>
        <a:xfrm>
          <a:off x="10608279" y="1114274"/>
          <a:ext cx="2400150" cy="34169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UNIDADES</a:t>
          </a:r>
          <a:r>
            <a:rPr lang="pt-BR" sz="1100" b="1" baseline="0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CONFERIDAS</a:t>
          </a:r>
        </a:p>
        <a:p>
          <a:pPr algn="ctr"/>
          <a:endParaRPr lang="pt-BR" sz="1100" b="1">
            <a:solidFill>
              <a:schemeClr val="accent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353030</xdr:colOff>
      <xdr:row>6</xdr:row>
      <xdr:rowOff>74083</xdr:rowOff>
    </xdr:from>
    <xdr:to>
      <xdr:col>23</xdr:col>
      <xdr:colOff>517072</xdr:colOff>
      <xdr:row>7</xdr:row>
      <xdr:rowOff>163285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AE681BD-B939-43C5-B1B4-13D79AF4DD81}"/>
            </a:ext>
          </a:extLst>
        </xdr:cNvPr>
        <xdr:cNvSpPr/>
      </xdr:nvSpPr>
      <xdr:spPr>
        <a:xfrm>
          <a:off x="14436423" y="1135440"/>
          <a:ext cx="2205113" cy="26609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PEDIDOS</a:t>
          </a:r>
          <a:r>
            <a:rPr lang="pt-BR" sz="1100" b="1" baseline="0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CONFERIDOS</a:t>
          </a:r>
        </a:p>
        <a:p>
          <a:pPr algn="ctr"/>
          <a:endParaRPr lang="pt-BR" sz="1100" b="1">
            <a:solidFill>
              <a:schemeClr val="accent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444499</xdr:colOff>
      <xdr:row>1</xdr:row>
      <xdr:rowOff>74083</xdr:rowOff>
    </xdr:from>
    <xdr:to>
      <xdr:col>22</xdr:col>
      <xdr:colOff>607218</xdr:colOff>
      <xdr:row>4</xdr:row>
      <xdr:rowOff>59531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EA1D1D7D-456E-4030-9968-93435D4AA9F5}"/>
            </a:ext>
          </a:extLst>
        </xdr:cNvPr>
        <xdr:cNvSpPr/>
      </xdr:nvSpPr>
      <xdr:spPr>
        <a:xfrm>
          <a:off x="4654549" y="264583"/>
          <a:ext cx="9916319" cy="556948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accent1"/>
              </a:solidFill>
              <a:latin typeface="Arial Black" panose="020B0A04020102020204" pitchFamily="34" charset="0"/>
            </a:rPr>
            <a:t>INDICADORES OPERACIONAIS</a:t>
          </a:r>
          <a:r>
            <a:rPr lang="pt-BR" sz="1600" b="1" baseline="0">
              <a:solidFill>
                <a:schemeClr val="accent1"/>
              </a:solidFill>
              <a:latin typeface="Arial Black" panose="020B0A04020102020204" pitchFamily="34" charset="0"/>
            </a:rPr>
            <a:t> CONFERENCIA ELETRÔNICA DE PEDIDOS</a:t>
          </a:r>
          <a:endParaRPr lang="pt-BR" sz="1600" b="1">
            <a:solidFill>
              <a:schemeClr val="accent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</xdr:col>
      <xdr:colOff>354351</xdr:colOff>
      <xdr:row>20</xdr:row>
      <xdr:rowOff>71438</xdr:rowOff>
    </xdr:from>
    <xdr:to>
      <xdr:col>4</xdr:col>
      <xdr:colOff>440530</xdr:colOff>
      <xdr:row>27</xdr:row>
      <xdr:rowOff>35719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SEMANA 2">
              <a:extLst>
                <a:ext uri="{FF2B5EF4-FFF2-40B4-BE49-F238E27FC236}">
                  <a16:creationId xmlns:a16="http://schemas.microsoft.com/office/drawing/2014/main" id="{DCD12E09-32FC-4BD1-95F4-E90D6BAE4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958" y="3609295"/>
              <a:ext cx="2127251" cy="12025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401977</xdr:colOff>
      <xdr:row>12</xdr:row>
      <xdr:rowOff>35718</xdr:rowOff>
    </xdr:from>
    <xdr:to>
      <xdr:col>4</xdr:col>
      <xdr:colOff>345281</xdr:colOff>
      <xdr:row>19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 3">
              <a:extLst>
                <a:ext uri="{FF2B5EF4-FFF2-40B4-BE49-F238E27FC236}">
                  <a16:creationId xmlns:a16="http://schemas.microsoft.com/office/drawing/2014/main" id="{73F236C7-4E63-487E-A06A-472C544E7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8584" y="2158432"/>
              <a:ext cx="1984376" cy="12977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497227</xdr:colOff>
      <xdr:row>12</xdr:row>
      <xdr:rowOff>83344</xdr:rowOff>
    </xdr:from>
    <xdr:to>
      <xdr:col>23</xdr:col>
      <xdr:colOff>583406</xdr:colOff>
      <xdr:row>27</xdr:row>
      <xdr:rowOff>83344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BF25EF20-CCDC-43B7-95F5-AC91BE661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631032</xdr:colOff>
      <xdr:row>6</xdr:row>
      <xdr:rowOff>178593</xdr:rowOff>
    </xdr:from>
    <xdr:to>
      <xdr:col>1</xdr:col>
      <xdr:colOff>210230</xdr:colOff>
      <xdr:row>11</xdr:row>
      <xdr:rowOff>40140</xdr:rowOff>
    </xdr:to>
    <xdr:pic>
      <xdr:nvPicPr>
        <xdr:cNvPr id="21" name="Imagem 2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622505-8467-4BFC-BEEA-A8FA24B4C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2" y="1321593"/>
          <a:ext cx="741248" cy="746011"/>
        </a:xfrm>
        <a:prstGeom prst="rect">
          <a:avLst/>
        </a:prstGeom>
      </xdr:spPr>
    </xdr:pic>
    <xdr:clientData/>
  </xdr:twoCellAnchor>
  <xdr:twoCellAnchor>
    <xdr:from>
      <xdr:col>0</xdr:col>
      <xdr:colOff>678657</xdr:colOff>
      <xdr:row>5</xdr:row>
      <xdr:rowOff>95250</xdr:rowOff>
    </xdr:from>
    <xdr:to>
      <xdr:col>1</xdr:col>
      <xdr:colOff>190500</xdr:colOff>
      <xdr:row>6</xdr:row>
      <xdr:rowOff>107157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7A1817A0-AE93-4750-958C-48D41414A5F5}"/>
            </a:ext>
          </a:extLst>
        </xdr:cNvPr>
        <xdr:cNvSpPr txBox="1"/>
      </xdr:nvSpPr>
      <xdr:spPr>
        <a:xfrm>
          <a:off x="678657" y="1047750"/>
          <a:ext cx="673893" cy="202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ATUAL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0</xdr:col>
      <xdr:colOff>511969</xdr:colOff>
      <xdr:row>11</xdr:row>
      <xdr:rowOff>23813</xdr:rowOff>
    </xdr:from>
    <xdr:to>
      <xdr:col>1</xdr:col>
      <xdr:colOff>404812</xdr:colOff>
      <xdr:row>12</xdr:row>
      <xdr:rowOff>166687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F27AABBA-4F61-45AF-84F5-E0E66D123909}"/>
            </a:ext>
          </a:extLst>
        </xdr:cNvPr>
        <xdr:cNvSpPr txBox="1"/>
      </xdr:nvSpPr>
      <xdr:spPr>
        <a:xfrm>
          <a:off x="511969" y="2119313"/>
          <a:ext cx="1054893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RECEBIMENTO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17</xdr:col>
      <xdr:colOff>488158</xdr:colOff>
      <xdr:row>19</xdr:row>
      <xdr:rowOff>83343</xdr:rowOff>
    </xdr:from>
    <xdr:to>
      <xdr:col>19</xdr:col>
      <xdr:colOff>583407</xdr:colOff>
      <xdr:row>22</xdr:row>
      <xdr:rowOff>59531</xdr:rowOff>
    </xdr:to>
    <xdr:sp macro="" textlink="'ANALISES CONF'!E2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B435984-96F6-45E8-8BA3-12EBBA5F0FF8}"/>
            </a:ext>
          </a:extLst>
        </xdr:cNvPr>
        <xdr:cNvSpPr/>
      </xdr:nvSpPr>
      <xdr:spPr>
        <a:xfrm>
          <a:off x="11403808" y="3702843"/>
          <a:ext cx="1314449" cy="54768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4C4B1BCE-F91A-41B0-ACAA-6B5D936A6FED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ea typeface="Calibri"/>
              <a:cs typeface="Calibri"/>
            </a:rPr>
            <a:pPr algn="ctr"/>
            <a:t>99,97%</a:t>
          </a:fld>
          <a:endParaRPr lang="pt-BR" sz="48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 editAs="oneCell">
    <xdr:from>
      <xdr:col>0</xdr:col>
      <xdr:colOff>617993</xdr:colOff>
      <xdr:row>13</xdr:row>
      <xdr:rowOff>103187</xdr:rowOff>
    </xdr:from>
    <xdr:to>
      <xdr:col>1</xdr:col>
      <xdr:colOff>94117</xdr:colOff>
      <xdr:row>17</xdr:row>
      <xdr:rowOff>38552</xdr:rowOff>
    </xdr:to>
    <xdr:pic>
      <xdr:nvPicPr>
        <xdr:cNvPr id="25" name="Imagem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7CD2126-F71F-4A1C-B682-83A40E2F2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93" y="2579687"/>
          <a:ext cx="638174" cy="642937"/>
        </a:xfrm>
        <a:prstGeom prst="rect">
          <a:avLst/>
        </a:prstGeom>
      </xdr:spPr>
    </xdr:pic>
    <xdr:clientData/>
  </xdr:twoCellAnchor>
  <xdr:twoCellAnchor>
    <xdr:from>
      <xdr:col>0</xdr:col>
      <xdr:colOff>550523</xdr:colOff>
      <xdr:row>17</xdr:row>
      <xdr:rowOff>55561</xdr:rowOff>
    </xdr:from>
    <xdr:to>
      <xdr:col>1</xdr:col>
      <xdr:colOff>288586</xdr:colOff>
      <xdr:row>18</xdr:row>
      <xdr:rowOff>150812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C3D9D4B0-60B9-4D8E-9DF5-131BEBA88EF2}"/>
            </a:ext>
          </a:extLst>
        </xdr:cNvPr>
        <xdr:cNvSpPr txBox="1"/>
      </xdr:nvSpPr>
      <xdr:spPr>
        <a:xfrm>
          <a:off x="550523" y="3294061"/>
          <a:ext cx="900113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SEPARACAO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654845</xdr:colOff>
      <xdr:row>19</xdr:row>
      <xdr:rowOff>154779</xdr:rowOff>
    </xdr:from>
    <xdr:to>
      <xdr:col>1</xdr:col>
      <xdr:colOff>161315</xdr:colOff>
      <xdr:row>23</xdr:row>
      <xdr:rowOff>120490</xdr:rowOff>
    </xdr:to>
    <xdr:pic>
      <xdr:nvPicPr>
        <xdr:cNvPr id="27" name="Imagem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0FA32A6-608E-43D5-BFDF-C282B141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5" y="3774279"/>
          <a:ext cx="668520" cy="673283"/>
        </a:xfrm>
        <a:prstGeom prst="rect">
          <a:avLst/>
        </a:prstGeom>
      </xdr:spPr>
    </xdr:pic>
    <xdr:clientData/>
  </xdr:twoCellAnchor>
  <xdr:twoCellAnchor>
    <xdr:from>
      <xdr:col>0</xdr:col>
      <xdr:colOff>502898</xdr:colOff>
      <xdr:row>23</xdr:row>
      <xdr:rowOff>138905</xdr:rowOff>
    </xdr:from>
    <xdr:to>
      <xdr:col>1</xdr:col>
      <xdr:colOff>395741</xdr:colOff>
      <xdr:row>25</xdr:row>
      <xdr:rowOff>91279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6B46EFB-BCF0-4C69-8DEF-4467432FC332}"/>
            </a:ext>
          </a:extLst>
        </xdr:cNvPr>
        <xdr:cNvSpPr txBox="1"/>
      </xdr:nvSpPr>
      <xdr:spPr>
        <a:xfrm>
          <a:off x="502898" y="4520405"/>
          <a:ext cx="1054893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WN</a:t>
          </a:r>
          <a:r>
            <a:rPr lang="pt-BR" sz="1100" b="1" baseline="0"/>
            <a:t> TRANSP</a:t>
          </a:r>
          <a:endParaRPr lang="pt-BR" sz="1100" b="1"/>
        </a:p>
        <a:p>
          <a:pPr algn="ctr"/>
          <a:endParaRPr lang="pt-BR" sz="1100" b="1"/>
        </a:p>
      </xdr:txBody>
    </xdr:sp>
    <xdr:clientData/>
  </xdr:twoCellAnchor>
  <xdr:twoCellAnchor editAs="oneCell">
    <xdr:from>
      <xdr:col>23</xdr:col>
      <xdr:colOff>108858</xdr:colOff>
      <xdr:row>0</xdr:row>
      <xdr:rowOff>136071</xdr:rowOff>
    </xdr:from>
    <xdr:to>
      <xdr:col>24</xdr:col>
      <xdr:colOff>54428</xdr:colOff>
      <xdr:row>3</xdr:row>
      <xdr:rowOff>101373</xdr:rowOff>
    </xdr:to>
    <xdr:pic>
      <xdr:nvPicPr>
        <xdr:cNvPr id="29" name="Imagem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33598A-8DFD-49AE-9F99-FF7A1FAC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3322" y="136071"/>
          <a:ext cx="625927" cy="495981"/>
        </a:xfrm>
        <a:prstGeom prst="rect">
          <a:avLst/>
        </a:prstGeom>
      </xdr:spPr>
    </xdr:pic>
    <xdr:clientData/>
  </xdr:twoCellAnchor>
  <xdr:twoCellAnchor>
    <xdr:from>
      <xdr:col>23</xdr:col>
      <xdr:colOff>81644</xdr:colOff>
      <xdr:row>3</xdr:row>
      <xdr:rowOff>108857</xdr:rowOff>
    </xdr:from>
    <xdr:to>
      <xdr:col>24</xdr:col>
      <xdr:colOff>190501</xdr:colOff>
      <xdr:row>4</xdr:row>
      <xdr:rowOff>136072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2C298387-3F15-4246-A095-198F2DCE47EC}"/>
            </a:ext>
          </a:extLst>
        </xdr:cNvPr>
        <xdr:cNvSpPr/>
      </xdr:nvSpPr>
      <xdr:spPr>
        <a:xfrm>
          <a:off x="16206108" y="639536"/>
          <a:ext cx="789214" cy="20410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MENU Recebidos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408781</xdr:colOff>
      <xdr:row>0</xdr:row>
      <xdr:rowOff>49327</xdr:rowOff>
    </xdr:from>
    <xdr:to>
      <xdr:col>24</xdr:col>
      <xdr:colOff>388370</xdr:colOff>
      <xdr:row>48</xdr:row>
      <xdr:rowOff>49327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D7918DAE-C98A-4F8B-9E43-B8EC9020A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8781" y="49327"/>
          <a:ext cx="16784410" cy="8490857"/>
        </a:xfrm>
        <a:prstGeom prst="rect">
          <a:avLst/>
        </a:prstGeom>
      </xdr:spPr>
    </xdr:pic>
    <xdr:clientData/>
  </xdr:twoCellAnchor>
  <xdr:twoCellAnchor>
    <xdr:from>
      <xdr:col>3</xdr:col>
      <xdr:colOff>353785</xdr:colOff>
      <xdr:row>8</xdr:row>
      <xdr:rowOff>95250</xdr:rowOff>
    </xdr:from>
    <xdr:to>
      <xdr:col>7</xdr:col>
      <xdr:colOff>163286</xdr:colOff>
      <xdr:row>11</xdr:row>
      <xdr:rowOff>54430</xdr:rowOff>
    </xdr:to>
    <xdr:sp macro="" textlink="'ANALISES COMERCIAL'!B2">
      <xdr:nvSpPr>
        <xdr:cNvPr id="5" name="Retângulo: Cantos Arredondados 4">
          <a:extLst>
            <a:ext uri="{FF2B5EF4-FFF2-40B4-BE49-F238E27FC236}">
              <a16:creationId xmlns:a16="http://schemas.microsoft.com/office/drawing/2014/main" id="{BC5C5D23-A62B-4DFB-B712-FB44D0F56FB5}"/>
            </a:ext>
          </a:extLst>
        </xdr:cNvPr>
        <xdr:cNvSpPr/>
      </xdr:nvSpPr>
      <xdr:spPr>
        <a:xfrm>
          <a:off x="2871106" y="1510393"/>
          <a:ext cx="2530930" cy="48985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E5F9EBB8-F68A-4919-9853-15046FEA22C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R$ 3.353.201,52</a:t>
          </a:fld>
          <a:endParaRPr lang="en-US" sz="2800" b="1">
            <a:latin typeface="Calibri"/>
          </a:endParaRPr>
        </a:p>
      </xdr:txBody>
    </xdr:sp>
    <xdr:clientData/>
  </xdr:twoCellAnchor>
  <xdr:twoCellAnchor>
    <xdr:from>
      <xdr:col>9</xdr:col>
      <xdr:colOff>130969</xdr:colOff>
      <xdr:row>7</xdr:row>
      <xdr:rowOff>185962</xdr:rowOff>
    </xdr:from>
    <xdr:to>
      <xdr:col>10</xdr:col>
      <xdr:colOff>571500</xdr:colOff>
      <xdr:row>10</xdr:row>
      <xdr:rowOff>95249</xdr:rowOff>
    </xdr:to>
    <xdr:sp macro="" textlink="'ANALISES COMERCIAL'!F2">
      <xdr:nvSpPr>
        <xdr:cNvPr id="6" name="Retângulo: Cantos Arredondados 5">
          <a:extLst>
            <a:ext uri="{FF2B5EF4-FFF2-40B4-BE49-F238E27FC236}">
              <a16:creationId xmlns:a16="http://schemas.microsoft.com/office/drawing/2014/main" id="{2ECF8267-A197-4F75-BA32-F728AD178906}"/>
            </a:ext>
          </a:extLst>
        </xdr:cNvPr>
        <xdr:cNvSpPr/>
      </xdr:nvSpPr>
      <xdr:spPr>
        <a:xfrm>
          <a:off x="6050076" y="1519462"/>
          <a:ext cx="1052853" cy="48078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5CB41DDC-403F-4811-A0BE-2A9002DE9B5C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72</a:t>
          </a:fld>
          <a:endParaRPr lang="en-US" sz="2800" b="1">
            <a:latin typeface="Calibri"/>
          </a:endParaRPr>
        </a:p>
      </xdr:txBody>
    </xdr:sp>
    <xdr:clientData/>
  </xdr:twoCellAnchor>
  <xdr:twoCellAnchor>
    <xdr:from>
      <xdr:col>20</xdr:col>
      <xdr:colOff>462642</xdr:colOff>
      <xdr:row>8</xdr:row>
      <xdr:rowOff>154213</xdr:rowOff>
    </xdr:from>
    <xdr:to>
      <xdr:col>24</xdr:col>
      <xdr:colOff>36853</xdr:colOff>
      <xdr:row>11</xdr:row>
      <xdr:rowOff>108858</xdr:rowOff>
    </xdr:to>
    <xdr:sp macro="" textlink="'ANALISES COMERCIAL'!S34">
      <xdr:nvSpPr>
        <xdr:cNvPr id="8" name="Retângulo: Cantos Arredondados 7">
          <a:extLst>
            <a:ext uri="{FF2B5EF4-FFF2-40B4-BE49-F238E27FC236}">
              <a16:creationId xmlns:a16="http://schemas.microsoft.com/office/drawing/2014/main" id="{B79C9EEA-2290-4BF6-A87C-8B1741A8EB54}"/>
            </a:ext>
          </a:extLst>
        </xdr:cNvPr>
        <xdr:cNvSpPr/>
      </xdr:nvSpPr>
      <xdr:spPr>
        <a:xfrm>
          <a:off x="14546035" y="1569356"/>
          <a:ext cx="2295639" cy="48532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F9E83BF0-116C-4036-8C7D-F8103BDFE435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AMANDA</a:t>
          </a:fld>
          <a:endParaRPr lang="en-US" sz="3200" b="1">
            <a:latin typeface="Calibri"/>
          </a:endParaRPr>
        </a:p>
      </xdr:txBody>
    </xdr:sp>
    <xdr:clientData/>
  </xdr:twoCellAnchor>
  <xdr:twoCellAnchor>
    <xdr:from>
      <xdr:col>6</xdr:col>
      <xdr:colOff>333376</xdr:colOff>
      <xdr:row>0</xdr:row>
      <xdr:rowOff>166689</xdr:rowOff>
    </xdr:from>
    <xdr:to>
      <xdr:col>24</xdr:col>
      <xdr:colOff>83344</xdr:colOff>
      <xdr:row>4</xdr:row>
      <xdr:rowOff>119063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76F8088E-8678-4186-A7FB-DDFB6115D8C3}"/>
            </a:ext>
          </a:extLst>
        </xdr:cNvPr>
        <xdr:cNvSpPr/>
      </xdr:nvSpPr>
      <xdr:spPr>
        <a:xfrm>
          <a:off x="4543426" y="166689"/>
          <a:ext cx="10722768" cy="71437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l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 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COMERCIAL </a:t>
          </a:r>
          <a:endParaRPr lang="en-US" sz="2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13608</xdr:colOff>
      <xdr:row>6</xdr:row>
      <xdr:rowOff>62251</xdr:rowOff>
    </xdr:from>
    <xdr:to>
      <xdr:col>13</xdr:col>
      <xdr:colOff>1</xdr:colOff>
      <xdr:row>8</xdr:row>
      <xdr:rowOff>54428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D69C33E-01BE-4CD4-80CC-A80D725A469C}"/>
            </a:ext>
          </a:extLst>
        </xdr:cNvPr>
        <xdr:cNvSpPr/>
      </xdr:nvSpPr>
      <xdr:spPr>
        <a:xfrm>
          <a:off x="5932715" y="1205251"/>
          <a:ext cx="2435679" cy="37317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CADASTRO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POSITIVAÇÕES</a:t>
          </a:r>
        </a:p>
      </xdr:txBody>
    </xdr:sp>
    <xdr:clientData/>
  </xdr:twoCellAnchor>
  <xdr:twoCellAnchor>
    <xdr:from>
      <xdr:col>3</xdr:col>
      <xdr:colOff>231322</xdr:colOff>
      <xdr:row>6</xdr:row>
      <xdr:rowOff>7143</xdr:rowOff>
    </xdr:from>
    <xdr:to>
      <xdr:col>7</xdr:col>
      <xdr:colOff>217714</xdr:colOff>
      <xdr:row>9</xdr:row>
      <xdr:rowOff>27214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81EBA530-7BB4-4EBE-B05E-45502DD56212}"/>
            </a:ext>
          </a:extLst>
        </xdr:cNvPr>
        <xdr:cNvSpPr/>
      </xdr:nvSpPr>
      <xdr:spPr>
        <a:xfrm>
          <a:off x="2748643" y="1068500"/>
          <a:ext cx="2707821" cy="5507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FATURAMENTO</a:t>
          </a:r>
        </a:p>
      </xdr:txBody>
    </xdr:sp>
    <xdr:clientData/>
  </xdr:twoCellAnchor>
  <xdr:twoCellAnchor>
    <xdr:from>
      <xdr:col>7</xdr:col>
      <xdr:colOff>408214</xdr:colOff>
      <xdr:row>6</xdr:row>
      <xdr:rowOff>13607</xdr:rowOff>
    </xdr:from>
    <xdr:to>
      <xdr:col>9</xdr:col>
      <xdr:colOff>136071</xdr:colOff>
      <xdr:row>11</xdr:row>
      <xdr:rowOff>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2DE8476-1369-4554-B288-F395D1F68967}"/>
            </a:ext>
          </a:extLst>
        </xdr:cNvPr>
        <xdr:cNvSpPr/>
      </xdr:nvSpPr>
      <xdr:spPr>
        <a:xfrm>
          <a:off x="5646964" y="1074964"/>
          <a:ext cx="1088571" cy="870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585107</xdr:colOff>
      <xdr:row>6</xdr:row>
      <xdr:rowOff>0</xdr:rowOff>
    </xdr:from>
    <xdr:to>
      <xdr:col>3</xdr:col>
      <xdr:colOff>258536</xdr:colOff>
      <xdr:row>11</xdr:row>
      <xdr:rowOff>68036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585CBDFC-5AAD-4057-8B34-5000005DDF48}"/>
            </a:ext>
          </a:extLst>
        </xdr:cNvPr>
        <xdr:cNvSpPr/>
      </xdr:nvSpPr>
      <xdr:spPr>
        <a:xfrm>
          <a:off x="1741714" y="1061357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95251</xdr:colOff>
      <xdr:row>2</xdr:row>
      <xdr:rowOff>107156</xdr:rowOff>
    </xdr:from>
    <xdr:to>
      <xdr:col>24</xdr:col>
      <xdr:colOff>13608</xdr:colOff>
      <xdr:row>4</xdr:row>
      <xdr:rowOff>27215</xdr:rowOff>
    </xdr:to>
    <xdr:sp macro="" textlink="'ANALISES COMERCIAL'!Q18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EF1C06B-180D-49AC-9D5B-2445458E1BBB}"/>
            </a:ext>
          </a:extLst>
        </xdr:cNvPr>
        <xdr:cNvSpPr/>
      </xdr:nvSpPr>
      <xdr:spPr>
        <a:xfrm>
          <a:off x="14859001" y="460942"/>
          <a:ext cx="1959428" cy="27384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D5C76F6E-89B5-46EC-85AE-04185491966C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KARINY</a:t>
          </a:fld>
          <a:endParaRPr lang="en-US" sz="3200" b="1">
            <a:latin typeface="Calibri"/>
          </a:endParaRPr>
        </a:p>
      </xdr:txBody>
    </xdr:sp>
    <xdr:clientData/>
  </xdr:twoCellAnchor>
  <xdr:twoCellAnchor>
    <xdr:from>
      <xdr:col>20</xdr:col>
      <xdr:colOff>204107</xdr:colOff>
      <xdr:row>0</xdr:row>
      <xdr:rowOff>130969</xdr:rowOff>
    </xdr:from>
    <xdr:to>
      <xdr:col>24</xdr:col>
      <xdr:colOff>231436</xdr:colOff>
      <xdr:row>2</xdr:row>
      <xdr:rowOff>13607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6DFF5EB2-BA29-46F5-829C-5B4B9A3C101B}"/>
            </a:ext>
          </a:extLst>
        </xdr:cNvPr>
        <xdr:cNvSpPr/>
      </xdr:nvSpPr>
      <xdr:spPr>
        <a:xfrm>
          <a:off x="14287500" y="130969"/>
          <a:ext cx="2748757" cy="23642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DESTAQUE CRESCIMENTO</a:t>
          </a:r>
          <a:r>
            <a:rPr lang="pt-BR" sz="1400" b="1" baseline="0">
              <a:solidFill>
                <a:srgbClr val="002060"/>
              </a:solidFill>
            </a:rPr>
            <a:t> VALOR</a:t>
          </a:r>
          <a:endParaRPr lang="pt-BR" sz="1200" b="1" baseline="0">
            <a:solidFill>
              <a:srgbClr val="002060"/>
            </a:solidFill>
          </a:endParaRPr>
        </a:p>
        <a:p>
          <a:pPr algn="l"/>
          <a:endParaRPr lang="pt-BR" sz="1400" b="1" baseline="0">
            <a:solidFill>
              <a:srgbClr val="002060"/>
            </a:solidFill>
          </a:endParaRPr>
        </a:p>
        <a:p>
          <a:pPr algn="l"/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0</xdr:col>
      <xdr:colOff>394608</xdr:colOff>
      <xdr:row>0</xdr:row>
      <xdr:rowOff>45874</xdr:rowOff>
    </xdr:from>
    <xdr:to>
      <xdr:col>1</xdr:col>
      <xdr:colOff>312964</xdr:colOff>
      <xdr:row>46</xdr:row>
      <xdr:rowOff>108859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E677BB2-7936-4E38-86F6-065E7246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8" y="45874"/>
          <a:ext cx="1074963" cy="8200056"/>
        </a:xfrm>
        <a:prstGeom prst="rect">
          <a:avLst/>
        </a:prstGeom>
      </xdr:spPr>
    </xdr:pic>
    <xdr:clientData/>
  </xdr:twoCellAnchor>
  <xdr:twoCellAnchor editAs="oneCell">
    <xdr:from>
      <xdr:col>2</xdr:col>
      <xdr:colOff>149681</xdr:colOff>
      <xdr:row>7</xdr:row>
      <xdr:rowOff>0</xdr:rowOff>
    </xdr:from>
    <xdr:to>
      <xdr:col>3</xdr:col>
      <xdr:colOff>163286</xdr:colOff>
      <xdr:row>10</xdr:row>
      <xdr:rowOff>163283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BF527BA3-FE73-4A39-8709-20D581F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645" y="1238250"/>
          <a:ext cx="693962" cy="693962"/>
        </a:xfrm>
        <a:prstGeom prst="rect">
          <a:avLst/>
        </a:prstGeom>
      </xdr:spPr>
    </xdr:pic>
    <xdr:clientData/>
  </xdr:twoCellAnchor>
  <xdr:twoCellAnchor editAs="oneCell">
    <xdr:from>
      <xdr:col>7</xdr:col>
      <xdr:colOff>610961</xdr:colOff>
      <xdr:row>7</xdr:row>
      <xdr:rowOff>1</xdr:rowOff>
    </xdr:from>
    <xdr:to>
      <xdr:col>8</xdr:col>
      <xdr:colOff>499600</xdr:colOff>
      <xdr:row>10</xdr:row>
      <xdr:rowOff>1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B9832415-5E6C-48F2-BB2E-C0AFE5AB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1333501"/>
          <a:ext cx="500961" cy="571500"/>
        </a:xfrm>
        <a:prstGeom prst="rect">
          <a:avLst/>
        </a:prstGeom>
      </xdr:spPr>
    </xdr:pic>
    <xdr:clientData/>
  </xdr:twoCellAnchor>
  <xdr:twoCellAnchor>
    <xdr:from>
      <xdr:col>14</xdr:col>
      <xdr:colOff>607446</xdr:colOff>
      <xdr:row>6</xdr:row>
      <xdr:rowOff>117362</xdr:rowOff>
    </xdr:from>
    <xdr:to>
      <xdr:col>18</xdr:col>
      <xdr:colOff>367393</xdr:colOff>
      <xdr:row>8</xdr:row>
      <xdr:rowOff>68035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AF6971AA-0FD5-480A-B282-D93C9EB4D995}"/>
            </a:ext>
          </a:extLst>
        </xdr:cNvPr>
        <xdr:cNvSpPr/>
      </xdr:nvSpPr>
      <xdr:spPr>
        <a:xfrm>
          <a:off x="9588160" y="1260362"/>
          <a:ext cx="2209233" cy="33167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2060"/>
              </a:solidFill>
            </a:rPr>
            <a:t>CONVERSÃO POSITIVAÇÕES</a:t>
          </a:r>
        </a:p>
      </xdr:txBody>
    </xdr:sp>
    <xdr:clientData/>
  </xdr:twoCellAnchor>
  <xdr:twoCellAnchor>
    <xdr:from>
      <xdr:col>13</xdr:col>
      <xdr:colOff>245495</xdr:colOff>
      <xdr:row>5</xdr:row>
      <xdr:rowOff>171792</xdr:rowOff>
    </xdr:from>
    <xdr:to>
      <xdr:col>14</xdr:col>
      <xdr:colOff>653709</xdr:colOff>
      <xdr:row>10</xdr:row>
      <xdr:rowOff>158184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8E1668D6-4BB4-4A84-B252-832065302D17}"/>
            </a:ext>
          </a:extLst>
        </xdr:cNvPr>
        <xdr:cNvSpPr/>
      </xdr:nvSpPr>
      <xdr:spPr>
        <a:xfrm>
          <a:off x="9566388" y="1056256"/>
          <a:ext cx="1088571" cy="870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136638</xdr:colOff>
      <xdr:row>8</xdr:row>
      <xdr:rowOff>81643</xdr:rowOff>
    </xdr:from>
    <xdr:to>
      <xdr:col>18</xdr:col>
      <xdr:colOff>204106</xdr:colOff>
      <xdr:row>11</xdr:row>
      <xdr:rowOff>105902</xdr:rowOff>
    </xdr:to>
    <xdr:sp macro="" textlink="'ANALISES COMERCIAL'!M2">
      <xdr:nvSpPr>
        <xdr:cNvPr id="52" name="Retângulo: Cantos Arredondados 51">
          <a:extLst>
            <a:ext uri="{FF2B5EF4-FFF2-40B4-BE49-F238E27FC236}">
              <a16:creationId xmlns:a16="http://schemas.microsoft.com/office/drawing/2014/main" id="{FD440699-63AF-48F0-A653-9B1BB7212760}"/>
            </a:ext>
          </a:extLst>
        </xdr:cNvPr>
        <xdr:cNvSpPr/>
      </xdr:nvSpPr>
      <xdr:spPr>
        <a:xfrm>
          <a:off x="10818245" y="1496786"/>
          <a:ext cx="2108540" cy="55493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4A862064-A5C2-437D-A5A7-2D363D218B1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52,78%</a:t>
          </a:fld>
          <a:endParaRPr lang="en-US" sz="2800" b="1">
            <a:latin typeface="Calibri"/>
          </a:endParaRPr>
        </a:p>
      </xdr:txBody>
    </xdr:sp>
    <xdr:clientData/>
  </xdr:twoCellAnchor>
  <xdr:twoCellAnchor editAs="oneCell">
    <xdr:from>
      <xdr:col>13</xdr:col>
      <xdr:colOff>353787</xdr:colOff>
      <xdr:row>6</xdr:row>
      <xdr:rowOff>95249</xdr:rowOff>
    </xdr:from>
    <xdr:to>
      <xdr:col>14</xdr:col>
      <xdr:colOff>468769</xdr:colOff>
      <xdr:row>11</xdr:row>
      <xdr:rowOff>6124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BABE3DAA-2C3B-4466-BAD1-25FF6FC77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4680" y="1156606"/>
          <a:ext cx="795339" cy="795339"/>
        </a:xfrm>
        <a:prstGeom prst="rect">
          <a:avLst/>
        </a:prstGeom>
      </xdr:spPr>
    </xdr:pic>
    <xdr:clientData/>
  </xdr:twoCellAnchor>
  <xdr:twoCellAnchor>
    <xdr:from>
      <xdr:col>18</xdr:col>
      <xdr:colOff>653710</xdr:colOff>
      <xdr:row>6</xdr:row>
      <xdr:rowOff>22112</xdr:rowOff>
    </xdr:from>
    <xdr:to>
      <xdr:col>20</xdr:col>
      <xdr:colOff>381567</xdr:colOff>
      <xdr:row>11</xdr:row>
      <xdr:rowOff>8505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8F131D16-8C58-4A59-85F5-7BD4D6A30D5F}"/>
            </a:ext>
          </a:extLst>
        </xdr:cNvPr>
        <xdr:cNvSpPr/>
      </xdr:nvSpPr>
      <xdr:spPr>
        <a:xfrm>
          <a:off x="13376389" y="1083469"/>
          <a:ext cx="1088571" cy="870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340745</xdr:colOff>
      <xdr:row>6</xdr:row>
      <xdr:rowOff>130970</xdr:rowOff>
    </xdr:from>
    <xdr:to>
      <xdr:col>23</xdr:col>
      <xdr:colOff>631712</xdr:colOff>
      <xdr:row>8</xdr:row>
      <xdr:rowOff>51708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F821AF3C-4FAA-4A77-AC88-695F906BC5FC}"/>
            </a:ext>
          </a:extLst>
        </xdr:cNvPr>
        <xdr:cNvSpPr/>
      </xdr:nvSpPr>
      <xdr:spPr>
        <a:xfrm>
          <a:off x="14424138" y="1192327"/>
          <a:ext cx="2332038" cy="27452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rgbClr val="002060"/>
              </a:solidFill>
            </a:rPr>
            <a:t>DESTAQUE</a:t>
          </a:r>
          <a:r>
            <a:rPr lang="pt-BR" sz="1000" b="1" baseline="0">
              <a:solidFill>
                <a:srgbClr val="002060"/>
              </a:solidFill>
            </a:rPr>
            <a:t> CRESCIMENTO POSITIVACAO</a:t>
          </a:r>
        </a:p>
        <a:p>
          <a:pPr algn="ctr"/>
          <a:r>
            <a:rPr lang="pt-BR" sz="1200" b="1" baseline="0">
              <a:solidFill>
                <a:srgbClr val="002060"/>
              </a:solidFill>
            </a:rPr>
            <a:t>a</a:t>
          </a:r>
          <a:endParaRPr lang="pt-BR" sz="12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</xdr:col>
      <xdr:colOff>593836</xdr:colOff>
      <xdr:row>20</xdr:row>
      <xdr:rowOff>163286</xdr:rowOff>
    </xdr:from>
    <xdr:to>
      <xdr:col>5</xdr:col>
      <xdr:colOff>2719</xdr:colOff>
      <xdr:row>28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EQUIPE">
              <a:extLst>
                <a:ext uri="{FF2B5EF4-FFF2-40B4-BE49-F238E27FC236}">
                  <a16:creationId xmlns:a16="http://schemas.microsoft.com/office/drawing/2014/main" id="{35E19A24-F61B-4942-A9B3-590FA5714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443" y="3701143"/>
              <a:ext cx="2130312" cy="1347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593836</xdr:colOff>
      <xdr:row>13</xdr:row>
      <xdr:rowOff>35721</xdr:rowOff>
    </xdr:from>
    <xdr:to>
      <xdr:col>4</xdr:col>
      <xdr:colOff>598711</xdr:colOff>
      <xdr:row>20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MÊS 4">
              <a:extLst>
                <a:ext uri="{FF2B5EF4-FFF2-40B4-BE49-F238E27FC236}">
                  <a16:creationId xmlns:a16="http://schemas.microsoft.com/office/drawing/2014/main" id="{0EBFE2A5-4FA0-4D32-A36A-05F10C08D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4372" y="2512221"/>
              <a:ext cx="1841839" cy="1379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558458</xdr:colOff>
      <xdr:row>30</xdr:row>
      <xdr:rowOff>90149</xdr:rowOff>
    </xdr:from>
    <xdr:to>
      <xdr:col>4</xdr:col>
      <xdr:colOff>609599</xdr:colOff>
      <xdr:row>46</xdr:row>
      <xdr:rowOff>54429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VENDEDOR">
              <a:extLst>
                <a:ext uri="{FF2B5EF4-FFF2-40B4-BE49-F238E27FC236}">
                  <a16:creationId xmlns:a16="http://schemas.microsoft.com/office/drawing/2014/main" id="{010F543F-48F1-4704-A901-AE326B2AD4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333" y="5328899"/>
              <a:ext cx="2156166" cy="2758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462644</xdr:colOff>
      <xdr:row>7</xdr:row>
      <xdr:rowOff>136071</xdr:rowOff>
    </xdr:from>
    <xdr:to>
      <xdr:col>20</xdr:col>
      <xdr:colOff>358621</xdr:colOff>
      <xdr:row>11</xdr:row>
      <xdr:rowOff>4834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B0FB00-4EBC-4334-B47B-DA24A6147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5680" y="1374321"/>
          <a:ext cx="576334" cy="576334"/>
        </a:xfrm>
        <a:prstGeom prst="rect">
          <a:avLst/>
        </a:prstGeom>
      </xdr:spPr>
    </xdr:pic>
    <xdr:clientData/>
  </xdr:twoCellAnchor>
  <xdr:twoCellAnchor editAs="oneCell">
    <xdr:from>
      <xdr:col>19</xdr:col>
      <xdr:colOff>13607</xdr:colOff>
      <xdr:row>6</xdr:row>
      <xdr:rowOff>28720</xdr:rowOff>
    </xdr:from>
    <xdr:to>
      <xdr:col>20</xdr:col>
      <xdr:colOff>2721</xdr:colOff>
      <xdr:row>9</xdr:row>
      <xdr:rowOff>96755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71C62B2-8C9D-45B6-B2C9-6DD031DC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6643" y="1090077"/>
          <a:ext cx="598714" cy="598714"/>
        </a:xfrm>
        <a:prstGeom prst="rect">
          <a:avLst/>
        </a:prstGeom>
      </xdr:spPr>
    </xdr:pic>
    <xdr:clientData/>
  </xdr:twoCellAnchor>
  <xdr:twoCellAnchor editAs="oneCell">
    <xdr:from>
      <xdr:col>19</xdr:col>
      <xdr:colOff>191067</xdr:colOff>
      <xdr:row>0</xdr:row>
      <xdr:rowOff>49327</xdr:rowOff>
    </xdr:from>
    <xdr:to>
      <xdr:col>20</xdr:col>
      <xdr:colOff>109424</xdr:colOff>
      <xdr:row>3</xdr:row>
      <xdr:rowOff>117362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47A05AB5-4B8A-4216-8703-897E2CC0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4103" y="49327"/>
          <a:ext cx="598714" cy="598714"/>
        </a:xfrm>
        <a:prstGeom prst="rect">
          <a:avLst/>
        </a:prstGeom>
      </xdr:spPr>
    </xdr:pic>
    <xdr:clientData/>
  </xdr:twoCellAnchor>
  <xdr:twoCellAnchor>
    <xdr:from>
      <xdr:col>14</xdr:col>
      <xdr:colOff>40821</xdr:colOff>
      <xdr:row>30</xdr:row>
      <xdr:rowOff>81643</xdr:rowOff>
    </xdr:from>
    <xdr:to>
      <xdr:col>23</xdr:col>
      <xdr:colOff>653142</xdr:colOff>
      <xdr:row>46</xdr:row>
      <xdr:rowOff>122465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6D82996A-3561-4470-AE8E-97732E5B6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599281</xdr:colOff>
      <xdr:row>13</xdr:row>
      <xdr:rowOff>8504</xdr:rowOff>
    </xdr:from>
    <xdr:to>
      <xdr:col>24</xdr:col>
      <xdr:colOff>27215</xdr:colOff>
      <xdr:row>29</xdr:row>
      <xdr:rowOff>27213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712F5D8C-31A0-4AB6-9924-2AA65E41B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340177</xdr:colOff>
      <xdr:row>13</xdr:row>
      <xdr:rowOff>22113</xdr:rowOff>
    </xdr:from>
    <xdr:to>
      <xdr:col>13</xdr:col>
      <xdr:colOff>353785</xdr:colOff>
      <xdr:row>28</xdr:row>
      <xdr:rowOff>122464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B0193364-C065-48C5-BDB2-6C2967757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299924</xdr:colOff>
      <xdr:row>30</xdr:row>
      <xdr:rowOff>117362</xdr:rowOff>
    </xdr:from>
    <xdr:to>
      <xdr:col>13</xdr:col>
      <xdr:colOff>367393</xdr:colOff>
      <xdr:row>45</xdr:row>
      <xdr:rowOff>149678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3A7E0CED-F3C4-4CCF-AA8F-03307A6D3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18</xdr:col>
      <xdr:colOff>216354</xdr:colOff>
      <xdr:row>0</xdr:row>
      <xdr:rowOff>112261</xdr:rowOff>
    </xdr:from>
    <xdr:to>
      <xdr:col>19</xdr:col>
      <xdr:colOff>161924</xdr:colOff>
      <xdr:row>3</xdr:row>
      <xdr:rowOff>77563</xdr:rowOff>
    </xdr:to>
    <xdr:pic>
      <xdr:nvPicPr>
        <xdr:cNvPr id="34" name="Imagem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4127D22-B86F-40A4-9EFC-98538993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9033" y="112261"/>
          <a:ext cx="625927" cy="495981"/>
        </a:xfrm>
        <a:prstGeom prst="rect">
          <a:avLst/>
        </a:prstGeom>
      </xdr:spPr>
    </xdr:pic>
    <xdr:clientData/>
  </xdr:twoCellAnchor>
  <xdr:twoCellAnchor>
    <xdr:from>
      <xdr:col>11</xdr:col>
      <xdr:colOff>38440</xdr:colOff>
      <xdr:row>7</xdr:row>
      <xdr:rowOff>185962</xdr:rowOff>
    </xdr:from>
    <xdr:to>
      <xdr:col>12</xdr:col>
      <xdr:colOff>478972</xdr:colOff>
      <xdr:row>10</xdr:row>
      <xdr:rowOff>95249</xdr:rowOff>
    </xdr:to>
    <xdr:sp macro="" textlink="'ANALISES COMERCIAL'!I2">
      <xdr:nvSpPr>
        <xdr:cNvPr id="3" name="Retângulo: Cantos Arredondados 2">
          <a:extLst>
            <a:ext uri="{FF2B5EF4-FFF2-40B4-BE49-F238E27FC236}">
              <a16:creationId xmlns:a16="http://schemas.microsoft.com/office/drawing/2014/main" id="{7E2E325C-ECF4-413F-9F0B-A809526390A3}"/>
            </a:ext>
          </a:extLst>
        </xdr:cNvPr>
        <xdr:cNvSpPr/>
      </xdr:nvSpPr>
      <xdr:spPr>
        <a:xfrm>
          <a:off x="7182190" y="1519462"/>
          <a:ext cx="1052853" cy="48078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/>
          <a:fld id="{2564E370-93A9-4F0A-A5DC-9B8458D25CD8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38</a:t>
          </a:fld>
          <a:endParaRPr lang="en-US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0.73566</cdr:x>
      <cdr:y>0.09574</cdr:y>
    </cdr:from>
    <cdr:to>
      <cdr:x>0.97756</cdr:x>
      <cdr:y>0.24892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30774C3-7DCA-4AC7-AA01-15B0DA7032AB}"/>
            </a:ext>
          </a:extLst>
        </cdr:cNvPr>
        <cdr:cNvSpPr txBox="1"/>
      </cdr:nvSpPr>
      <cdr:spPr>
        <a:xfrm xmlns:a="http://schemas.openxmlformats.org/drawingml/2006/main">
          <a:off x="4014108" y="263637"/>
          <a:ext cx="1319893" cy="421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0.79458</cdr:x>
      <cdr:y>0.10068</cdr:y>
    </cdr:from>
    <cdr:to>
      <cdr:x>1</cdr:x>
      <cdr:y>0.21627</cdr:y>
    </cdr:to>
    <cdr:sp macro="" textlink="'ANALISES COMERCIAL'!$A$14">
      <cdr:nvSpPr>
        <cdr:cNvPr id="3" name="Retângulo: Cantos Arredondados 2">
          <a:extLst xmlns:a="http://schemas.openxmlformats.org/drawingml/2006/main">
            <a:ext uri="{FF2B5EF4-FFF2-40B4-BE49-F238E27FC236}">
              <a16:creationId xmlns:a16="http://schemas.microsoft.com/office/drawing/2014/main" id="{7E2E325C-ECF4-413F-9F0B-A809526390A3}"/>
            </a:ext>
          </a:extLst>
        </cdr:cNvPr>
        <cdr:cNvSpPr/>
      </cdr:nvSpPr>
      <cdr:spPr>
        <a:xfrm xmlns:a="http://schemas.openxmlformats.org/drawingml/2006/main">
          <a:off x="4335576" y="277245"/>
          <a:ext cx="1120889" cy="318297"/>
        </a:xfrm>
        <a:prstGeom xmlns:a="http://schemas.openxmlformats.org/drawingml/2006/main" prst="roundRect">
          <a:avLst>
            <a:gd name="adj" fmla="val 17481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5400000" algn="t" rotWithShape="0">
            <a:srgbClr val="3661EB">
              <a:alpha val="40000"/>
            </a:srgbClr>
          </a:outerShdw>
        </a:effec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DA8FCA3B-EE2E-4625-9616-AB8EEFC484C9}" type="TxLink">
            <a:rPr lang="en-US" sz="1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13,84%</a:t>
          </a:fld>
          <a:endParaRPr lang="en-US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0.73307</cdr:x>
      <cdr:y>0</cdr:y>
    </cdr:from>
    <cdr:to>
      <cdr:x>1</cdr:x>
      <cdr:y>0.08262</cdr:y>
    </cdr:to>
    <cdr:sp macro="" textlink="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F821AF3C-4FAA-4A77-AC88-695F906BC5FC}"/>
            </a:ext>
          </a:extLst>
        </cdr:cNvPr>
        <cdr:cNvSpPr/>
      </cdr:nvSpPr>
      <cdr:spPr>
        <a:xfrm xmlns:a="http://schemas.openxmlformats.org/drawingml/2006/main">
          <a:off x="4013561" y="0"/>
          <a:ext cx="1456511" cy="22750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200" b="1" baseline="0">
              <a:solidFill>
                <a:srgbClr val="002060"/>
              </a:solidFill>
            </a:rPr>
            <a:t>CRESCIMENTO</a:t>
          </a:r>
          <a:endParaRPr lang="pt-BR" sz="1200" b="1">
            <a:solidFill>
              <a:srgbClr val="00206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0.54969</cdr:x>
      <cdr:y>0</cdr:y>
    </cdr:from>
    <cdr:to>
      <cdr:x>1</cdr:x>
      <cdr:y>0.11336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AF6971AA-0FD5-480A-B282-D93C9EB4D995}"/>
            </a:ext>
          </a:extLst>
        </cdr:cNvPr>
        <cdr:cNvSpPr/>
      </cdr:nvSpPr>
      <cdr:spPr>
        <a:xfrm xmlns:a="http://schemas.openxmlformats.org/drawingml/2006/main">
          <a:off x="3028950" y="0"/>
          <a:ext cx="2481376" cy="30445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 b="1">
              <a:solidFill>
                <a:srgbClr val="002060"/>
              </a:solidFill>
            </a:rPr>
            <a:t>CONVERSÃO POSITIVAÇÕES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408781</xdr:colOff>
      <xdr:row>0</xdr:row>
      <xdr:rowOff>49327</xdr:rowOff>
    </xdr:from>
    <xdr:to>
      <xdr:col>24</xdr:col>
      <xdr:colOff>388370</xdr:colOff>
      <xdr:row>48</xdr:row>
      <xdr:rowOff>49327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68A01F0A-CFDA-4AE0-A6DE-1A881AE7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8781" y="49327"/>
          <a:ext cx="15162439" cy="8490857"/>
        </a:xfrm>
        <a:prstGeom prst="rect">
          <a:avLst/>
        </a:prstGeom>
      </xdr:spPr>
    </xdr:pic>
    <xdr:clientData/>
  </xdr:twoCellAnchor>
  <xdr:twoCellAnchor>
    <xdr:from>
      <xdr:col>3</xdr:col>
      <xdr:colOff>353785</xdr:colOff>
      <xdr:row>8</xdr:row>
      <xdr:rowOff>95250</xdr:rowOff>
    </xdr:from>
    <xdr:to>
      <xdr:col>7</xdr:col>
      <xdr:colOff>163286</xdr:colOff>
      <xdr:row>11</xdr:row>
      <xdr:rowOff>54430</xdr:rowOff>
    </xdr:to>
    <xdr:sp macro="" textlink="'ANALISES FIN.'!F3">
      <xdr:nvSpPr>
        <xdr:cNvPr id="3" name="Retângulo: Cantos Arredondados 2">
          <a:extLst>
            <a:ext uri="{FF2B5EF4-FFF2-40B4-BE49-F238E27FC236}">
              <a16:creationId xmlns:a16="http://schemas.microsoft.com/office/drawing/2014/main" id="{9ADFCEF7-A6D8-44E5-B97A-2E4899985D4C}"/>
            </a:ext>
          </a:extLst>
        </xdr:cNvPr>
        <xdr:cNvSpPr/>
      </xdr:nvSpPr>
      <xdr:spPr>
        <a:xfrm>
          <a:off x="2735035" y="1619250"/>
          <a:ext cx="2247901" cy="530680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19420F3-18DA-42A0-8EA0-889A346DDD26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R$ 1.796.497,92</a:t>
          </a:fld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9</xdr:col>
      <xdr:colOff>130969</xdr:colOff>
      <xdr:row>7</xdr:row>
      <xdr:rowOff>90713</xdr:rowOff>
    </xdr:from>
    <xdr:to>
      <xdr:col>12</xdr:col>
      <xdr:colOff>480219</xdr:colOff>
      <xdr:row>11</xdr:row>
      <xdr:rowOff>11217</xdr:rowOff>
    </xdr:to>
    <xdr:sp macro="" textlink="'ANALISES FIN.'!J3">
      <xdr:nvSpPr>
        <xdr:cNvPr id="4" name="Retângulo: Cantos Arredondados 3">
          <a:extLst>
            <a:ext uri="{FF2B5EF4-FFF2-40B4-BE49-F238E27FC236}">
              <a16:creationId xmlns:a16="http://schemas.microsoft.com/office/drawing/2014/main" id="{C97F9A3A-A936-4607-A39A-E3580B011BD4}"/>
            </a:ext>
          </a:extLst>
        </xdr:cNvPr>
        <xdr:cNvSpPr/>
      </xdr:nvSpPr>
      <xdr:spPr>
        <a:xfrm>
          <a:off x="6169819" y="1424213"/>
          <a:ext cx="2178050" cy="68250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8D051425-3E4B-46A5-A9A3-B4E852344915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R$ 1.301.864,88</a:t>
          </a:fld>
          <a:endParaRPr lang="en-US" sz="4000" b="1" i="0" u="none" strike="noStrike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20</xdr:col>
      <xdr:colOff>462642</xdr:colOff>
      <xdr:row>8</xdr:row>
      <xdr:rowOff>154213</xdr:rowOff>
    </xdr:from>
    <xdr:to>
      <xdr:col>24</xdr:col>
      <xdr:colOff>36853</xdr:colOff>
      <xdr:row>11</xdr:row>
      <xdr:rowOff>108858</xdr:rowOff>
    </xdr:to>
    <xdr:sp macro="" textlink="'ANALISES FIN.'!U4">
      <xdr:nvSpPr>
        <xdr:cNvPr id="5" name="Retângulo: Cantos Arredondados 4">
          <a:extLst>
            <a:ext uri="{FF2B5EF4-FFF2-40B4-BE49-F238E27FC236}">
              <a16:creationId xmlns:a16="http://schemas.microsoft.com/office/drawing/2014/main" id="{66053B40-FC8A-427F-91B4-B0E7321DE1FF}"/>
            </a:ext>
          </a:extLst>
        </xdr:cNvPr>
        <xdr:cNvSpPr/>
      </xdr:nvSpPr>
      <xdr:spPr>
        <a:xfrm>
          <a:off x="13207092" y="1678213"/>
          <a:ext cx="2012611" cy="52614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8001D5DC-2191-400E-98E7-B113FF741486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18,19%</a:t>
          </a:fld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6</xdr:col>
      <xdr:colOff>333376</xdr:colOff>
      <xdr:row>0</xdr:row>
      <xdr:rowOff>166689</xdr:rowOff>
    </xdr:from>
    <xdr:to>
      <xdr:col>24</xdr:col>
      <xdr:colOff>83344</xdr:colOff>
      <xdr:row>4</xdr:row>
      <xdr:rowOff>119063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694A2E3-34B7-46A6-9B1F-4415E64A5E74}"/>
            </a:ext>
          </a:extLst>
        </xdr:cNvPr>
        <xdr:cNvSpPr/>
      </xdr:nvSpPr>
      <xdr:spPr>
        <a:xfrm>
          <a:off x="4543426" y="166689"/>
          <a:ext cx="10722768" cy="71437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 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FINANCEIRO  </a:t>
          </a:r>
          <a:endParaRPr lang="en-US" sz="2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209096</xdr:colOff>
      <xdr:row>6</xdr:row>
      <xdr:rowOff>21431</xdr:rowOff>
    </xdr:from>
    <xdr:to>
      <xdr:col>12</xdr:col>
      <xdr:colOff>500062</xdr:colOff>
      <xdr:row>7</xdr:row>
      <xdr:rowOff>119062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4C8D223-397E-4647-8C3C-C334CE97D357}"/>
            </a:ext>
          </a:extLst>
        </xdr:cNvPr>
        <xdr:cNvSpPr/>
      </xdr:nvSpPr>
      <xdr:spPr>
        <a:xfrm>
          <a:off x="6247946" y="1164431"/>
          <a:ext cx="2119766" cy="2881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TOTAL COMPRAS</a:t>
          </a:r>
          <a:r>
            <a:rPr lang="pt-BR" sz="1600" b="1" baseline="0">
              <a:solidFill>
                <a:srgbClr val="002060"/>
              </a:solidFill>
            </a:rPr>
            <a:t> MERC</a:t>
          </a:r>
          <a:endParaRPr lang="pt-B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231322</xdr:colOff>
      <xdr:row>6</xdr:row>
      <xdr:rowOff>7143</xdr:rowOff>
    </xdr:from>
    <xdr:to>
      <xdr:col>7</xdr:col>
      <xdr:colOff>217714</xdr:colOff>
      <xdr:row>9</xdr:row>
      <xdr:rowOff>27214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98B096F-1784-4F58-B2C7-ECBE80590153}"/>
            </a:ext>
          </a:extLst>
        </xdr:cNvPr>
        <xdr:cNvSpPr/>
      </xdr:nvSpPr>
      <xdr:spPr>
        <a:xfrm>
          <a:off x="2612572" y="1150143"/>
          <a:ext cx="2424792" cy="59157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TOTAL VENDAS PERÍODO</a:t>
          </a:r>
        </a:p>
      </xdr:txBody>
    </xdr:sp>
    <xdr:clientData/>
  </xdr:twoCellAnchor>
  <xdr:twoCellAnchor>
    <xdr:from>
      <xdr:col>7</xdr:col>
      <xdr:colOff>408214</xdr:colOff>
      <xdr:row>6</xdr:row>
      <xdr:rowOff>13607</xdr:rowOff>
    </xdr:from>
    <xdr:to>
      <xdr:col>9</xdr:col>
      <xdr:colOff>136071</xdr:colOff>
      <xdr:row>11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245579B-B2C9-40F5-9AE2-007E393646F6}"/>
            </a:ext>
          </a:extLst>
        </xdr:cNvPr>
        <xdr:cNvSpPr/>
      </xdr:nvSpPr>
      <xdr:spPr>
        <a:xfrm>
          <a:off x="5227864" y="1156607"/>
          <a:ext cx="947057" cy="93889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585107</xdr:colOff>
      <xdr:row>6</xdr:row>
      <xdr:rowOff>0</xdr:rowOff>
    </xdr:from>
    <xdr:to>
      <xdr:col>3</xdr:col>
      <xdr:colOff>258536</xdr:colOff>
      <xdr:row>11</xdr:row>
      <xdr:rowOff>68036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4A701C1-DD2B-44ED-B1E7-6191BA053B43}"/>
            </a:ext>
          </a:extLst>
        </xdr:cNvPr>
        <xdr:cNvSpPr/>
      </xdr:nvSpPr>
      <xdr:spPr>
        <a:xfrm>
          <a:off x="1747157" y="1143000"/>
          <a:ext cx="892629" cy="102053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149681</xdr:colOff>
      <xdr:row>7</xdr:row>
      <xdr:rowOff>0</xdr:rowOff>
    </xdr:from>
    <xdr:to>
      <xdr:col>3</xdr:col>
      <xdr:colOff>163286</xdr:colOff>
      <xdr:row>10</xdr:row>
      <xdr:rowOff>163283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98FD56A-B834-4A08-879E-C1629CC7E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331" y="1333500"/>
          <a:ext cx="623205" cy="693962"/>
        </a:xfrm>
        <a:prstGeom prst="rect">
          <a:avLst/>
        </a:prstGeom>
      </xdr:spPr>
    </xdr:pic>
    <xdr:clientData/>
  </xdr:twoCellAnchor>
  <xdr:twoCellAnchor>
    <xdr:from>
      <xdr:col>14</xdr:col>
      <xdr:colOff>626495</xdr:colOff>
      <xdr:row>6</xdr:row>
      <xdr:rowOff>117362</xdr:rowOff>
    </xdr:from>
    <xdr:to>
      <xdr:col>18</xdr:col>
      <xdr:colOff>340177</xdr:colOff>
      <xdr:row>8</xdr:row>
      <xdr:rowOff>54427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38AB5A64-F2C8-43BA-A6D4-98924EC5F398}"/>
            </a:ext>
          </a:extLst>
        </xdr:cNvPr>
        <xdr:cNvSpPr/>
      </xdr:nvSpPr>
      <xdr:spPr>
        <a:xfrm>
          <a:off x="10627745" y="1178719"/>
          <a:ext cx="2435111" cy="29085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2060"/>
              </a:solidFill>
            </a:rPr>
            <a:t>RECEBIMENTOS CONCILIADOS</a:t>
          </a:r>
        </a:p>
      </xdr:txBody>
    </xdr:sp>
    <xdr:clientData/>
  </xdr:twoCellAnchor>
  <xdr:twoCellAnchor>
    <xdr:from>
      <xdr:col>13</xdr:col>
      <xdr:colOff>245495</xdr:colOff>
      <xdr:row>5</xdr:row>
      <xdr:rowOff>171792</xdr:rowOff>
    </xdr:from>
    <xdr:to>
      <xdr:col>14</xdr:col>
      <xdr:colOff>653709</xdr:colOff>
      <xdr:row>10</xdr:row>
      <xdr:rowOff>158184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53A0D8FD-E33C-4BC1-954B-CCCCCA67ED65}"/>
            </a:ext>
          </a:extLst>
        </xdr:cNvPr>
        <xdr:cNvSpPr/>
      </xdr:nvSpPr>
      <xdr:spPr>
        <a:xfrm>
          <a:off x="8722745" y="1124292"/>
          <a:ext cx="970189" cy="93889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136638</xdr:colOff>
      <xdr:row>8</xdr:row>
      <xdr:rowOff>81643</xdr:rowOff>
    </xdr:from>
    <xdr:to>
      <xdr:col>18</xdr:col>
      <xdr:colOff>204106</xdr:colOff>
      <xdr:row>11</xdr:row>
      <xdr:rowOff>105902</xdr:rowOff>
    </xdr:to>
    <xdr:sp macro="" textlink="'ANALISES FIN.'!N3">
      <xdr:nvSpPr>
        <xdr:cNvPr id="18" name="Retângulo: Cantos Arredondados 17">
          <a:extLst>
            <a:ext uri="{FF2B5EF4-FFF2-40B4-BE49-F238E27FC236}">
              <a16:creationId xmlns:a16="http://schemas.microsoft.com/office/drawing/2014/main" id="{F6CC549E-8DB7-4C77-9C14-E3D189CE9F4C}"/>
            </a:ext>
          </a:extLst>
        </xdr:cNvPr>
        <xdr:cNvSpPr/>
      </xdr:nvSpPr>
      <xdr:spPr>
        <a:xfrm>
          <a:off x="9833088" y="1605643"/>
          <a:ext cx="1896268" cy="595759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4C206BA-9210-497A-B654-40B5C32A6864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R$ 1.667.393,65</a:t>
          </a:fld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 editAs="oneCell">
    <xdr:from>
      <xdr:col>13</xdr:col>
      <xdr:colOff>353787</xdr:colOff>
      <xdr:row>6</xdr:row>
      <xdr:rowOff>95249</xdr:rowOff>
    </xdr:from>
    <xdr:to>
      <xdr:col>14</xdr:col>
      <xdr:colOff>468769</xdr:colOff>
      <xdr:row>11</xdr:row>
      <xdr:rowOff>6124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28889B1-30FB-4A59-A75D-C578AB2A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7" y="1238249"/>
          <a:ext cx="724582" cy="795339"/>
        </a:xfrm>
        <a:prstGeom prst="rect">
          <a:avLst/>
        </a:prstGeom>
      </xdr:spPr>
    </xdr:pic>
    <xdr:clientData/>
  </xdr:twoCellAnchor>
  <xdr:twoCellAnchor>
    <xdr:from>
      <xdr:col>18</xdr:col>
      <xdr:colOff>653710</xdr:colOff>
      <xdr:row>6</xdr:row>
      <xdr:rowOff>22112</xdr:rowOff>
    </xdr:from>
    <xdr:to>
      <xdr:col>20</xdr:col>
      <xdr:colOff>381567</xdr:colOff>
      <xdr:row>11</xdr:row>
      <xdr:rowOff>8505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8BEBAB1A-4450-482B-8FEA-FCEC43D5A42E}"/>
            </a:ext>
          </a:extLst>
        </xdr:cNvPr>
        <xdr:cNvSpPr/>
      </xdr:nvSpPr>
      <xdr:spPr>
        <a:xfrm>
          <a:off x="12131335" y="1165112"/>
          <a:ext cx="994682" cy="93889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340745</xdr:colOff>
      <xdr:row>6</xdr:row>
      <xdr:rowOff>130970</xdr:rowOff>
    </xdr:from>
    <xdr:to>
      <xdr:col>23</xdr:col>
      <xdr:colOff>631712</xdr:colOff>
      <xdr:row>8</xdr:row>
      <xdr:rowOff>51708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E3D5A5EB-7E36-4760-990A-F1933744321B}"/>
            </a:ext>
          </a:extLst>
        </xdr:cNvPr>
        <xdr:cNvSpPr/>
      </xdr:nvSpPr>
      <xdr:spPr>
        <a:xfrm>
          <a:off x="13085195" y="1273970"/>
          <a:ext cx="2100717" cy="30173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2060"/>
              </a:solidFill>
            </a:rPr>
            <a:t>% MARGEM LUCRO BRUTA</a:t>
          </a:r>
          <a:endParaRPr lang="pt-BR" sz="1400" b="1" baseline="0">
            <a:solidFill>
              <a:srgbClr val="002060"/>
            </a:solidFill>
          </a:endParaRPr>
        </a:p>
        <a:p>
          <a:pPr algn="ctr"/>
          <a:r>
            <a:rPr lang="pt-BR" sz="2000" b="1" baseline="0">
              <a:solidFill>
                <a:srgbClr val="002060"/>
              </a:solidFill>
            </a:rPr>
            <a:t>a</a:t>
          </a:r>
          <a:endParaRPr lang="pt-BR" sz="20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7</xdr:col>
      <xdr:colOff>489858</xdr:colOff>
      <xdr:row>6</xdr:row>
      <xdr:rowOff>106230</xdr:rowOff>
    </xdr:from>
    <xdr:to>
      <xdr:col>8</xdr:col>
      <xdr:colOff>585109</xdr:colOff>
      <xdr:row>10</xdr:row>
      <xdr:rowOff>174266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D256E8B-4F17-4E10-B195-DF342A919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608" y="1167587"/>
          <a:ext cx="775608" cy="775608"/>
        </a:xfrm>
        <a:prstGeom prst="rect">
          <a:avLst/>
        </a:prstGeom>
      </xdr:spPr>
    </xdr:pic>
    <xdr:clientData/>
  </xdr:twoCellAnchor>
  <xdr:twoCellAnchor editAs="oneCell">
    <xdr:from>
      <xdr:col>19</xdr:col>
      <xdr:colOff>176893</xdr:colOff>
      <xdr:row>7</xdr:row>
      <xdr:rowOff>13607</xdr:rowOff>
    </xdr:from>
    <xdr:to>
      <xdr:col>20</xdr:col>
      <xdr:colOff>181726</xdr:colOff>
      <xdr:row>10</xdr:row>
      <xdr:rowOff>168118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678C543A-5BAF-4A85-A696-C69C3D57C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9929" y="1251857"/>
          <a:ext cx="685190" cy="685190"/>
        </a:xfrm>
        <a:prstGeom prst="rect">
          <a:avLst/>
        </a:prstGeom>
      </xdr:spPr>
    </xdr:pic>
    <xdr:clientData/>
  </xdr:twoCellAnchor>
  <xdr:twoCellAnchor>
    <xdr:from>
      <xdr:col>14</xdr:col>
      <xdr:colOff>40821</xdr:colOff>
      <xdr:row>30</xdr:row>
      <xdr:rowOff>90150</xdr:rowOff>
    </xdr:from>
    <xdr:to>
      <xdr:col>23</xdr:col>
      <xdr:colOff>625928</xdr:colOff>
      <xdr:row>46</xdr:row>
      <xdr:rowOff>149679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33B50916-072E-4EAF-9FB6-528D74A47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27781</xdr:colOff>
      <xdr:row>13</xdr:row>
      <xdr:rowOff>35720</xdr:rowOff>
    </xdr:from>
    <xdr:to>
      <xdr:col>23</xdr:col>
      <xdr:colOff>625929</xdr:colOff>
      <xdr:row>28</xdr:row>
      <xdr:rowOff>68036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FC529301-6C72-41C8-B54A-D6BFCAFC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598715</xdr:colOff>
      <xdr:row>12</xdr:row>
      <xdr:rowOff>144577</xdr:rowOff>
    </xdr:from>
    <xdr:to>
      <xdr:col>5</xdr:col>
      <xdr:colOff>27214</xdr:colOff>
      <xdr:row>29</xdr:row>
      <xdr:rowOff>40821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ÊS 5">
              <a:extLst>
                <a:ext uri="{FF2B5EF4-FFF2-40B4-BE49-F238E27FC236}">
                  <a16:creationId xmlns:a16="http://schemas.microsoft.com/office/drawing/2014/main" id="{3164AD07-BADE-4E46-BF19-AC463CBA72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5322" y="2267291"/>
              <a:ext cx="2149928" cy="2903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313530</xdr:colOff>
      <xdr:row>30</xdr:row>
      <xdr:rowOff>22112</xdr:rowOff>
    </xdr:from>
    <xdr:to>
      <xdr:col>13</xdr:col>
      <xdr:colOff>326571</xdr:colOff>
      <xdr:row>46</xdr:row>
      <xdr:rowOff>27215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1D5F8B2-7FFA-4857-A114-D33A87B4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286315</xdr:colOff>
      <xdr:row>13</xdr:row>
      <xdr:rowOff>8506</xdr:rowOff>
    </xdr:from>
    <xdr:to>
      <xdr:col>13</xdr:col>
      <xdr:colOff>380999</xdr:colOff>
      <xdr:row>29</xdr:row>
      <xdr:rowOff>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CD70867-D9C2-463D-84BF-10939F7F1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22</xdr:col>
      <xdr:colOff>488498</xdr:colOff>
      <xdr:row>1</xdr:row>
      <xdr:rowOff>71439</xdr:rowOff>
    </xdr:from>
    <xdr:to>
      <xdr:col>23</xdr:col>
      <xdr:colOff>434068</xdr:colOff>
      <xdr:row>4</xdr:row>
      <xdr:rowOff>36742</xdr:rowOff>
    </xdr:to>
    <xdr:pic>
      <xdr:nvPicPr>
        <xdr:cNvPr id="41" name="Imagem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B188D9B-8F08-452C-ADF6-BFA4360F2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2605" y="248332"/>
          <a:ext cx="625927" cy="495981"/>
        </a:xfrm>
        <a:prstGeom prst="rect">
          <a:avLst/>
        </a:prstGeom>
      </xdr:spPr>
    </xdr:pic>
    <xdr:clientData/>
  </xdr:twoCellAnchor>
  <xdr:twoCellAnchor editAs="oneCell">
    <xdr:from>
      <xdr:col>0</xdr:col>
      <xdr:colOff>625930</xdr:colOff>
      <xdr:row>0</xdr:row>
      <xdr:rowOff>163285</xdr:rowOff>
    </xdr:from>
    <xdr:to>
      <xdr:col>1</xdr:col>
      <xdr:colOff>489857</xdr:colOff>
      <xdr:row>47</xdr:row>
      <xdr:rowOff>139363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E52808D7-DF11-4A5C-AE31-418B2F6A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30" y="163285"/>
          <a:ext cx="1020534" cy="8290042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449036</xdr:colOff>
      <xdr:row>48</xdr:row>
      <xdr:rowOff>54428</xdr:rowOff>
    </xdr:from>
    <xdr:to>
      <xdr:col>25</xdr:col>
      <xdr:colOff>13607</xdr:colOff>
      <xdr:row>99</xdr:row>
      <xdr:rowOff>54427</xdr:rowOff>
    </xdr:to>
    <xdr:pic>
      <xdr:nvPicPr>
        <xdr:cNvPr id="27" name="Gráfico 26">
          <a:extLst>
            <a:ext uri="{FF2B5EF4-FFF2-40B4-BE49-F238E27FC236}">
              <a16:creationId xmlns:a16="http://schemas.microsoft.com/office/drawing/2014/main" id="{A3AE9A7B-7174-4D8C-B31C-1CF10AE4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9036" y="8545285"/>
          <a:ext cx="17049750" cy="9021535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639535</xdr:colOff>
      <xdr:row>48</xdr:row>
      <xdr:rowOff>122465</xdr:rowOff>
    </xdr:from>
    <xdr:to>
      <xdr:col>1</xdr:col>
      <xdr:colOff>503462</xdr:colOff>
      <xdr:row>95</xdr:row>
      <xdr:rowOff>98543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75B4B1F8-37F8-4E93-8F20-ECBC5A6F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5" y="8613322"/>
          <a:ext cx="1020534" cy="8290042"/>
        </a:xfrm>
        <a:prstGeom prst="rect">
          <a:avLst/>
        </a:prstGeom>
      </xdr:spPr>
    </xdr:pic>
    <xdr:clientData/>
  </xdr:twoCellAnchor>
  <xdr:twoCellAnchor>
    <xdr:from>
      <xdr:col>6</xdr:col>
      <xdr:colOff>449036</xdr:colOff>
      <xdr:row>49</xdr:row>
      <xdr:rowOff>13608</xdr:rowOff>
    </xdr:from>
    <xdr:to>
      <xdr:col>24</xdr:col>
      <xdr:colOff>199004</xdr:colOff>
      <xdr:row>52</xdr:row>
      <xdr:rowOff>142874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D33CDFC4-8694-42D1-B15E-543BDC5DAEFD}"/>
            </a:ext>
          </a:extLst>
        </xdr:cNvPr>
        <xdr:cNvSpPr/>
      </xdr:nvSpPr>
      <xdr:spPr>
        <a:xfrm>
          <a:off x="5007429" y="8681358"/>
          <a:ext cx="11996396" cy="65994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 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FINANCEIRO  </a:t>
          </a:r>
          <a:endParaRPr lang="en-US" sz="2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612323</xdr:colOff>
      <xdr:row>54</xdr:row>
      <xdr:rowOff>81644</xdr:rowOff>
    </xdr:from>
    <xdr:to>
      <xdr:col>3</xdr:col>
      <xdr:colOff>263369</xdr:colOff>
      <xdr:row>60</xdr:row>
      <xdr:rowOff>32047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12A18BE-E805-43ED-8090-5B273EE56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0" y="9633858"/>
          <a:ext cx="1011760" cy="1011760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55</xdr:row>
      <xdr:rowOff>54429</xdr:rowOff>
    </xdr:from>
    <xdr:to>
      <xdr:col>7</xdr:col>
      <xdr:colOff>272143</xdr:colOff>
      <xdr:row>57</xdr:row>
      <xdr:rowOff>54427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74DF860A-F9CA-4BED-86E7-6279D67A424E}"/>
            </a:ext>
          </a:extLst>
        </xdr:cNvPr>
        <xdr:cNvSpPr/>
      </xdr:nvSpPr>
      <xdr:spPr>
        <a:xfrm>
          <a:off x="2803071" y="9783536"/>
          <a:ext cx="2707822" cy="35378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3</xdr:col>
      <xdr:colOff>285750</xdr:colOff>
      <xdr:row>53</xdr:row>
      <xdr:rowOff>68036</xdr:rowOff>
    </xdr:from>
    <xdr:to>
      <xdr:col>7</xdr:col>
      <xdr:colOff>272143</xdr:colOff>
      <xdr:row>55</xdr:row>
      <xdr:rowOff>40820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A6A8E09-3DA1-4456-BD24-CD31CED57C04}"/>
            </a:ext>
          </a:extLst>
        </xdr:cNvPr>
        <xdr:cNvSpPr/>
      </xdr:nvSpPr>
      <xdr:spPr>
        <a:xfrm>
          <a:off x="2803071" y="9443357"/>
          <a:ext cx="2707822" cy="32657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rgbClr val="002060"/>
              </a:solidFill>
            </a:rPr>
            <a:t>CAIXA DISPONÍVEL</a:t>
          </a:r>
        </a:p>
      </xdr:txBody>
    </xdr:sp>
    <xdr:clientData/>
  </xdr:twoCellAnchor>
  <xdr:twoCellAnchor>
    <xdr:from>
      <xdr:col>3</xdr:col>
      <xdr:colOff>272144</xdr:colOff>
      <xdr:row>56</xdr:row>
      <xdr:rowOff>108858</xdr:rowOff>
    </xdr:from>
    <xdr:to>
      <xdr:col>5</xdr:col>
      <xdr:colOff>176893</xdr:colOff>
      <xdr:row>60</xdr:row>
      <xdr:rowOff>54429</xdr:rowOff>
    </xdr:to>
    <xdr:sp macro="" textlink="'ANALISES FIN.'!AA2">
      <xdr:nvSpPr>
        <xdr:cNvPr id="42" name="Retângulo: Cantos Arredondados 41">
          <a:extLst>
            <a:ext uri="{FF2B5EF4-FFF2-40B4-BE49-F238E27FC236}">
              <a16:creationId xmlns:a16="http://schemas.microsoft.com/office/drawing/2014/main" id="{C9D2CD92-196C-4B3F-9FC9-1C2DB5DA40A5}"/>
            </a:ext>
          </a:extLst>
        </xdr:cNvPr>
        <xdr:cNvSpPr/>
      </xdr:nvSpPr>
      <xdr:spPr>
        <a:xfrm>
          <a:off x="2789465" y="10014858"/>
          <a:ext cx="1265464" cy="65314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1478D122-D7EF-4DE6-9288-4A8607AA6E1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R$ 128.239,54</a:t>
          </a:fld>
          <a:endParaRPr lang="en-US" sz="16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272143</xdr:colOff>
      <xdr:row>56</xdr:row>
      <xdr:rowOff>163287</xdr:rowOff>
    </xdr:from>
    <xdr:to>
      <xdr:col>7</xdr:col>
      <xdr:colOff>190500</xdr:colOff>
      <xdr:row>60</xdr:row>
      <xdr:rowOff>40823</xdr:rowOff>
    </xdr:to>
    <xdr:sp macro="" textlink="'ANALISES FIN.'!AB2">
      <xdr:nvSpPr>
        <xdr:cNvPr id="44" name="Retângulo: Cantos Arredondados 43">
          <a:extLst>
            <a:ext uri="{FF2B5EF4-FFF2-40B4-BE49-F238E27FC236}">
              <a16:creationId xmlns:a16="http://schemas.microsoft.com/office/drawing/2014/main" id="{1F280A7B-D3B7-4A38-8A54-73FAF4F387AB}"/>
            </a:ext>
          </a:extLst>
        </xdr:cNvPr>
        <xdr:cNvSpPr/>
      </xdr:nvSpPr>
      <xdr:spPr>
        <a:xfrm>
          <a:off x="4150179" y="10069287"/>
          <a:ext cx="1279071" cy="58510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/>
          <a:fld id="{AF339917-BB6D-4BF1-9466-741D6F879AB6}" type="TxLink">
            <a:rPr lang="en-US" sz="1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R$ 99.628,87</a:t>
          </a:fld>
          <a:endParaRPr lang="en-US" sz="28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421821</xdr:colOff>
      <xdr:row>54</xdr:row>
      <xdr:rowOff>54429</xdr:rowOff>
    </xdr:from>
    <xdr:to>
      <xdr:col>9</xdr:col>
      <xdr:colOff>95250</xdr:colOff>
      <xdr:row>59</xdr:row>
      <xdr:rowOff>122464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8D000E62-4E3B-4DB4-9D81-C0684D5A9E71}"/>
            </a:ext>
          </a:extLst>
        </xdr:cNvPr>
        <xdr:cNvSpPr/>
      </xdr:nvSpPr>
      <xdr:spPr>
        <a:xfrm>
          <a:off x="5660571" y="9606643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435426</xdr:colOff>
      <xdr:row>54</xdr:row>
      <xdr:rowOff>68035</xdr:rowOff>
    </xdr:from>
    <xdr:to>
      <xdr:col>9</xdr:col>
      <xdr:colOff>190499</xdr:colOff>
      <xdr:row>60</xdr:row>
      <xdr:rowOff>50457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1DA3E89-7144-45C6-A152-6F40EC1E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4176" y="9620249"/>
          <a:ext cx="1115787" cy="1043779"/>
        </a:xfrm>
        <a:prstGeom prst="rect">
          <a:avLst/>
        </a:prstGeom>
      </xdr:spPr>
    </xdr:pic>
    <xdr:clientData/>
  </xdr:twoCellAnchor>
  <xdr:twoCellAnchor>
    <xdr:from>
      <xdr:col>9</xdr:col>
      <xdr:colOff>204106</xdr:colOff>
      <xdr:row>53</xdr:row>
      <xdr:rowOff>108858</xdr:rowOff>
    </xdr:from>
    <xdr:to>
      <xdr:col>13</xdr:col>
      <xdr:colOff>68035</xdr:colOff>
      <xdr:row>56</xdr:row>
      <xdr:rowOff>68036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1C911082-8D5E-4A91-B339-9431EC1204F3}"/>
            </a:ext>
          </a:extLst>
        </xdr:cNvPr>
        <xdr:cNvSpPr/>
      </xdr:nvSpPr>
      <xdr:spPr>
        <a:xfrm>
          <a:off x="6803570" y="9484179"/>
          <a:ext cx="2585358" cy="489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rgbClr val="002060"/>
              </a:solidFill>
            </a:rPr>
            <a:t>IMPOSTOS</a:t>
          </a:r>
          <a:r>
            <a:rPr lang="pt-BR" sz="1500" b="1" baseline="0">
              <a:solidFill>
                <a:srgbClr val="002060"/>
              </a:solidFill>
            </a:rPr>
            <a:t> DO MES</a:t>
          </a:r>
          <a:endParaRPr lang="pt-BR" sz="1500" b="1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95251</xdr:colOff>
      <xdr:row>55</xdr:row>
      <xdr:rowOff>149679</xdr:rowOff>
    </xdr:from>
    <xdr:to>
      <xdr:col>13</xdr:col>
      <xdr:colOff>81644</xdr:colOff>
      <xdr:row>57</xdr:row>
      <xdr:rowOff>149677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AF8F3AB7-89E6-4829-892D-8201682F4577}"/>
            </a:ext>
          </a:extLst>
        </xdr:cNvPr>
        <xdr:cNvSpPr/>
      </xdr:nvSpPr>
      <xdr:spPr>
        <a:xfrm>
          <a:off x="6694715" y="9878786"/>
          <a:ext cx="2707822" cy="35378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9</xdr:col>
      <xdr:colOff>272145</xdr:colOff>
      <xdr:row>57</xdr:row>
      <xdr:rowOff>163286</xdr:rowOff>
    </xdr:from>
    <xdr:to>
      <xdr:col>11</xdr:col>
      <xdr:colOff>149679</xdr:colOff>
      <xdr:row>60</xdr:row>
      <xdr:rowOff>81643</xdr:rowOff>
    </xdr:to>
    <xdr:sp macro="" textlink="'ANALISES FIN.'!AE2">
      <xdr:nvSpPr>
        <xdr:cNvPr id="49" name="Retângulo: Cantos Arredondados 48">
          <a:extLst>
            <a:ext uri="{FF2B5EF4-FFF2-40B4-BE49-F238E27FC236}">
              <a16:creationId xmlns:a16="http://schemas.microsoft.com/office/drawing/2014/main" id="{F26EB75D-288A-45C4-9C51-5D3A70C1AB06}"/>
            </a:ext>
          </a:extLst>
        </xdr:cNvPr>
        <xdr:cNvSpPr/>
      </xdr:nvSpPr>
      <xdr:spPr>
        <a:xfrm>
          <a:off x="6871609" y="10246179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D447B7E6-AAD2-431D-B1A2-4986FCCD3892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R$ 75.657,88</a:t>
          </a:fld>
          <a:endParaRPr lang="en-US" sz="20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11</xdr:col>
      <xdr:colOff>176895</xdr:colOff>
      <xdr:row>57</xdr:row>
      <xdr:rowOff>149678</xdr:rowOff>
    </xdr:from>
    <xdr:to>
      <xdr:col>13</xdr:col>
      <xdr:colOff>108859</xdr:colOff>
      <xdr:row>60</xdr:row>
      <xdr:rowOff>81643</xdr:rowOff>
    </xdr:to>
    <xdr:sp macro="" textlink="'ANALISES FIN.'!AF2">
      <xdr:nvSpPr>
        <xdr:cNvPr id="50" name="Retângulo: Cantos Arredondados 49">
          <a:extLst>
            <a:ext uri="{FF2B5EF4-FFF2-40B4-BE49-F238E27FC236}">
              <a16:creationId xmlns:a16="http://schemas.microsoft.com/office/drawing/2014/main" id="{70BD483E-47D9-4632-8779-487406434FF3}"/>
            </a:ext>
          </a:extLst>
        </xdr:cNvPr>
        <xdr:cNvSpPr/>
      </xdr:nvSpPr>
      <xdr:spPr>
        <a:xfrm>
          <a:off x="8137074" y="10232571"/>
          <a:ext cx="1292678" cy="46264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/>
          <a:fld id="{67393FE1-DC62-47D6-BD24-B57FD60AC868}" type="TxLink">
            <a:rPr lang="en-US" sz="1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R$ 22.416,49</a:t>
          </a:fld>
          <a:endParaRPr lang="en-US" sz="18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367393</xdr:colOff>
      <xdr:row>54</xdr:row>
      <xdr:rowOff>81643</xdr:rowOff>
    </xdr:from>
    <xdr:to>
      <xdr:col>15</xdr:col>
      <xdr:colOff>40822</xdr:colOff>
      <xdr:row>59</xdr:row>
      <xdr:rowOff>149678</xdr:rowOff>
    </xdr:to>
    <xdr:sp macro="" textlink="">
      <xdr:nvSpPr>
        <xdr:cNvPr id="53" name="Retângulo 52">
          <a:extLst>
            <a:ext uri="{FF2B5EF4-FFF2-40B4-BE49-F238E27FC236}">
              <a16:creationId xmlns:a16="http://schemas.microsoft.com/office/drawing/2014/main" id="{0374761C-EA9A-4E6F-AAA2-FAE01343BAB0}"/>
            </a:ext>
          </a:extLst>
        </xdr:cNvPr>
        <xdr:cNvSpPr/>
      </xdr:nvSpPr>
      <xdr:spPr>
        <a:xfrm>
          <a:off x="9688286" y="9633857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299358</xdr:colOff>
      <xdr:row>54</xdr:row>
      <xdr:rowOff>136071</xdr:rowOff>
    </xdr:from>
    <xdr:to>
      <xdr:col>14</xdr:col>
      <xdr:colOff>653144</xdr:colOff>
      <xdr:row>60</xdr:row>
      <xdr:rowOff>27214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6C387741-E4E1-4122-B49D-DBEB13C12BFA}"/>
            </a:ext>
          </a:extLst>
        </xdr:cNvPr>
        <xdr:cNvSpPr/>
      </xdr:nvSpPr>
      <xdr:spPr>
        <a:xfrm>
          <a:off x="9620251" y="9688285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244929</xdr:colOff>
      <xdr:row>54</xdr:row>
      <xdr:rowOff>108856</xdr:rowOff>
    </xdr:from>
    <xdr:to>
      <xdr:col>14</xdr:col>
      <xdr:colOff>564019</xdr:colOff>
      <xdr:row>60</xdr:row>
      <xdr:rowOff>46946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7A06FBB-EFA0-49B7-BFDD-4792ECF85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5822" y="9661070"/>
          <a:ext cx="999447" cy="999447"/>
        </a:xfrm>
        <a:prstGeom prst="rect">
          <a:avLst/>
        </a:prstGeom>
      </xdr:spPr>
    </xdr:pic>
    <xdr:clientData/>
  </xdr:twoCellAnchor>
  <xdr:twoCellAnchor>
    <xdr:from>
      <xdr:col>14</xdr:col>
      <xdr:colOff>530679</xdr:colOff>
      <xdr:row>55</xdr:row>
      <xdr:rowOff>40822</xdr:rowOff>
    </xdr:from>
    <xdr:to>
      <xdr:col>18</xdr:col>
      <xdr:colOff>449035</xdr:colOff>
      <xdr:row>57</xdr:row>
      <xdr:rowOff>68036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99D9E8D0-7CF6-4EE5-AD5A-B948690800B1}"/>
            </a:ext>
          </a:extLst>
        </xdr:cNvPr>
        <xdr:cNvSpPr/>
      </xdr:nvSpPr>
      <xdr:spPr>
        <a:xfrm>
          <a:off x="10531929" y="9769929"/>
          <a:ext cx="2639785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14</xdr:col>
      <xdr:colOff>557895</xdr:colOff>
      <xdr:row>57</xdr:row>
      <xdr:rowOff>122464</xdr:rowOff>
    </xdr:from>
    <xdr:to>
      <xdr:col>16</xdr:col>
      <xdr:colOff>435430</xdr:colOff>
      <xdr:row>60</xdr:row>
      <xdr:rowOff>40821</xdr:rowOff>
    </xdr:to>
    <xdr:sp macro="" textlink="'ANALISES FIN.'!AI2">
      <xdr:nvSpPr>
        <xdr:cNvPr id="54" name="Retângulo: Cantos Arredondados 53">
          <a:extLst>
            <a:ext uri="{FF2B5EF4-FFF2-40B4-BE49-F238E27FC236}">
              <a16:creationId xmlns:a16="http://schemas.microsoft.com/office/drawing/2014/main" id="{D1417C70-D3A8-424F-8D46-0598B44BC2F0}"/>
            </a:ext>
          </a:extLst>
        </xdr:cNvPr>
        <xdr:cNvSpPr/>
      </xdr:nvSpPr>
      <xdr:spPr>
        <a:xfrm>
          <a:off x="10559145" y="10205357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B9EB24FC-6018-491F-8AEE-673335E4B83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R$ 530.375,25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16</xdr:col>
      <xdr:colOff>503467</xdr:colOff>
      <xdr:row>57</xdr:row>
      <xdr:rowOff>108858</xdr:rowOff>
    </xdr:from>
    <xdr:to>
      <xdr:col>18</xdr:col>
      <xdr:colOff>381001</xdr:colOff>
      <xdr:row>60</xdr:row>
      <xdr:rowOff>27215</xdr:rowOff>
    </xdr:to>
    <xdr:sp macro="" textlink="'ANALISES FIN.'!AJ2">
      <xdr:nvSpPr>
        <xdr:cNvPr id="55" name="Retângulo: Cantos Arredondados 54">
          <a:extLst>
            <a:ext uri="{FF2B5EF4-FFF2-40B4-BE49-F238E27FC236}">
              <a16:creationId xmlns:a16="http://schemas.microsoft.com/office/drawing/2014/main" id="{97554BBD-C246-4BE5-87AB-AE154B063ECE}"/>
            </a:ext>
          </a:extLst>
        </xdr:cNvPr>
        <xdr:cNvSpPr/>
      </xdr:nvSpPr>
      <xdr:spPr>
        <a:xfrm>
          <a:off x="11865431" y="10191751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65104C8-1026-4B36-99A7-E8E5E5CC01D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R$ 288.855,31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40820</xdr:colOff>
      <xdr:row>54</xdr:row>
      <xdr:rowOff>13608</xdr:rowOff>
    </xdr:from>
    <xdr:to>
      <xdr:col>18</xdr:col>
      <xdr:colOff>108856</xdr:colOff>
      <xdr:row>55</xdr:row>
      <xdr:rowOff>108857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94F06C16-A890-44A9-BD26-0F0B6E22A952}"/>
            </a:ext>
          </a:extLst>
        </xdr:cNvPr>
        <xdr:cNvSpPr/>
      </xdr:nvSpPr>
      <xdr:spPr>
        <a:xfrm>
          <a:off x="10722427" y="9565822"/>
          <a:ext cx="2109108" cy="27214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002060"/>
              </a:solidFill>
            </a:rPr>
            <a:t>MARGEM DE CONTRIBUICAO</a:t>
          </a:r>
        </a:p>
      </xdr:txBody>
    </xdr:sp>
    <xdr:clientData/>
  </xdr:twoCellAnchor>
  <xdr:twoCellAnchor>
    <xdr:from>
      <xdr:col>19</xdr:col>
      <xdr:colOff>136072</xdr:colOff>
      <xdr:row>54</xdr:row>
      <xdr:rowOff>136072</xdr:rowOff>
    </xdr:from>
    <xdr:to>
      <xdr:col>20</xdr:col>
      <xdr:colOff>489858</xdr:colOff>
      <xdr:row>60</xdr:row>
      <xdr:rowOff>27215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71F236E5-6F45-414F-8464-0AF06491AE2B}"/>
            </a:ext>
          </a:extLst>
        </xdr:cNvPr>
        <xdr:cNvSpPr/>
      </xdr:nvSpPr>
      <xdr:spPr>
        <a:xfrm>
          <a:off x="13539108" y="9688286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394606</xdr:colOff>
      <xdr:row>55</xdr:row>
      <xdr:rowOff>13608</xdr:rowOff>
    </xdr:from>
    <xdr:to>
      <xdr:col>23</xdr:col>
      <xdr:colOff>653142</xdr:colOff>
      <xdr:row>57</xdr:row>
      <xdr:rowOff>0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6F04602C-A6C7-41F2-AE7F-83D46B1CC87A}"/>
            </a:ext>
          </a:extLst>
        </xdr:cNvPr>
        <xdr:cNvSpPr/>
      </xdr:nvSpPr>
      <xdr:spPr>
        <a:xfrm>
          <a:off x="14477999" y="9742715"/>
          <a:ext cx="2299607" cy="34017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002060"/>
              </a:solidFill>
            </a:rPr>
            <a:t>RESULTADO</a:t>
          </a:r>
          <a:r>
            <a:rPr lang="pt-BR" sz="1200" b="1" baseline="0">
              <a:solidFill>
                <a:srgbClr val="002060"/>
              </a:solidFill>
            </a:rPr>
            <a:t> DO MES - DRE</a:t>
          </a:r>
          <a:endParaRPr lang="pt-BR" sz="12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19</xdr:col>
      <xdr:colOff>68036</xdr:colOff>
      <xdr:row>55</xdr:row>
      <xdr:rowOff>13606</xdr:rowOff>
    </xdr:from>
    <xdr:to>
      <xdr:col>20</xdr:col>
      <xdr:colOff>263370</xdr:colOff>
      <xdr:row>60</xdr:row>
      <xdr:rowOff>4833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137981DA-644E-43A9-9F55-97333DEC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1072" y="9742713"/>
          <a:ext cx="875691" cy="875691"/>
        </a:xfrm>
        <a:prstGeom prst="rect">
          <a:avLst/>
        </a:prstGeom>
      </xdr:spPr>
    </xdr:pic>
    <xdr:clientData/>
  </xdr:twoCellAnchor>
  <xdr:twoCellAnchor>
    <xdr:from>
      <xdr:col>20</xdr:col>
      <xdr:colOff>244930</xdr:colOff>
      <xdr:row>56</xdr:row>
      <xdr:rowOff>68035</xdr:rowOff>
    </xdr:from>
    <xdr:to>
      <xdr:col>24</xdr:col>
      <xdr:colOff>163287</xdr:colOff>
      <xdr:row>58</xdr:row>
      <xdr:rowOff>95249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CF1BAB5C-5F69-4701-8B57-24497E3224E3}"/>
            </a:ext>
          </a:extLst>
        </xdr:cNvPr>
        <xdr:cNvSpPr/>
      </xdr:nvSpPr>
      <xdr:spPr>
        <a:xfrm>
          <a:off x="14328323" y="9974035"/>
          <a:ext cx="2639785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20</xdr:col>
      <xdr:colOff>299359</xdr:colOff>
      <xdr:row>58</xdr:row>
      <xdr:rowOff>13607</xdr:rowOff>
    </xdr:from>
    <xdr:to>
      <xdr:col>22</xdr:col>
      <xdr:colOff>68036</xdr:colOff>
      <xdr:row>60</xdr:row>
      <xdr:rowOff>54429</xdr:rowOff>
    </xdr:to>
    <xdr:sp macro="" textlink="'ANALISES FIN.'!AM2">
      <xdr:nvSpPr>
        <xdr:cNvPr id="64" name="Retângulo: Cantos Arredondados 63">
          <a:extLst>
            <a:ext uri="{FF2B5EF4-FFF2-40B4-BE49-F238E27FC236}">
              <a16:creationId xmlns:a16="http://schemas.microsoft.com/office/drawing/2014/main" id="{7E359AD1-4557-4D34-B9A3-E66A7AA32122}"/>
            </a:ext>
          </a:extLst>
        </xdr:cNvPr>
        <xdr:cNvSpPr/>
      </xdr:nvSpPr>
      <xdr:spPr>
        <a:xfrm>
          <a:off x="14382752" y="10273393"/>
          <a:ext cx="1129391" cy="39460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7960994-A23B-4089-881A-DF5FC6C2431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R$ 76.509,75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22</xdr:col>
      <xdr:colOff>190503</xdr:colOff>
      <xdr:row>57</xdr:row>
      <xdr:rowOff>163286</xdr:rowOff>
    </xdr:from>
    <xdr:to>
      <xdr:col>24</xdr:col>
      <xdr:colOff>68038</xdr:colOff>
      <xdr:row>60</xdr:row>
      <xdr:rowOff>81643</xdr:rowOff>
    </xdr:to>
    <xdr:sp macro="" textlink="'ANALISES FIN.'!AN2">
      <xdr:nvSpPr>
        <xdr:cNvPr id="65" name="Retângulo: Cantos Arredondados 64">
          <a:extLst>
            <a:ext uri="{FF2B5EF4-FFF2-40B4-BE49-F238E27FC236}">
              <a16:creationId xmlns:a16="http://schemas.microsoft.com/office/drawing/2014/main" id="{93CBB179-7BF5-42C7-B46C-4CD6DF9D5D6F}"/>
            </a:ext>
          </a:extLst>
        </xdr:cNvPr>
        <xdr:cNvSpPr/>
      </xdr:nvSpPr>
      <xdr:spPr>
        <a:xfrm>
          <a:off x="15634610" y="10246179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4CAB1B29-8C75-4369-B11C-9757D006C74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R$ 56.091,59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 editAs="oneCell">
    <xdr:from>
      <xdr:col>1</xdr:col>
      <xdr:colOff>625929</xdr:colOff>
      <xdr:row>61</xdr:row>
      <xdr:rowOff>68036</xdr:rowOff>
    </xdr:from>
    <xdr:to>
      <xdr:col>5</xdr:col>
      <xdr:colOff>54428</xdr:colOff>
      <xdr:row>78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6" name="MÊS 6">
              <a:extLst>
                <a:ext uri="{FF2B5EF4-FFF2-40B4-BE49-F238E27FC236}">
                  <a16:creationId xmlns:a16="http://schemas.microsoft.com/office/drawing/2014/main" id="{BAC4D564-38E2-44E8-A17F-9A903DABE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2536" y="10858500"/>
              <a:ext cx="2149928" cy="30207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612322</xdr:colOff>
      <xdr:row>80</xdr:row>
      <xdr:rowOff>19728</xdr:rowOff>
    </xdr:from>
    <xdr:to>
      <xdr:col>3</xdr:col>
      <xdr:colOff>1</xdr:colOff>
      <xdr:row>84</xdr:row>
      <xdr:rowOff>60550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18286F01-94B9-4B86-A14E-845CDDB6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9" y="14171157"/>
          <a:ext cx="748393" cy="748393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80</xdr:row>
      <xdr:rowOff>13605</xdr:rowOff>
    </xdr:from>
    <xdr:to>
      <xdr:col>5</xdr:col>
      <xdr:colOff>176892</xdr:colOff>
      <xdr:row>84</xdr:row>
      <xdr:rowOff>54429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5391D5B3-8E77-4791-ADF2-07A016B954B6}"/>
            </a:ext>
          </a:extLst>
        </xdr:cNvPr>
        <xdr:cNvSpPr/>
      </xdr:nvSpPr>
      <xdr:spPr>
        <a:xfrm>
          <a:off x="2503714" y="14165034"/>
          <a:ext cx="1551214" cy="74839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002060"/>
              </a:solidFill>
            </a:rPr>
            <a:t>INDADIMPLENCIAS</a:t>
          </a:r>
          <a:r>
            <a:rPr lang="pt-BR" sz="1200" b="1" baseline="0">
              <a:solidFill>
                <a:srgbClr val="002060"/>
              </a:solidFill>
            </a:rPr>
            <a:t> E ATRASOS</a:t>
          </a:r>
          <a:endParaRPr lang="pt-BR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666749</xdr:colOff>
      <xdr:row>85</xdr:row>
      <xdr:rowOff>149678</xdr:rowOff>
    </xdr:from>
    <xdr:to>
      <xdr:col>5</xdr:col>
      <xdr:colOff>95249</xdr:colOff>
      <xdr:row>87</xdr:row>
      <xdr:rowOff>122464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7364CFB-5B8F-4706-BBEA-10139835F02A}"/>
            </a:ext>
          </a:extLst>
        </xdr:cNvPr>
        <xdr:cNvSpPr/>
      </xdr:nvSpPr>
      <xdr:spPr>
        <a:xfrm>
          <a:off x="1823356" y="15185571"/>
          <a:ext cx="2149929" cy="32657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1</xdr:col>
      <xdr:colOff>598715</xdr:colOff>
      <xdr:row>88</xdr:row>
      <xdr:rowOff>136071</xdr:rowOff>
    </xdr:from>
    <xdr:to>
      <xdr:col>3</xdr:col>
      <xdr:colOff>421823</xdr:colOff>
      <xdr:row>96</xdr:row>
      <xdr:rowOff>163286</xdr:rowOff>
    </xdr:to>
    <xdr:sp macro="" textlink="'ANALISES FIN.'!AQ2">
      <xdr:nvSpPr>
        <xdr:cNvPr id="69" name="Retângulo: Cantos Arredondados 68">
          <a:extLst>
            <a:ext uri="{FF2B5EF4-FFF2-40B4-BE49-F238E27FC236}">
              <a16:creationId xmlns:a16="http://schemas.microsoft.com/office/drawing/2014/main" id="{D7BBB615-93BF-43AF-896B-426957E81143}"/>
            </a:ext>
          </a:extLst>
        </xdr:cNvPr>
        <xdr:cNvSpPr/>
      </xdr:nvSpPr>
      <xdr:spPr>
        <a:xfrm>
          <a:off x="1755322" y="15702642"/>
          <a:ext cx="1183822" cy="144235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A098102E-D483-49A9-B9F6-21241BBE764E}" type="TxLink">
            <a:rPr lang="en-US" sz="1400" b="1" i="0" u="none" strike="noStrike">
              <a:solidFill>
                <a:sysClr val="windowText" lastClr="000000"/>
              </a:solidFill>
              <a:latin typeface="Aptos Narrow"/>
            </a:rPr>
            <a:pPr algn="ctr"/>
            <a:t>R$ 331.808,29</a:t>
          </a:fld>
          <a:endParaRPr lang="en-US" sz="20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3</xdr:col>
      <xdr:colOff>435430</xdr:colOff>
      <xdr:row>88</xdr:row>
      <xdr:rowOff>136071</xdr:rowOff>
    </xdr:from>
    <xdr:to>
      <xdr:col>5</xdr:col>
      <xdr:colOff>122465</xdr:colOff>
      <xdr:row>96</xdr:row>
      <xdr:rowOff>163286</xdr:rowOff>
    </xdr:to>
    <xdr:sp macro="" textlink="'ANALISES FIN.'!AR2">
      <xdr:nvSpPr>
        <xdr:cNvPr id="70" name="Retângulo: Cantos Arredondados 69">
          <a:extLst>
            <a:ext uri="{FF2B5EF4-FFF2-40B4-BE49-F238E27FC236}">
              <a16:creationId xmlns:a16="http://schemas.microsoft.com/office/drawing/2014/main" id="{02C6A2F0-9889-462A-A267-00D56F1335C3}"/>
            </a:ext>
          </a:extLst>
        </xdr:cNvPr>
        <xdr:cNvSpPr/>
      </xdr:nvSpPr>
      <xdr:spPr>
        <a:xfrm>
          <a:off x="2952751" y="15702642"/>
          <a:ext cx="1047750" cy="144235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6602C05A-6EE3-4790-A261-C0CE54142CBF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R$ 455.960,81</a:t>
          </a:fld>
          <a:endParaRPr lang="en-US" sz="18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340177</xdr:colOff>
      <xdr:row>62</xdr:row>
      <xdr:rowOff>81641</xdr:rowOff>
    </xdr:from>
    <xdr:to>
      <xdr:col>13</xdr:col>
      <xdr:colOff>530677</xdr:colOff>
      <xdr:row>78</xdr:row>
      <xdr:rowOff>81642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807B4A9E-F0A9-46EB-AE10-41DAAC7CB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176893</xdr:colOff>
      <xdr:row>61</xdr:row>
      <xdr:rowOff>163284</xdr:rowOff>
    </xdr:from>
    <xdr:to>
      <xdr:col>24</xdr:col>
      <xdr:colOff>285750</xdr:colOff>
      <xdr:row>78</xdr:row>
      <xdr:rowOff>136070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CBF8B015-00E3-418B-BB99-D9B46836B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81643</xdr:colOff>
      <xdr:row>62</xdr:row>
      <xdr:rowOff>54428</xdr:rowOff>
    </xdr:from>
    <xdr:to>
      <xdr:col>13</xdr:col>
      <xdr:colOff>557893</xdr:colOff>
      <xdr:row>64</xdr:row>
      <xdr:rowOff>54430</xdr:rowOff>
    </xdr:to>
    <xdr:sp macro="" textlink="'ANALISES FIN.'!AH2">
      <xdr:nvSpPr>
        <xdr:cNvPr id="71" name="Retângulo: Cantos Arredondados 70">
          <a:extLst>
            <a:ext uri="{FF2B5EF4-FFF2-40B4-BE49-F238E27FC236}">
              <a16:creationId xmlns:a16="http://schemas.microsoft.com/office/drawing/2014/main" id="{ACAE9780-DCB0-4D2F-9B51-37F550CB184F}"/>
            </a:ext>
          </a:extLst>
        </xdr:cNvPr>
        <xdr:cNvSpPr/>
      </xdr:nvSpPr>
      <xdr:spPr>
        <a:xfrm>
          <a:off x="8722179" y="11021785"/>
          <a:ext cx="1156607" cy="35378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1E0CC70F-14CD-47C0-ADEB-BDD685AB2A68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54,46%</a:t>
          </a:fld>
          <a:endParaRPr lang="en-US" sz="32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381000</xdr:colOff>
      <xdr:row>80</xdr:row>
      <xdr:rowOff>54426</xdr:rowOff>
    </xdr:from>
    <xdr:to>
      <xdr:col>13</xdr:col>
      <xdr:colOff>585107</xdr:colOff>
      <xdr:row>97</xdr:row>
      <xdr:rowOff>136072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7279460F-1DE2-48CB-8FB1-84B56B573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122464</xdr:colOff>
      <xdr:row>79</xdr:row>
      <xdr:rowOff>176891</xdr:rowOff>
    </xdr:from>
    <xdr:to>
      <xdr:col>13</xdr:col>
      <xdr:colOff>598714</xdr:colOff>
      <xdr:row>82</xdr:row>
      <xdr:rowOff>1</xdr:rowOff>
    </xdr:to>
    <xdr:sp macro="" textlink="'ANALISES FIN.'!AP2">
      <xdr:nvSpPr>
        <xdr:cNvPr id="73" name="Retângulo: Cantos Arredondados 72">
          <a:extLst>
            <a:ext uri="{FF2B5EF4-FFF2-40B4-BE49-F238E27FC236}">
              <a16:creationId xmlns:a16="http://schemas.microsoft.com/office/drawing/2014/main" id="{F7E6EA1C-DFBC-4E7C-8F95-F165D4B2B7E6}"/>
            </a:ext>
          </a:extLst>
        </xdr:cNvPr>
        <xdr:cNvSpPr/>
      </xdr:nvSpPr>
      <xdr:spPr>
        <a:xfrm>
          <a:off x="8763000" y="14151427"/>
          <a:ext cx="1156607" cy="35378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95AB3DCD-5959-465D-838E-DA2EA9318C51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-37,42%</a:t>
          </a:fld>
          <a:endParaRPr lang="en-US" sz="32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108857</xdr:colOff>
      <xdr:row>80</xdr:row>
      <xdr:rowOff>54427</xdr:rowOff>
    </xdr:from>
    <xdr:to>
      <xdr:col>24</xdr:col>
      <xdr:colOff>285750</xdr:colOff>
      <xdr:row>99</xdr:row>
      <xdr:rowOff>81643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7569F08E-5A5F-4FC0-B99F-B9FCBD355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0.83071</cdr:x>
      <cdr:y>3.35574E-7</cdr:y>
    </cdr:from>
    <cdr:to>
      <cdr:x>0.99803</cdr:x>
      <cdr:y>0.11872</cdr:y>
    </cdr:to>
    <cdr:sp macro="" textlink="'ANALISES FIN.'!$AL$2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70BD483E-47D9-4632-8779-487406434FF3}"/>
            </a:ext>
          </a:extLst>
        </cdr:cNvPr>
        <cdr:cNvSpPr/>
      </cdr:nvSpPr>
      <cdr:spPr>
        <a:xfrm xmlns:a="http://schemas.openxmlformats.org/drawingml/2006/main">
          <a:off x="5742213" y="1"/>
          <a:ext cx="1156607" cy="353788"/>
        </a:xfrm>
        <a:prstGeom xmlns:a="http://schemas.openxmlformats.org/drawingml/2006/main" prst="roundRect">
          <a:avLst>
            <a:gd name="adj" fmla="val 17481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5400000" algn="t" rotWithShape="0">
            <a:srgbClr val="3661EB">
              <a:alpha val="40000"/>
            </a:srgbClr>
          </a:outerShdw>
        </a:effec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4CAF382D-AA92-4923-92B1-BBDB49D5490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73,31%</a:t>
          </a:fld>
          <a:endParaRPr lang="en-US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0.83431</cdr:x>
      <cdr:y>0</cdr:y>
    </cdr:from>
    <cdr:to>
      <cdr:x>1</cdr:x>
      <cdr:y>0.10442</cdr:y>
    </cdr:to>
    <cdr:sp macro="" textlink="'ANALISES FIN.'!$Z$2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F7E6EA1C-DFBC-4E7C-8F95-F165D4B2B7E6}"/>
            </a:ext>
          </a:extLst>
        </cdr:cNvPr>
        <cdr:cNvSpPr/>
      </cdr:nvSpPr>
      <cdr:spPr>
        <a:xfrm xmlns:a="http://schemas.openxmlformats.org/drawingml/2006/main">
          <a:off x="5823857" y="0"/>
          <a:ext cx="1156607" cy="353788"/>
        </a:xfrm>
        <a:prstGeom xmlns:a="http://schemas.openxmlformats.org/drawingml/2006/main" prst="roundRect">
          <a:avLst>
            <a:gd name="adj" fmla="val 17481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5400000" algn="t" rotWithShape="0">
            <a:srgbClr val="3661EB">
              <a:alpha val="40000"/>
            </a:srgbClr>
          </a:outerShdw>
        </a:effec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CD8BE5E-01D8-421F-820B-6E692029905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77,69%</a:t>
          </a:fld>
          <a:endParaRPr lang="en-US" sz="4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85725</xdr:colOff>
      <xdr:row>0</xdr:row>
      <xdr:rowOff>1</xdr:rowOff>
    </xdr:from>
    <xdr:to>
      <xdr:col>8</xdr:col>
      <xdr:colOff>542925</xdr:colOff>
      <xdr:row>93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PT">
              <a:extLst>
                <a:ext uri="{FF2B5EF4-FFF2-40B4-BE49-F238E27FC236}">
                  <a16:creationId xmlns:a16="http://schemas.microsoft.com/office/drawing/2014/main" id="{02790736-ED0C-484A-8A86-50D716FBE6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5600" y="1"/>
              <a:ext cx="18288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123825</xdr:colOff>
      <xdr:row>91</xdr:row>
      <xdr:rowOff>95251</xdr:rowOff>
    </xdr:from>
    <xdr:to>
      <xdr:col>8</xdr:col>
      <xdr:colOff>581025</xdr:colOff>
      <xdr:row>96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RÁFICO">
              <a:extLst>
                <a:ext uri="{FF2B5EF4-FFF2-40B4-BE49-F238E27FC236}">
                  <a16:creationId xmlns:a16="http://schemas.microsoft.com/office/drawing/2014/main" id="{32F20D57-886E-493A-B809-E4D26B280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ÁF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3700" y="1724026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474454</xdr:colOff>
      <xdr:row>7</xdr:row>
      <xdr:rowOff>97946</xdr:rowOff>
    </xdr:from>
    <xdr:to>
      <xdr:col>10</xdr:col>
      <xdr:colOff>281976</xdr:colOff>
      <xdr:row>20</xdr:row>
      <xdr:rowOff>164801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627931A4-940D-4E91-92EA-F366C8B546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4612" y="1366029"/>
              <a:ext cx="1670828" cy="24218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452436</xdr:colOff>
      <xdr:row>1</xdr:row>
      <xdr:rowOff>170257</xdr:rowOff>
    </xdr:from>
    <xdr:to>
      <xdr:col>17</xdr:col>
      <xdr:colOff>226217</xdr:colOff>
      <xdr:row>38</xdr:row>
      <xdr:rowOff>21167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7B7959-3832-45FC-A687-136F8083C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40</xdr:row>
      <xdr:rowOff>137584</xdr:rowOff>
    </xdr:from>
    <xdr:to>
      <xdr:col>18</xdr:col>
      <xdr:colOff>329405</xdr:colOff>
      <xdr:row>68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579BD0-B7E3-4862-B8F3-6718F36EE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264585</xdr:colOff>
      <xdr:row>88</xdr:row>
      <xdr:rowOff>78316</xdr:rowOff>
    </xdr:from>
    <xdr:to>
      <xdr:col>9</xdr:col>
      <xdr:colOff>190503</xdr:colOff>
      <xdr:row>113</xdr:row>
      <xdr:rowOff>179917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745BB2-250D-4A94-B438-256CDA3F1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490538</xdr:colOff>
      <xdr:row>44</xdr:row>
      <xdr:rowOff>78581</xdr:rowOff>
    </xdr:from>
    <xdr:to>
      <xdr:col>4</xdr:col>
      <xdr:colOff>1344351</xdr:colOff>
      <xdr:row>58</xdr:row>
      <xdr:rowOff>126206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ATA">
              <a:extLst>
                <a:ext uri="{FF2B5EF4-FFF2-40B4-BE49-F238E27FC236}">
                  <a16:creationId xmlns:a16="http://schemas.microsoft.com/office/drawing/2014/main" id="{70FE85D8-2A46-4082-8CD3-37C091432F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3431" y="7902688"/>
              <a:ext cx="183352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221457</xdr:colOff>
      <xdr:row>89</xdr:row>
      <xdr:rowOff>7144</xdr:rowOff>
    </xdr:from>
    <xdr:to>
      <xdr:col>2</xdr:col>
      <xdr:colOff>2050257</xdr:colOff>
      <xdr:row>103</xdr:row>
      <xdr:rowOff>54769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1">
              <a:extLst>
                <a:ext uri="{FF2B5EF4-FFF2-40B4-BE49-F238E27FC236}">
                  <a16:creationId xmlns:a16="http://schemas.microsoft.com/office/drawing/2014/main" id="{3E0EBD5C-8B24-44F3-A4A7-97A2AC9DB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5707" y="1579143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59532</xdr:colOff>
      <xdr:row>115</xdr:row>
      <xdr:rowOff>146447</xdr:rowOff>
    </xdr:from>
    <xdr:to>
      <xdr:col>9</xdr:col>
      <xdr:colOff>285750</xdr:colOff>
      <xdr:row>145</xdr:row>
      <xdr:rowOff>130969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86D1CF-BDF7-449E-BD34-BB65D9E81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90487</xdr:colOff>
      <xdr:row>121</xdr:row>
      <xdr:rowOff>173831</xdr:rowOff>
    </xdr:from>
    <xdr:to>
      <xdr:col>2</xdr:col>
      <xdr:colOff>1919287</xdr:colOff>
      <xdr:row>136</xdr:row>
      <xdr:rowOff>44563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A 2">
              <a:extLst>
                <a:ext uri="{FF2B5EF4-FFF2-40B4-BE49-F238E27FC236}">
                  <a16:creationId xmlns:a16="http://schemas.microsoft.com/office/drawing/2014/main" id="{68AD3A9C-14C7-45A2-8185-46F872900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4737" y="2161868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226218</xdr:colOff>
      <xdr:row>38</xdr:row>
      <xdr:rowOff>23813</xdr:rowOff>
    </xdr:from>
    <xdr:to>
      <xdr:col>4</xdr:col>
      <xdr:colOff>416717</xdr:colOff>
      <xdr:row>43</xdr:row>
      <xdr:rowOff>130969</xdr:rowOff>
    </xdr:to>
    <xdr:sp macro="[0]!EstaPastaDeTrabalho.Atualizar_Todas_Tabelas_Dinamicas" textlink="">
      <xdr:nvSpPr>
        <xdr:cNvPr id="9" name="Retângulo 8">
          <a:extLst>
            <a:ext uri="{FF2B5EF4-FFF2-40B4-BE49-F238E27FC236}">
              <a16:creationId xmlns:a16="http://schemas.microsoft.com/office/drawing/2014/main" id="{4907002B-0D53-4728-B316-D07BD4B03AC5}"/>
            </a:ext>
          </a:extLst>
        </xdr:cNvPr>
        <xdr:cNvSpPr/>
      </xdr:nvSpPr>
      <xdr:spPr>
        <a:xfrm>
          <a:off x="4160043" y="7272338"/>
          <a:ext cx="3914774" cy="10596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/>
            <a:t>ATUALIZAR </a:t>
          </a:r>
          <a:endParaRPr lang="pt-BR" sz="2000" b="1"/>
        </a:p>
      </xdr:txBody>
    </xdr:sp>
    <xdr:clientData/>
  </xdr:twoCellAnchor>
  <xdr:twoCellAnchor editAs="oneCell">
    <xdr:from>
      <xdr:col>2</xdr:col>
      <xdr:colOff>1007269</xdr:colOff>
      <xdr:row>156</xdr:row>
      <xdr:rowOff>0</xdr:rowOff>
    </xdr:from>
    <xdr:to>
      <xdr:col>2</xdr:col>
      <xdr:colOff>2461680</xdr:colOff>
      <xdr:row>170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ATA 4">
              <a:extLst>
                <a:ext uri="{FF2B5EF4-FFF2-40B4-BE49-F238E27FC236}">
                  <a16:creationId xmlns:a16="http://schemas.microsoft.com/office/drawing/2014/main" id="{8DC265D8-65C8-4205-8A96-CD46E56A8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1519" y="27676929"/>
              <a:ext cx="1808197" cy="2530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625929</xdr:colOff>
      <xdr:row>141</xdr:row>
      <xdr:rowOff>118384</xdr:rowOff>
    </xdr:from>
    <xdr:to>
      <xdr:col>2</xdr:col>
      <xdr:colOff>2397579</xdr:colOff>
      <xdr:row>147</xdr:row>
      <xdr:rowOff>68036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ÊS 2">
              <a:extLst>
                <a:ext uri="{FF2B5EF4-FFF2-40B4-BE49-F238E27FC236}">
                  <a16:creationId xmlns:a16="http://schemas.microsoft.com/office/drawing/2014/main" id="{64B1F5C3-5985-4FCE-9D20-0E0450DCF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0179" y="25101098"/>
              <a:ext cx="1828800" cy="1011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685799</xdr:colOff>
      <xdr:row>27</xdr:row>
      <xdr:rowOff>119063</xdr:rowOff>
    </xdr:from>
    <xdr:to>
      <xdr:col>3</xdr:col>
      <xdr:colOff>1272682</xdr:colOff>
      <xdr:row>41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LABORADOR">
              <a:extLst>
                <a:ext uri="{FF2B5EF4-FFF2-40B4-BE49-F238E27FC236}">
                  <a16:creationId xmlns:a16="http://schemas.microsoft.com/office/drawing/2014/main" id="{A311893B-306D-4E1F-BDC3-FD376D14FA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1987" y="4941094"/>
              <a:ext cx="2789539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452436</xdr:colOff>
      <xdr:row>27</xdr:row>
      <xdr:rowOff>170257</xdr:rowOff>
    </xdr:from>
    <xdr:to>
      <xdr:col>20</xdr:col>
      <xdr:colOff>226217</xdr:colOff>
      <xdr:row>58</xdr:row>
      <xdr:rowOff>21167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246ADC-0C5F-44CF-B3E7-AC062154E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60</xdr:row>
      <xdr:rowOff>137584</xdr:rowOff>
    </xdr:from>
    <xdr:to>
      <xdr:col>21</xdr:col>
      <xdr:colOff>329405</xdr:colOff>
      <xdr:row>88</xdr:row>
      <xdr:rowOff>42334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741AEA-DA22-4D74-9E46-3AC6CFFF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264585</xdr:colOff>
      <xdr:row>108</xdr:row>
      <xdr:rowOff>78316</xdr:rowOff>
    </xdr:from>
    <xdr:to>
      <xdr:col>12</xdr:col>
      <xdr:colOff>190503</xdr:colOff>
      <xdr:row>133</xdr:row>
      <xdr:rowOff>179917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ADA748-9F24-42F0-A57D-618D56F47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812006</xdr:colOff>
      <xdr:row>64</xdr:row>
      <xdr:rowOff>150019</xdr:rowOff>
    </xdr:from>
    <xdr:to>
      <xdr:col>4</xdr:col>
      <xdr:colOff>842962</xdr:colOff>
      <xdr:row>78</xdr:row>
      <xdr:rowOff>173832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3">
              <a:extLst>
                <a:ext uri="{FF2B5EF4-FFF2-40B4-BE49-F238E27FC236}">
                  <a16:creationId xmlns:a16="http://schemas.microsoft.com/office/drawing/2014/main" id="{E7E75496-9761-45DE-A49B-8FE324DFD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0850" y="1160383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221457</xdr:colOff>
      <xdr:row>109</xdr:row>
      <xdr:rowOff>7144</xdr:rowOff>
    </xdr:from>
    <xdr:to>
      <xdr:col>2</xdr:col>
      <xdr:colOff>2050257</xdr:colOff>
      <xdr:row>123</xdr:row>
      <xdr:rowOff>30956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TA 5">
              <a:extLst>
                <a:ext uri="{FF2B5EF4-FFF2-40B4-BE49-F238E27FC236}">
                  <a16:creationId xmlns:a16="http://schemas.microsoft.com/office/drawing/2014/main" id="{B3E73C9B-1865-4DD2-8E50-B8AD16D99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7645" y="1949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59532</xdr:colOff>
      <xdr:row>135</xdr:row>
      <xdr:rowOff>146447</xdr:rowOff>
    </xdr:from>
    <xdr:to>
      <xdr:col>12</xdr:col>
      <xdr:colOff>285750</xdr:colOff>
      <xdr:row>165</xdr:row>
      <xdr:rowOff>130969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A7E7A9-369F-46F8-AEAB-746E65C58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90487</xdr:colOff>
      <xdr:row>141</xdr:row>
      <xdr:rowOff>173831</xdr:rowOff>
    </xdr:from>
    <xdr:to>
      <xdr:col>2</xdr:col>
      <xdr:colOff>1919287</xdr:colOff>
      <xdr:row>156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ATA 6">
              <a:extLst>
                <a:ext uri="{FF2B5EF4-FFF2-40B4-BE49-F238E27FC236}">
                  <a16:creationId xmlns:a16="http://schemas.microsoft.com/office/drawing/2014/main" id="{DFEEA60F-7699-4D80-A3E5-BA4E08554F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2537936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usuario/Downloads/KPI%20SEPARACAO%20(2).xlsx" TargetMode="External"/><Relationship Id="rId1" Type="http://schemas.openxmlformats.org/officeDocument/2006/relationships/externalLinkPath" Target="/Users/usuario/Downloads/KPI%20SEPARACAO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E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usuario/Downloads/KPI%20CONFERENCIA.xlsx" TargetMode="External"/><Relationship Id="rId1" Type="http://schemas.openxmlformats.org/officeDocument/2006/relationships/externalLinkPath" Target="/Users/usuario/Downloads/KPI%20CONFER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ES"/>
      <sheetName val="DASHBOARD"/>
      <sheetName val="SEPARACAO"/>
    </sheetNames>
    <sheetDataSet>
      <sheetData sheetId="0">
        <row r="18">
          <cell r="C18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ES"/>
      <sheetName val="CONFERENCIA"/>
      <sheetName val="DASHBOARD"/>
    </sheetNames>
    <sheetDataSet>
      <sheetData sheetId="0">
        <row r="44">
          <cell r="C44">
            <v>1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KPI%20RECEBIMENT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KPI%20SEPARACAO%20(2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KPI%20CONFERENCIA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098163773146" createdVersion="7" refreshedVersion="7" minRefreshableVersion="3" recordCount="306" xr:uid="{0F7E4C67-1F41-4A5A-8BE1-920933C946C4}">
  <cacheSource type="worksheet">
    <worksheetSource name="Tabela1" r:id="rId2"/>
  </cacheSource>
  <cacheFields count="23">
    <cacheField name="MÊS" numFmtId="165">
      <sharedItems count="6">
        <s v="JANEIRO"/>
        <s v="FEVEREIRO"/>
        <s v="AGOSTO" u="1"/>
        <s v="OUTUBRO" u="1"/>
        <s v="SETEMBRO" u="1"/>
        <s v="DEZEMBRO" u="1"/>
      </sharedItems>
    </cacheField>
    <cacheField name="SEMANA" numFmtId="165">
      <sharedItems containsBlank="1" count="5">
        <s v="1 SEMANA"/>
        <s v="2 SEMANA"/>
        <s v="3 SEMANA"/>
        <s v="4 SEMANA"/>
        <m u="1"/>
      </sharedItems>
    </cacheField>
    <cacheField name="DATA PEDIDO" numFmtId="14">
      <sharedItems containsSemiMixedTypes="0" containsNonDate="0" containsDate="1" containsString="0" minDate="2025-01-13T00:00:00" maxDate="2026-03-01T00:00:00" count="122">
        <d v="2025-12-31T00:00:00"/>
        <d v="2025-12-29T00:00:00"/>
        <d v="2025-12-22T00:00:00"/>
        <d v="2025-12-30T00:00:00"/>
        <d v="2025-12-26T00:00:00"/>
        <d v="2025-12-27T00:00:00"/>
        <d v="2026-01-03T00:00:00"/>
        <d v="2026-01-02T00:00:00"/>
        <d v="2026-01-05T00:00:00"/>
        <d v="2026-01-07T00:00:00"/>
        <d v="2026-01-08T00:00:00"/>
        <d v="2025-12-09T00:00:00"/>
        <d v="2026-01-14T00:00:00"/>
        <d v="2026-01-12T00:00:00"/>
        <d v="2026-01-15T00:00:00"/>
        <d v="2026-01-16T00:00:00"/>
        <d v="2026-01-17T00:00:00"/>
        <d v="2026-01-13T00:00:00"/>
        <d v="2025-12-24T00:00:00"/>
        <d v="2025-01-13T00:00:00"/>
        <d v="2026-01-28T00:00:00"/>
        <d v="2026-01-30T00:00:00"/>
        <d v="2026-01-29T00:00:00"/>
        <d v="2026-01-31T00:00:00"/>
        <d v="2026-02-03T00:00:00"/>
        <d v="2026-02-07T00:00:00"/>
        <d v="2026-02-05T00:00:00"/>
        <d v="2026-02-06T00:00:00"/>
        <d v="2026-02-04T00:00:00"/>
        <d v="2026-01-26T00:00:00"/>
        <d v="2026-01-22T00:00:00"/>
        <d v="2026-02-02T00:00:00"/>
        <d v="2026-02-09T00:00:00"/>
        <d v="2026-02-10T00:00:00"/>
        <d v="2026-02-11T00:00:00"/>
        <d v="2026-02-12T00:00:00"/>
        <d v="2026-02-13T00:00:00"/>
        <d v="2026-02-14T00:00:00"/>
        <d v="2026-02-18T00:00:00"/>
        <d v="2026-02-16T00:00:00"/>
        <d v="2026-02-20T00:00:00"/>
        <d v="2026-02-19T00:00:00"/>
        <d v="2026-02-21T00:00:00"/>
        <d v="2026-02-23T00:00:00"/>
        <d v="2026-02-24T00:00:00"/>
        <d v="2026-02-22T00:00:00"/>
        <d v="2026-02-25T00:00:00"/>
        <d v="2026-02-26T00:00:00"/>
        <d v="2026-02-27T00:00:00"/>
        <d v="2026-02-28T00:00:00"/>
        <d v="2025-10-28T00:00:00" u="1"/>
        <d v="2025-10-24T00:00:00" u="1"/>
        <d v="2025-10-20T00:00:00" u="1"/>
        <d v="2025-10-16T00:00:00" u="1"/>
        <d v="2025-10-12T00:00:00" u="1"/>
        <d v="2025-09-27T00:00:00" u="1"/>
        <d v="2025-10-08T00:00:00" u="1"/>
        <d v="2025-09-23T00:00:00" u="1"/>
        <d v="2025-09-19T00:00:00" u="1"/>
        <d v="2025-12-21T00:00:00" u="1"/>
        <d v="2025-09-15T00:00:00" u="1"/>
        <d v="2025-12-17T00:00:00" u="1"/>
        <d v="2025-08-30T00:00:00" u="1"/>
        <d v="2025-09-11T00:00:00" u="1"/>
        <d v="2025-08-26T00:00:00" u="1"/>
        <d v="2025-11-28T00:00:00" u="1"/>
        <d v="2025-11-24T00:00:00" u="1"/>
        <d v="2025-12-05T00:00:00" u="1"/>
        <d v="2025-12-01T00:00:00" u="1"/>
        <d v="2025-10-19T00:00:00" u="1"/>
        <d v="2025-10-15T00:00:00" u="1"/>
        <d v="2025-09-30T00:00:00" u="1"/>
        <d v="2025-09-26T00:00:00" u="1"/>
        <d v="2025-10-07T00:00:00" u="1"/>
        <d v="2025-09-22T00:00:00" u="1"/>
        <d v="2025-10-03T00:00:00" u="1"/>
        <d v="2025-09-18T00:00:00" u="1"/>
        <d v="2025-12-20T00:00:00" u="1"/>
        <d v="2025-12-16T00:00:00" u="1"/>
        <d v="2025-08-29T00:00:00" u="1"/>
        <d v="2025-09-10T00:00:00" u="1"/>
        <d v="2025-12-12T00:00:00" u="1"/>
        <d v="2025-11-27T00:00:00" u="1"/>
        <d v="2025-12-08T00:00:00" u="1"/>
        <d v="2025-12-04T00:00:00" u="1"/>
        <d v="2025-10-22T00:00:00" u="1"/>
        <d v="2025-10-18T00:00:00" u="1"/>
        <d v="2025-10-14T00:00:00" u="1"/>
        <d v="2025-09-29T00:00:00" u="1"/>
        <d v="2025-10-10T00:00:00" u="1"/>
        <d v="2025-09-25T00:00:00" u="1"/>
        <d v="2025-10-06T00:00:00" u="1"/>
        <d v="2025-09-21T00:00:00" u="1"/>
        <d v="2025-12-23T00:00:00" u="1"/>
        <d v="2025-10-02T00:00:00" u="1"/>
        <d v="2025-09-17T00:00:00" u="1"/>
        <d v="2025-12-19T00:00:00" u="1"/>
        <d v="2025-09-13T00:00:00" u="1"/>
        <d v="2025-12-15T00:00:00" u="1"/>
        <d v="2025-08-28T00:00:00" u="1"/>
        <d v="2025-09-09T00:00:00" u="1"/>
        <d v="2025-12-11T00:00:00" u="1"/>
        <d v="2025-09-05T00:00:00" u="1"/>
        <d v="2025-12-03T00:00:00" u="1"/>
        <d v="2025-08-12T00:00:00" u="1"/>
        <d v="2025-10-21T00:00:00" u="1"/>
        <d v="2025-10-17T00:00:00" u="1"/>
        <d v="2025-10-13T00:00:00" u="1"/>
        <d v="2025-09-28T00:00:00" u="1"/>
        <d v="2025-10-09T00:00:00" u="1"/>
        <d v="2025-09-24T00:00:00" u="1"/>
        <d v="2025-09-20T00:00:00" u="1"/>
        <d v="2025-10-01T00:00:00" u="1"/>
        <d v="2025-09-16T00:00:00" u="1"/>
        <d v="2025-12-18T00:00:00" u="1"/>
        <d v="2025-09-12T00:00:00" u="1"/>
        <d v="2025-11-29T00:00:00" u="1"/>
        <d v="2025-12-10T00:00:00" u="1"/>
        <d v="2025-09-04T00:00:00" u="1"/>
        <d v="2025-12-06T00:00:00" u="1"/>
        <d v="2025-11-21T00:00:00" u="1"/>
        <d v="2025-12-02T00:00:00" u="1"/>
      </sharedItems>
    </cacheField>
    <cacheField name="N° PEDIDO COMPRA" numFmtId="0">
      <sharedItems containsMixedTypes="1" containsNumber="1" containsInteger="1" minValue="7780" maxValue="8342" count="302">
        <n v="7857"/>
        <n v="7837"/>
        <n v="7862"/>
        <n v="7782"/>
        <n v="7780"/>
        <n v="7850"/>
        <n v="7847"/>
        <n v="7824"/>
        <n v="7835"/>
        <n v="7861"/>
        <n v="7860"/>
        <n v="7841"/>
        <n v="7826"/>
        <n v="7840"/>
        <n v="7851"/>
        <n v="7838"/>
        <n v="7859"/>
        <n v="7870"/>
        <n v="7819"/>
        <n v="7868"/>
        <n v="7876"/>
        <n v="7872"/>
        <n v="7871"/>
        <n v="7849"/>
        <n v="7853"/>
        <n v="7866"/>
        <n v="7863"/>
        <n v="7865"/>
        <n v="7880"/>
        <n v="7877"/>
        <n v="7884"/>
        <n v="7882"/>
        <n v="7890"/>
        <n v="7856"/>
        <n v="7888"/>
        <n v="7889"/>
        <n v="7869"/>
        <n v="7878"/>
        <n v="7874"/>
        <n v="7881"/>
        <n v="7893"/>
        <n v="7855"/>
        <n v="7897"/>
        <n v="7895"/>
        <n v="7820"/>
        <n v="7867"/>
        <n v="7892"/>
        <n v="7858"/>
        <n v="7873"/>
        <n v="7891"/>
        <n v="7879"/>
        <n v="7885"/>
        <n v="7898"/>
        <n v="7901"/>
        <n v="7896"/>
        <n v="7935"/>
        <n v="7904"/>
        <n v="7907"/>
        <n v="7902"/>
        <n v="7906"/>
        <n v="7911"/>
        <n v="7924"/>
        <n v="7951"/>
        <n v="7944"/>
        <n v="7948"/>
        <n v="7929"/>
        <n v="7946"/>
        <n v="7949"/>
        <n v="7947"/>
        <n v="7931"/>
        <n v="7960"/>
        <n v="7958"/>
        <n v="7973"/>
        <n v="7937"/>
        <n v="7938"/>
        <n v="7926"/>
        <n v="7917"/>
        <n v="7918"/>
        <n v="7919"/>
        <n v="7956"/>
        <n v="7932"/>
        <n v="7920"/>
        <n v="7887"/>
        <n v="7943"/>
        <n v="7912"/>
        <n v="7905"/>
        <n v="7921"/>
        <n v="7913"/>
        <n v="7914"/>
        <n v="7909"/>
        <n v="7808"/>
        <n v="7916"/>
        <n v="7908"/>
        <n v="7910"/>
        <n v="7923"/>
        <n v="7922"/>
        <n v="8063"/>
        <n v="8087"/>
        <n v="8094"/>
        <n v="8085"/>
        <n v="8089"/>
        <n v="8099"/>
        <n v="8072"/>
        <n v="8078"/>
        <n v="8088"/>
        <n v="8077"/>
        <n v="8097"/>
        <n v="8084"/>
        <n v="8115"/>
        <n v="8175"/>
        <n v="8156"/>
        <n v="8174"/>
        <n v="8143"/>
        <n v="8160"/>
        <n v="8162"/>
        <n v="8149"/>
        <n v="8145"/>
        <n v="8131"/>
        <n v="8142"/>
        <n v="8134"/>
        <n v="8146"/>
        <n v="8155"/>
        <n v="8152"/>
        <n v="8154"/>
        <n v="8144"/>
        <n v="8158"/>
        <n v="8141"/>
        <n v="8150"/>
        <n v="8136"/>
        <n v="8125"/>
        <n v="8118"/>
        <n v="8123"/>
        <n v="8128"/>
        <n v="8126"/>
        <n v="8106"/>
        <n v="8119"/>
        <n v="8129"/>
        <n v="8140"/>
        <n v="8132"/>
        <n v="8130"/>
        <n v="8096"/>
        <n v="8107"/>
        <n v="8111"/>
        <n v="8122"/>
        <n v="8137"/>
        <n v="8112"/>
        <n v="8056"/>
        <n v="8110"/>
        <n v="8113"/>
        <n v="8120"/>
        <n v="8104"/>
        <n v="8105"/>
        <n v="8076"/>
        <n v="8121"/>
        <n v="8102"/>
        <n v="8030"/>
        <n v="8074"/>
        <n v="8103"/>
        <n v="8073"/>
        <n v="8108"/>
        <n v="8090"/>
        <n v="8093"/>
        <n v="8092"/>
        <n v="8117"/>
        <n v="8171"/>
        <n v="8173"/>
        <n v="8157"/>
        <n v="8153"/>
        <n v="8163"/>
        <n v="8164"/>
        <n v="8176"/>
        <n v="8161"/>
        <n v="8177"/>
        <n v="8168"/>
        <n v="8169"/>
        <n v="8187"/>
        <n v="8186"/>
        <n v="8167"/>
        <n v="8151"/>
        <n v="8198"/>
        <n v="8182"/>
        <n v="8195"/>
        <n v="8185"/>
        <n v="8189"/>
        <n v="8180"/>
        <n v="8184"/>
        <n v="8183"/>
        <n v="8204"/>
        <n v="8181"/>
        <n v="8191"/>
        <n v="8205"/>
        <n v="8208"/>
        <n v="8200"/>
        <n v="8209"/>
        <n v="8199"/>
        <n v="8201"/>
        <n v="8196"/>
        <n v="8147"/>
        <n v="8212"/>
        <n v="8203"/>
        <n v="8135"/>
        <n v="8221"/>
        <n v="8165"/>
        <n v="8211"/>
        <n v="8194"/>
        <n v="8222"/>
        <n v="8207"/>
        <n v="8133"/>
        <n v="8202"/>
        <n v="8213"/>
        <n v="8192"/>
        <n v="8219"/>
        <n v="8197"/>
        <n v="8230"/>
        <n v="8216"/>
        <n v="8217"/>
        <n v="8235"/>
        <n v="8225"/>
        <n v="8224"/>
        <n v="8223"/>
        <n v="8229"/>
        <n v="8227"/>
        <n v="8228"/>
        <n v="8236"/>
        <n v="8240"/>
        <n v="8232"/>
        <n v="8231"/>
        <n v="8246"/>
        <n v="8250"/>
        <n v="8237"/>
        <n v="8226"/>
        <n v="8248"/>
        <n v="8249"/>
        <n v="8127"/>
        <n v="8243"/>
        <n v="8239"/>
        <n v="8253"/>
        <n v="8264"/>
        <n v="8247"/>
        <n v="8263"/>
        <n v="8268"/>
        <n v="8245"/>
        <n v="8244"/>
        <n v="8242"/>
        <n v="8241"/>
        <n v="8265"/>
        <n v="8267"/>
        <n v="8266"/>
        <s v="  "/>
        <n v="8252"/>
        <n v="8275"/>
        <n v="8254"/>
        <n v="8288"/>
        <n v="8255"/>
        <n v="8283"/>
        <n v="8285"/>
        <n v="8274"/>
        <n v="8272"/>
        <n v="8273"/>
        <n v="8292"/>
        <n v="8284"/>
        <n v="8269"/>
        <n v="8297"/>
        <n v="8296"/>
        <n v="8277"/>
        <n v="8257"/>
        <n v="8294"/>
        <n v="8301"/>
        <n v="8233"/>
        <n v="8279"/>
        <n v="8278"/>
        <n v="8261"/>
        <n v="8234"/>
        <n v="8262"/>
        <n v="8280"/>
        <n v="8271"/>
        <n v="8293"/>
        <n v="8289"/>
        <n v="8300"/>
        <n v="8304"/>
        <n v="8302"/>
        <n v="8290"/>
        <n v="8295"/>
        <n v="8303"/>
        <n v="8306"/>
        <n v="8310"/>
        <n v="8312"/>
        <n v="8311"/>
        <n v="8320"/>
        <n v="8281"/>
        <n v="8321"/>
        <n v="8307"/>
        <n v="8305"/>
        <n v="8308"/>
        <n v="8256"/>
        <n v="8259"/>
        <n v="8322"/>
        <n v="8342"/>
        <n v="8316"/>
        <n v="8325"/>
        <n v="8332"/>
        <n v="8317"/>
      </sharedItems>
    </cacheField>
    <cacheField name="DATA RECEBIMENTO" numFmtId="14">
      <sharedItems containsSemiMixedTypes="0" containsNonDate="0" containsDate="1" containsString="0" minDate="2025-02-06T00:00:00" maxDate="2026-03-01T00:00:00" count="108">
        <d v="2026-01-02T00:00:00"/>
        <d v="2026-01-05T00:00:00"/>
        <d v="2026-01-06T00:00:00"/>
        <d v="2026-01-07T00:00:00"/>
        <d v="2026-01-08T00:00:00"/>
        <d v="2026-01-09T00:00:00"/>
        <d v="2026-01-16T00:00:00"/>
        <d v="2026-01-13T00:00:00"/>
        <d v="2026-01-12T00:00:00"/>
        <d v="2026-01-19T00:00:00"/>
        <d v="2026-01-15T00:00:00"/>
        <d v="2026-01-14T00:00:00"/>
        <d v="2026-02-02T00:00:00"/>
        <d v="2026-01-31T00:00:00"/>
        <d v="2026-01-30T00:00:00"/>
        <d v="2026-02-03T00:00:00"/>
        <d v="2026-02-09T00:00:00"/>
        <d v="2026-02-06T00:00:00"/>
        <d v="2026-02-05T00:00:00"/>
        <d v="2026-02-04T00:00:00"/>
        <d v="2026-02-10T00:00:00"/>
        <d v="2026-02-11T00:00:00"/>
        <d v="2026-02-12T00:00:00"/>
        <d v="2026-02-13T00:00:00"/>
        <d v="2026-02-14T00:00:00"/>
        <d v="2026-02-16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5-10-24T00:00:00" u="1"/>
        <d v="2025-10-20T00:00:00" u="1"/>
        <d v="2025-10-16T00:00:00" u="1"/>
        <d v="2025-10-12T00:00:00" u="1"/>
        <d v="2025-09-27T00:00:00" u="1"/>
        <d v="2025-12-29T00:00:00" u="1"/>
        <d v="2025-10-08T00:00:00" u="1"/>
        <d v="2025-09-23T00:00:00" u="1"/>
        <d v="2025-09-19T00:00:00" u="1"/>
        <d v="2025-09-15T00:00:00" u="1"/>
        <d v="2025-12-17T00:00:00" u="1"/>
        <d v="2025-09-11T00:00:00" u="1"/>
        <d v="2025-12-13T00:00:00" u="1"/>
        <d v="2025-12-09T00:00:00" u="1"/>
        <d v="2025-09-03T00:00:00" u="1"/>
        <d v="2025-12-05T00:00:00" u="1"/>
        <d v="2025-12-01T00:00:00" u="1"/>
        <d v="2025-02-06T00:00:00" u="1"/>
        <d v="2025-10-23T00:00:00" u="1"/>
        <d v="2025-10-15T00:00:00" u="1"/>
        <d v="2025-09-30T00:00:00" u="1"/>
        <d v="2025-10-11T00:00:00" u="1"/>
        <d v="2025-09-26T00:00:00" u="1"/>
        <d v="2025-10-07T00:00:00" u="1"/>
        <d v="2025-09-22T00:00:00" u="1"/>
        <d v="2025-12-24T00:00:00" u="1"/>
        <d v="2025-10-03T00:00:00" u="1"/>
        <d v="2025-09-18T00:00:00" u="1"/>
        <d v="2025-12-16T00:00:00" u="1"/>
        <d v="2025-09-10T00:00:00" u="1"/>
        <d v="2025-12-12T00:00:00" u="1"/>
        <d v="2025-12-08T00:00:00" u="1"/>
        <d v="2025-09-02T00:00:00" u="1"/>
        <d v="2025-12-04T00:00:00" u="1"/>
        <d v="2025-10-22T00:00:00" u="1"/>
        <d v="2025-10-18T00:00:00" u="1"/>
        <d v="2025-10-14T00:00:00" u="1"/>
        <d v="2025-09-29T00:00:00" u="1"/>
        <d v="2025-12-31T00:00:00" u="1"/>
        <d v="2025-10-10T00:00:00" u="1"/>
        <d v="2025-09-25T00:00:00" u="1"/>
        <d v="2025-10-06T00:00:00" u="1"/>
        <d v="2025-12-23T00:00:00" u="1"/>
        <d v="2025-10-02T00:00:00" u="1"/>
        <d v="2025-09-17T00:00:00" u="1"/>
        <d v="2025-12-19T00:00:00" u="1"/>
        <d v="2025-09-13T00:00:00" u="1"/>
        <d v="2025-12-15T00:00:00" u="1"/>
        <d v="2025-09-09T00:00:00" u="1"/>
        <d v="2025-12-11T00:00:00" u="1"/>
        <d v="2025-09-05T00:00:00" u="1"/>
        <d v="2025-09-01T00:00:00" u="1"/>
        <d v="2025-12-03T00:00:00" u="1"/>
        <d v="2025-10-29T00:00:00" u="1"/>
        <d v="2025-10-21T00:00:00" u="1"/>
        <d v="2025-10-17T00:00:00" u="1"/>
        <d v="2025-10-13T00:00:00" u="1"/>
        <d v="2025-12-30T00:00:00" u="1"/>
        <d v="2025-10-09T00:00:00" u="1"/>
        <d v="2025-09-24T00:00:00" u="1"/>
        <d v="2025-12-26T00:00:00" u="1"/>
        <d v="2025-09-20T00:00:00" u="1"/>
        <d v="2025-12-22T00:00:00" u="1"/>
        <d v="2025-10-01T00:00:00" u="1"/>
        <d v="2025-09-16T00:00:00" u="1"/>
        <d v="2025-12-18T00:00:00" u="1"/>
        <d v="2025-09-12T00:00:00" u="1"/>
        <d v="2025-11-29T00:00:00" u="1"/>
        <d v="2025-09-08T00:00:00" u="1"/>
        <d v="2025-12-10T00:00:00" u="1"/>
        <d v="2025-09-04T00:00:00" u="1"/>
        <d v="2025-12-02T00:00:00" u="1"/>
      </sharedItems>
    </cacheField>
    <cacheField name="FORNECEDOR" numFmtId="0">
      <sharedItems containsBlank="1" count="121">
        <s v="DISTRIBUIDORA DE MEDICAMENTOS SANTA"/>
        <s v="REAL DISTRIBUIDORA E LOGISTICA LTDA"/>
        <s v="JRD INDUSTRIA FARMACEUTICA LTDA-"/>
        <s v="G3PHARMA DISTRIBUIDORA DE MEDICAMEN"/>
        <s v="TERRA HOSPITALAR DISTRIBUIDORA DE M"/>
        <s v="PROFARMA DISTRIBUIDORA DE PRODUTOS "/>
        <s v="JN PHARMA DISTRIBUIDORA DE MEDICAME"/>
        <s v="PROFARMA DISTRIBUIDORA DE PRODUTOS"/>
        <s v="ELLO DISTRIBUICAO LTDA-DEMAIS"/>
        <s v="ATIVA COMERCIAL HOSPITALAR LTDA-DEM"/>
        <s v="DISTRIBUIDORA GAMA LTDA-DEMAIS"/>
        <s v="SC DISTRIBUICAO LTDA-DEMAIS(panphar"/>
        <s v="MARTINS COM SERV DISTR SA"/>
        <s v="RD HOSPITALAR LTDA-EPP"/>
        <s v="ESTOQUE MED A LOGISTICA CERTA COMER"/>
        <s v="BIO INSTINTO IND. E COM. DE COS. LT"/>
        <s v="DPC DISTRIBUIDOR ATACADISTA S/A-DEM"/>
        <s v="VIVA COMERCIO E IMPORTACAO LTDA"/>
        <s v="DISTRIBUIDORA BRASIL COML DE PRODUT"/>
        <s v="GOIAS LOGISTICA DE MEDICAMENTOS LTD"/>
        <s v="SERVIMED - ITUMBIARA"/>
        <s v="GENESIO A MENDES &amp; CIA LTDA-DEM"/>
        <s v="MEDCENTRO DISTRIBUIDORA DE PRODUTOS"/>
        <s v="FARMALEV PRODUTOS FARMACEUTICOS LTD"/>
        <s v="DISTRIBEM MED. E MAT. HOSP. LTDA-DE"/>
        <s v="WW DISTRIBUIDORA DE MEDICAMENTOS LT"/>
        <s v="ACCUMED PRODUTOS MEDICO HOSPITALARE"/>
        <s v="URBANIN &amp; NAVARRO LTDA-DEMAIS"/>
        <s v="MAEVE PRODUTOS HOSPITALARES LTDA-DE"/>
        <s v="CIAMED - DISTRIBUIDORA DE MEDICAMEN"/>
        <s v="MACHT COMERCIAL DE ALIMENTOS LTDA-E"/>
        <s v="JPMED DISTRIBUIDORA FARMACEUTICA LT"/>
        <s v="JC DISTRIB. DE PROD. FARMACEUTICOS "/>
        <s v="ED MED COMERCIAL LTDA"/>
        <s v="SUPERMEDICA DISTRIBUIDORA HOSPITALA"/>
        <s v="BRASTERAPICA PHARMACEUTICA LTDA.-DE"/>
        <s v="GOYAZ SERVICE COMERCIO E LOGISTICA "/>
        <s v="MEDICAMENTAL DISTRIBUIDORA LTDA-DEM"/>
        <s v="CIENTIFICA MEDICA HOSPITALAR LTDA-D"/>
        <s v="RIO VERMELHO DISTRIBUICAO DE ALIMEN"/>
        <s v="MULTICANAL ATACADO LTDA -F2"/>
        <s v="VFB BRASIL LTDA-DEMAIS"/>
        <s v="REMORA PRODUTOS PARA SAUDE LTDA-EPP"/>
        <s v="UNIFARMA FARMACEUTICA LTDA-DEMAIS"/>
        <s v="C.A. HOSPITALAR LTDA-DEMAIS"/>
        <s v="ALEXDAN IMPORTACAO E EXPORTACAO LTD"/>
        <s v="HOSPDROGAS COMERCIAL LTDA-DEMAIS"/>
        <s v="FLORA NECTAR INDUSTRIA COMERCIO IMP"/>
        <s v="XWW DISTRIBUIDORA DE MEDICAMENTOS LT"/>
        <s v="CAZI QUIMICA FARMACEUTICA INDUSTRIA"/>
        <s v="B2B PHARMACEUTICA LTDA-ME"/>
        <s v="NATUBRAS INDUSTRIA E COMERCIO DE PR"/>
        <s v="MARTINS COMERCIO E SERVICOS DE DIST"/>
        <s v="MARTINS COM SERV DISTR AS"/>
        <s v="JC DISTRIBUICAO LOGISTICA IMP E EXP"/>
        <s v="3B INDUSTRIA E COMERCIO DE ARTEFATO"/>
        <s v="LINK HOME DISTRIBUIDORA LTDA-EPP"/>
        <s v="ESTOQUE MED TO A LOGISTICA CERTA CO"/>
        <s v="REDE BRASIL DISTRIBUICAO E LOGIST L"/>
        <m u="1"/>
        <s v="LINK MED DISTRIBUIDORA DE MEDICAMEN" u="1"/>
        <s v="WW DISTRIBUIDORA" u="1"/>
        <s v="B2B PHARMACEUTICA" u="1"/>
        <s v="DPC" u="1"/>
        <s v="SUMMA REPRESENTACOES FARMACEUTICAS" u="1"/>
        <s v="LINK MED " u="1"/>
        <s v="MEDCOM COMERCIO DE MEDICAMENTOS HOS" u="1"/>
        <s v="G3 PHARMA" u="1"/>
        <s v="MEDCOM COMERCIO DE MEDICAMENTOS" u="1"/>
        <s v="EB PRODUTOS FARMACEUTICOS LTDA-ME" u="1"/>
        <s v="TERRA HOSPITALAR" u="1"/>
        <s v="PROFARMA" u="1"/>
        <s v="PREMIUM HOSPITALAR LTDA-ME" u="1"/>
        <s v="GOYAZ SERVICE " u="1"/>
        <s v="GDS COMERCIO E DISTRIBUICAO DE MEDI" u="1"/>
        <s v="FARMALEV PRODUTOS FARMACEUTICOS" u="1"/>
        <s v="JN PHARMA" u="1"/>
        <s v="MEDICAMENTAL " u="1"/>
        <s v="VIVA COMERCIO E IMPORTACAO" u="1"/>
        <s v="RECMED COMERCIO DE MAT. HOSPITALARE" u="1"/>
        <s v="AMR COMERCIO " u="1"/>
        <s v="REAL DISTRIBUIDORA" u="1"/>
        <s v="JP MED " u="1"/>
        <s v="REMORA HOSPITALAR" u="1"/>
        <s v="NATUBRAS" u="1"/>
        <s v="ED MED " u="1"/>
        <s v="GAMA " u="1"/>
        <s v="JC DISTRIBUICAO LOGISTICA IMPORTACA" u="1"/>
        <s v="GDS HOSPITALAR" u="1"/>
        <s v="JRD INDUSTRIA" u="1"/>
        <s v="ATIVA COMERCIAL" u="1"/>
        <s v="SPMED DISTRIBUIDORA DE MEDICAMENTOS" u="1"/>
        <s v="GENESIO" u="1"/>
        <s v="SERVIMED" u="1"/>
        <s v="EB FARMACEUTICA" u="1"/>
        <s v="FIA COMERCIO DE PRODUTOS HOSPITALAR" u="1"/>
        <s v="AMR - COMERCIO DE MEDICAMENTOS E PE" u="1"/>
        <s v="DROGAFONTE LTDA-DEMAIS" u="1"/>
        <s v="MCW PRODUTOS MEDICOS E HOSPITALARES" u="1"/>
        <s v="MEDCOM" u="1"/>
        <s v="CIRURGICA MONTEBELLO LTDA-DEMAIS" u="1"/>
        <s v="CA HOSPITALAR " u="1"/>
        <s v="ELGIN DISTRIBUIDORA LTDA" u="1"/>
        <s v="AUREA PHARMACEUTICS LTDA-EPP" u="1"/>
        <s v="TECHLINE COMERCIAL, IMPORTADORA, EX" u="1"/>
        <s v="HOSPFAR" u="1"/>
        <s v="RIO VERMELHO" u="1"/>
        <s v="MED CENTRO" u="1"/>
        <s v="JC DISTRIBUIDORA DE MED" u="1"/>
        <s v="ELFA MEDICAMENTOS" u="1"/>
        <s v="MARTINS" u="1"/>
        <s v="INOVEN INDUSTRIA, COMERCIO E IMPORT" u="1"/>
        <s v="SANIBRAS MEDICAMENTOS E NUTRICAO LT" u="1"/>
        <s v="PAN PHARMA DISTRIBUIDORA DE MEDICAMENTOS" u="1"/>
        <s v="FLORA NECTAR INDUSTRIA" u="1"/>
        <s v="HOSPDROGAS" u="1"/>
        <s v="HOSPFAR INDUSTRIA E COMERCIO DE PRO" u="1"/>
        <s v="COMERCIO DE MEL LIMA LTDA-DEMAIS" u="1"/>
        <s v="GOIAS DISTRIBUIDORA DE MEDICAMENTOS" u="1"/>
        <s v="SANTA CRUZ DISTRIBUIDORA DE MEDICAMENTOS" u="1"/>
        <s v="ELFA MEDICAMENTOS S.A-DEMAIS" u="1"/>
      </sharedItems>
    </cacheField>
    <cacheField name="VOLUMES" numFmtId="0">
      <sharedItems containsSemiMixedTypes="0" containsString="0" containsNumber="1" containsInteger="1" minValue="1" maxValue="625"/>
    </cacheField>
    <cacheField name="STATUS" numFmtId="0">
      <sharedItems count="1">
        <s v="CONFERIDO"/>
      </sharedItems>
    </cacheField>
    <cacheField name="OCORRENCIA" numFmtId="0">
      <sharedItems containsBlank="1" count="11">
        <s v="OK"/>
        <s v="FALTA PRODUTO"/>
        <s v="AVARIA"/>
        <s v="PRODUTO A MAIS "/>
        <s v="SOBRA "/>
        <s v="LOTE"/>
        <s v="AVARIA E FALTA"/>
        <s v="INVERSÃO" u="1"/>
        <m u="1"/>
        <s v="VENC PROXIMO" u="1"/>
        <s v="FALTA VOLUME" u="1"/>
      </sharedItems>
    </cacheField>
    <cacheField name="LEAD TIME FORNECEDOR" numFmtId="0">
      <sharedItems containsSemiMixedTypes="0" containsString="0" containsNumber="1" containsInteger="1" minValue="-1" maxValue="366" count="19">
        <n v="2"/>
        <n v="4"/>
        <n v="11"/>
        <n v="3"/>
        <n v="7"/>
        <n v="6"/>
        <n v="5"/>
        <n v="0"/>
        <n v="1"/>
        <n v="8"/>
        <n v="12"/>
        <n v="30"/>
        <n v="-1"/>
        <n v="21"/>
        <n v="366"/>
        <n v="9"/>
        <n v="15"/>
        <n v="10"/>
        <n v="14"/>
      </sharedItems>
    </cacheField>
    <cacheField name="LEAD TIME DISPONIBILIZACAO" numFmtId="0">
      <sharedItems containsSemiMixedTypes="0" containsString="0" containsNumber="1" containsInteger="1" minValue="-14" maxValue="6" count="17">
        <n v="0"/>
        <n v="3"/>
        <n v="6"/>
        <n v="2"/>
        <n v="1"/>
        <n v="4"/>
        <n v="5"/>
        <n v="-3"/>
        <n v="-1"/>
        <n v="-7"/>
        <n v="-10"/>
        <n v="-5"/>
        <n v="-9"/>
        <n v="-4"/>
        <n v="-2"/>
        <n v="-14"/>
        <n v="-8"/>
      </sharedItems>
    </cacheField>
    <cacheField name="DATA ENTRADA" numFmtId="14">
      <sharedItems containsSemiMixedTypes="0" containsNonDate="0" containsDate="1" containsString="0" minDate="2025-12-31T00:00:00" maxDate="2026-03-01T00:00:00"/>
    </cacheField>
    <cacheField name="PRAZO DISPONIBILIZACAO SISTEMA" numFmtId="0">
      <sharedItems count="2">
        <s v="D+0"/>
        <s v="D+1"/>
      </sharedItems>
    </cacheField>
    <cacheField name="APURACAO LT D+0" numFmtId="0">
      <sharedItems containsSemiMixedTypes="0" containsString="0" containsNumber="1" containsInteger="1" minValue="0" maxValue="1" count="2">
        <n v="1"/>
        <n v="0"/>
      </sharedItems>
    </cacheField>
    <cacheField name="CONFORMIDADE" numFmtId="0">
      <sharedItems count="2">
        <s v="EM CONFORMIDADE"/>
        <s v="NÃO CONFORMIDADE"/>
      </sharedItems>
    </cacheField>
    <cacheField name="CONTAGEM  NÃO CONFORMIDADES" numFmtId="0">
      <sharedItems count="2">
        <s v="0"/>
        <s v="1"/>
      </sharedItems>
    </cacheField>
    <cacheField name="% SLA CONFORMIDADES" numFmtId="10">
      <sharedItems containsSemiMixedTypes="0" containsString="0" containsNumber="1" containsInteger="1" minValue="0" maxValue="1" count="2">
        <n v="1"/>
        <n v="0"/>
      </sharedItems>
    </cacheField>
    <cacheField name="LEAD TIME TOTAL" numFmtId="0">
      <sharedItems containsSemiMixedTypes="0" containsString="0" containsNumber="1" containsInteger="1" minValue="-7" maxValue="367" count="19">
        <n v="0"/>
        <n v="4"/>
        <n v="2"/>
        <n v="9"/>
        <n v="1"/>
        <n v="3"/>
        <n v="7"/>
        <n v="6"/>
        <n v="5"/>
        <n v="17"/>
        <n v="8"/>
        <n v="13"/>
        <n v="12"/>
        <n v="36"/>
        <n v="21"/>
        <n v="367"/>
        <n v="10"/>
        <n v="16"/>
        <n v="-7"/>
      </sharedItems>
    </cacheField>
    <cacheField name="ERRO ANOTACAO" numFmtId="0">
      <sharedItems containsSemiMixedTypes="0" containsString="0" containsNumber="1" containsInteger="1" minValue="0" maxValue="2" count="3">
        <n v="0"/>
        <n v="1"/>
        <n v="2"/>
      </sharedItems>
    </cacheField>
    <cacheField name="DESCR ERRO" numFmtId="0">
      <sharedItems count="3">
        <s v="SEM ERROS"/>
        <s v="ERRO DE ANOTACAO QUANTIDADE"/>
        <s v="QUANTIDADE ANOTADA ERRADO"/>
      </sharedItems>
    </cacheField>
    <cacheField name="ACURA.CONF" numFmtId="0">
      <sharedItems containsSemiMixedTypes="0" containsString="0" containsNumber="1" containsInteger="1" minValue="-1" maxValue="1" count="3">
        <n v="1"/>
        <n v="0"/>
        <n v="-1"/>
      </sharedItems>
    </cacheField>
    <cacheField name="STATUS TRATATIVA" numFmtId="0">
      <sharedItems containsBlank="1" count="2">
        <m/>
        <s v="NOTIFICADO FORNECEDOR"/>
      </sharedItems>
    </cacheField>
    <cacheField name="OPERADOR" numFmtId="0">
      <sharedItems containsBlank="1" count="7">
        <m/>
        <s v="ARMANDO SANTOS"/>
        <s v="JUNIOR "/>
        <s v="PABLYNE"/>
        <s v="WARLEY GABRIEL"/>
        <s v="MARILEUSA"/>
        <s v="DANIEL"/>
      </sharedItems>
    </cacheField>
  </cacheFields>
  <extLst>
    <ext xmlns:x14="http://schemas.microsoft.com/office/spreadsheetml/2009/9/main" uri="{725AE2AE-9491-48be-B2B4-4EB974FC3084}">
      <x14:pivotCacheDefinition pivotCacheId="15890893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141402314817" createdVersion="7" refreshedVersion="7" minRefreshableVersion="3" recordCount="309" xr:uid="{5B448E4B-46B1-4F0A-B14E-A593D52B018A}">
  <cacheSource type="worksheet">
    <worksheetSource name="Tabela3" r:id="rId2"/>
  </cacheSource>
  <cacheFields count="13">
    <cacheField name="DATA" numFmtId="14">
      <sharedItems containsSemiMixedTypes="0" containsNonDate="0" containsDate="1" containsString="0" minDate="2026-01-02T00:00:00" maxDate="2026-03-01T00:00:00" count="49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</sharedItems>
      <fieldGroup par="12" base="0">
        <rangePr groupBy="months" startDate="2026-01-02T00:00:00" endDate="2026-03-0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3/2026"/>
        </groupItems>
      </fieldGroup>
    </cacheField>
    <cacheField name="MÊS" numFmtId="14">
      <sharedItems containsBlank="1" count="14">
        <s v="JANEIRO "/>
        <s v="FEVEREIRO"/>
        <m u="1"/>
        <s v="JANEIRO" u="1"/>
        <s v="ABRIL" u="1"/>
        <s v="JULHO" u="1"/>
        <s v="DEZEMBRO" u="1"/>
        <s v="OUTUBRO" u="1"/>
        <s v="JUNHO" u="1"/>
        <s v="SETEMBRO" u="1"/>
        <s v="MAIO" u="1"/>
        <s v="NOVEMBRO" u="1"/>
        <s v="AGOSTO" u="1"/>
        <s v="MARÇO" u="1"/>
      </sharedItems>
    </cacheField>
    <cacheField name="SEMANA" numFmtId="14">
      <sharedItems count="4">
        <s v="1 SEMANA"/>
        <s v="2 SEMANA"/>
        <s v="3 SEMANA"/>
        <s v="4 SEMANA"/>
      </sharedItems>
    </cacheField>
    <cacheField name="COLABORADOR" numFmtId="0">
      <sharedItems count="32">
        <s v="ARMANDO SANTOS"/>
        <s v="FERNANDO BORGES"/>
        <s v="JOAO VITOR"/>
        <s v="MARILEUZA"/>
        <s v="WARLEY GABRIEL"/>
        <s v="IGOR"/>
        <s v="WILSON JUNIOR"/>
        <s v="RONALDO JOSE"/>
        <s v="JAILSON"/>
        <s v="PABLYNE SANTANA"/>
        <s v="GUILHERME HENRIQUE"/>
        <s v="LUCAS GABRIEL" u="1"/>
        <s v="JONAILSON" u="1"/>
        <s v="VINICIUS CAMARGO" u="1"/>
        <s v="JOAO VITOR ZANOTTO" u="1"/>
        <s v="Armando" u="1"/>
        <s v="LUIS SOARES" u="1"/>
        <s v="RAUL IZIQUIEL" u="1"/>
        <s v="CAUA BATISTA" u="1"/>
        <s v="JAILSON FERNANDES" u="1"/>
        <s v="TESTE - IGOR" u="1"/>
        <s v=" " u="1"/>
        <s v="Pablyne" u="1"/>
        <s v="FABRICIO OLIVEIRA" u="1"/>
        <s v="Warley" u="1"/>
        <s v="DAVY GABRIEL" u="1"/>
        <s v="VITOR HUGO" u="1"/>
        <s v="Fernando" u="1"/>
        <s v="TESTE - IGOR / FERNANDO" u="1"/>
        <s v="Wilson" u="1"/>
        <s v="Ronaldo " u="1"/>
        <s v="PABLYNE SANTANTA" u="1"/>
      </sharedItems>
    </cacheField>
    <cacheField name="QTD PEDIDOS" numFmtId="0">
      <sharedItems containsSemiMixedTypes="0" containsString="0" containsNumber="1" containsInteger="1" minValue="1" maxValue="76"/>
    </cacheField>
    <cacheField name="SKUS" numFmtId="0">
      <sharedItems containsSemiMixedTypes="0" containsString="0" containsNumber="1" containsInteger="1" minValue="1" maxValue="418"/>
    </cacheField>
    <cacheField name="ITENS SEPARADOS" numFmtId="0">
      <sharedItems containsSemiMixedTypes="0" containsString="0" containsNumber="1" containsInteger="1" minValue="1" maxValue="4294"/>
    </cacheField>
    <cacheField name="MEDIA ITEM SEPARADO POR SKU" numFmtId="1">
      <sharedItems containsSemiMixedTypes="0" containsString="0" containsNumber="1" minValue="1" maxValue="57.9"/>
    </cacheField>
    <cacheField name="MEDIA SKU POR PEDIDO" numFmtId="1">
      <sharedItems containsSemiMixedTypes="0" containsString="0" containsNumber="1" minValue="1" maxValue="16.5"/>
    </cacheField>
    <cacheField name="DESEMPENHO  %" numFmtId="9">
      <sharedItems containsSemiMixedTypes="0" containsString="0" containsNumber="1" minValue="0.96" maxValue="1" count="5">
        <n v="1"/>
        <n v="0.96"/>
        <n v="0.98"/>
        <n v="0.97826086956521741"/>
        <n v="0.96875"/>
      </sharedItems>
    </cacheField>
    <cacheField name="PEDIDOS SEPARADOS ERRADOS" numFmtId="0">
      <sharedItems containsSemiMixedTypes="0" containsString="0" containsNumber="1" containsInteger="1" minValue="0" maxValue="1" count="2">
        <n v="0"/>
        <n v="1"/>
      </sharedItems>
    </cacheField>
    <cacheField name="Trimestres" numFmtId="0" databaseField="0">
      <fieldGroup base="0">
        <rangePr groupBy="quarters" startDate="2026-01-02T00:00:00" endDate="2026-03-01T00:00:00"/>
        <groupItems count="6">
          <s v="&lt;02/01/2026"/>
          <s v="Trim1"/>
          <s v="Trim2"/>
          <s v="Trim3"/>
          <s v="Trim4"/>
          <s v="&gt;01/03/2026"/>
        </groupItems>
      </fieldGroup>
    </cacheField>
    <cacheField name="Anos" numFmtId="0" databaseField="0">
      <fieldGroup base="0">
        <rangePr groupBy="years" startDate="2026-01-02T00:00:00" endDate="2026-03-01T00:00:00"/>
        <groupItems count="3">
          <s v="&lt;02/01/2026"/>
          <s v="2026"/>
          <s v="&gt;01/03/2026"/>
        </groupItems>
      </fieldGroup>
    </cacheField>
  </cacheFields>
  <extLst>
    <ext xmlns:x14="http://schemas.microsoft.com/office/spreadsheetml/2009/9/main" uri="{725AE2AE-9491-48be-B2B4-4EB974FC3084}">
      <x14:pivotCacheDefinition pivotCacheId="196661114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168986111108" createdVersion="7" refreshedVersion="7" minRefreshableVersion="3" recordCount="232" xr:uid="{D372C46D-0B4E-4C5E-9A89-C68695C509C0}">
  <cacheSource type="worksheet">
    <worksheetSource name="Tabela3" r:id="rId2"/>
  </cacheSource>
  <cacheFields count="11">
    <cacheField name="DATA" numFmtId="14">
      <sharedItems containsSemiMixedTypes="0" containsNonDate="0" containsDate="1" containsString="0" minDate="2025-06-02T00:00:00" maxDate="2026-03-01T00:00:00" count="197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  <d v="2025-08-11T00:00:00" u="1"/>
        <d v="2025-11-13T00:00:00" u="1"/>
        <d v="2025-10-28T00:00:00" u="1"/>
        <d v="2025-08-07T00:00:00" u="1"/>
        <d v="2025-10-24T00:00:00" u="1"/>
        <d v="2025-11-05T00:00:00" u="1"/>
        <d v="2025-10-20T00:00:00" u="1"/>
        <d v="2025-11-01T00:00:00" u="1"/>
        <d v="2025-10-16T00:00:00" u="1"/>
        <d v="2025-09-27T00:00:00" u="1"/>
        <d v="2025-12-29T00:00:00" u="1"/>
        <d v="2025-10-08T00:00:00" u="1"/>
        <d v="2025-06-21T00:00:00" u="1"/>
        <d v="2025-09-23T00:00:00" u="1"/>
        <d v="2025-10-04T00:00:00" u="1"/>
        <d v="2025-06-17T00:00:00" u="1"/>
        <d v="2025-09-19T00:00:00" u="1"/>
        <d v="2025-06-13T00:00:00" u="1"/>
        <d v="2025-09-15T00:00:00" u="1"/>
        <d v="2025-12-17T00:00:00" u="1"/>
        <d v="2025-08-30T00:00:00" u="1"/>
        <d v="2025-06-09T00:00:00" u="1"/>
        <d v="2025-09-11T00:00:00" u="1"/>
        <d v="2025-12-13T00:00:00" u="1"/>
        <d v="2025-08-26T00:00:00" u="1"/>
        <d v="2025-06-05T00:00:00" u="1"/>
        <d v="2025-11-28T00:00:00" u="1"/>
        <d v="2025-12-09T00:00:00" u="1"/>
        <d v="2025-08-22T00:00:00" u="1"/>
        <d v="2025-11-24T00:00:00" u="1"/>
        <d v="2025-09-03T00:00:00" u="1"/>
        <d v="2025-12-05T00:00:00" u="1"/>
        <d v="2025-08-18T00:00:00" u="1"/>
        <d v="2025-11-20T00:00:00" u="1"/>
        <d v="2025-12-01T00:00:00" u="1"/>
        <d v="2025-08-14T00:00:00" u="1"/>
        <d v="2025-10-31T00:00:00" u="1"/>
        <d v="2025-11-12T00:00:00" u="1"/>
        <d v="2025-10-27T00:00:00" u="1"/>
        <d v="2025-08-06T00:00:00" u="1"/>
        <d v="2025-11-08T00:00:00" u="1"/>
        <d v="2025-10-23T00:00:00" u="1"/>
        <d v="2025-08-02T00:00:00" u="1"/>
        <d v="2025-11-04T00:00:00" u="1"/>
        <d v="2025-10-15T00:00:00" u="1"/>
        <d v="2025-09-30T00:00:00" u="1"/>
        <d v="2025-10-11T00:00:00" u="1"/>
        <d v="2025-06-24T00:00:00" u="1"/>
        <d v="2025-09-26T00:00:00" u="1"/>
        <d v="2025-10-07T00:00:00" u="1"/>
        <d v="2025-06-20T00:00:00" u="1"/>
        <d v="2025-09-22T00:00:00" u="1"/>
        <d v="2025-12-24T00:00:00" u="1"/>
        <d v="2025-10-03T00:00:00" u="1"/>
        <d v="2025-06-16T00:00:00" u="1"/>
        <d v="2025-09-18T00:00:00" u="1"/>
        <d v="2025-12-20T00:00:00" u="1"/>
        <d v="2025-06-12T00:00:00" u="1"/>
        <d v="2025-12-16T00:00:00" u="1"/>
        <d v="2025-08-29T00:00:00" u="1"/>
        <d v="2025-09-10T00:00:00" u="1"/>
        <d v="2025-12-12T00:00:00" u="1"/>
        <d v="2025-08-25T00:00:00" u="1"/>
        <d v="2025-06-04T00:00:00" u="1"/>
        <d v="2025-11-27T00:00:00" u="1"/>
        <d v="2025-09-06T00:00:00" u="1"/>
        <d v="2025-12-08T00:00:00" u="1"/>
        <d v="2025-08-21T00:00:00" u="1"/>
        <d v="2025-09-02T00:00:00" u="1"/>
        <d v="2025-12-04T00:00:00" u="1"/>
        <d v="2025-11-19T00:00:00" u="1"/>
        <d v="2025-08-13T00:00:00" u="1"/>
        <d v="2025-10-30T00:00:00" u="1"/>
        <d v="2025-08-09T00:00:00" u="1"/>
        <d v="2025-11-11T00:00:00" u="1"/>
        <d v="2025-08-05T00:00:00" u="1"/>
        <d v="2025-11-07T00:00:00" u="1"/>
        <d v="2025-10-22T00:00:00" u="1"/>
        <d v="2025-08-01T00:00:00" u="1"/>
        <d v="2025-11-03T00:00:00" u="1"/>
        <d v="2025-10-18T00:00:00" u="1"/>
        <d v="2025-10-14T00:00:00" u="1"/>
        <d v="2025-09-29T00:00:00" u="1"/>
        <d v="2025-12-31T00:00:00" u="1"/>
        <d v="2025-10-10T00:00:00" u="1"/>
        <d v="2025-06-23T00:00:00" u="1"/>
        <d v="2025-09-25T00:00:00" u="1"/>
        <d v="2025-10-06T00:00:00" u="1"/>
        <d v="2025-06-19T00:00:00" u="1"/>
        <d v="2025-12-23T00:00:00" u="1"/>
        <d v="2025-10-02T00:00:00" u="1"/>
        <d v="2025-09-17T00:00:00" u="1"/>
        <d v="2025-12-19T00:00:00" u="1"/>
        <d v="2025-06-11T00:00:00" u="1"/>
        <d v="2025-09-13T00:00:00" u="1"/>
        <d v="2025-12-15T00:00:00" u="1"/>
        <d v="2025-08-28T00:00:00" u="1"/>
        <d v="2025-06-07T00:00:00" u="1"/>
        <d v="2025-09-09T00:00:00" u="1"/>
        <d v="2025-12-11T00:00:00" u="1"/>
        <d v="2025-06-03T00:00:00" u="1"/>
        <d v="2025-11-26T00:00:00" u="1"/>
        <d v="2025-09-05T00:00:00" u="1"/>
        <d v="2025-08-20T00:00:00" u="1"/>
        <d v="2025-11-22T00:00:00" u="1"/>
        <d v="2025-09-01T00:00:00" u="1"/>
        <d v="2025-12-03T00:00:00" u="1"/>
        <d v="2025-08-16T00:00:00" u="1"/>
        <d v="2025-11-18T00:00:00" u="1"/>
        <d v="2025-08-12T00:00:00" u="1"/>
        <d v="2025-11-14T00:00:00" u="1"/>
        <d v="2025-10-29T00:00:00" u="1"/>
        <d v="2025-08-08T00:00:00" u="1"/>
        <d v="2025-11-10T00:00:00" u="1"/>
        <d v="2025-10-25T00:00:00" u="1"/>
        <d v="2025-08-04T00:00:00" u="1"/>
        <d v="2025-11-06T00:00:00" u="1"/>
        <d v="2025-10-21T00:00:00" u="1"/>
        <d v="2025-10-17T00:00:00" u="1"/>
        <d v="2025-10-13T00:00:00" u="1"/>
        <d v="2025-12-30T00:00:00" u="1"/>
        <d v="2025-10-09T00:00:00" u="1"/>
        <d v="2025-09-24T00:00:00" u="1"/>
        <d v="2025-12-26T00:00:00" u="1"/>
        <d v="2025-06-18T00:00:00" u="1"/>
        <d v="2025-09-20T00:00:00" u="1"/>
        <d v="2025-12-22T00:00:00" u="1"/>
        <d v="2025-10-01T00:00:00" u="1"/>
        <d v="2025-06-14T00:00:00" u="1"/>
        <d v="2025-09-16T00:00:00" u="1"/>
        <d v="2025-12-18T00:00:00" u="1"/>
        <d v="2025-06-10T00:00:00" u="1"/>
        <d v="2025-09-12T00:00:00" u="1"/>
        <d v="2025-08-27T00:00:00" u="1"/>
        <d v="2025-06-06T00:00:00" u="1"/>
        <d v="2025-11-29T00:00:00" u="1"/>
        <d v="2025-09-08T00:00:00" u="1"/>
        <d v="2025-12-10T00:00:00" u="1"/>
        <d v="2025-08-23T00:00:00" u="1"/>
        <d v="2025-06-02T00:00:00" u="1"/>
        <d v="2025-11-25T00:00:00" u="1"/>
        <d v="2025-09-04T00:00:00" u="1"/>
        <d v="2025-12-06T00:00:00" u="1"/>
        <d v="2025-08-19T00:00:00" u="1"/>
        <d v="2025-11-21T00:00:00" u="1"/>
        <d v="2025-12-02T00:00:00" u="1"/>
        <d v="2025-08-15T00:00:00" u="1"/>
        <d v="2025-11-17T00:00:00" u="1"/>
      </sharedItems>
    </cacheField>
    <cacheField name="MÊS" numFmtId="14">
      <sharedItems containsBlank="1" count="3">
        <s v="JANEIRO "/>
        <s v="FEVEREIRO"/>
        <m u="1"/>
      </sharedItems>
    </cacheField>
    <cacheField name="SEMANA" numFmtId="14">
      <sharedItems count="4">
        <s v="1 SEMANA"/>
        <s v="2 SEMANA"/>
        <s v="3 SEMANA"/>
        <s v="4 SEMANA"/>
      </sharedItems>
    </cacheField>
    <cacheField name="COLABORADOR" numFmtId="0">
      <sharedItems containsBlank="1" count="31">
        <s v="Armando"/>
        <s v="Fernando"/>
        <s v="Joao Vitor"/>
        <s v="Marileuza"/>
        <s v="Igor"/>
        <s v="Wilson"/>
        <s v="Ronaldo "/>
        <s v="Pablyne"/>
        <s v="JAILSON "/>
        <s v="WARLEY GABRIEL"/>
        <s v="GUIILHERME HENRIQUE"/>
        <m u="1"/>
        <s v="Lucas" u="1"/>
        <s v="LUCAS GABRIEL" u="1"/>
        <s v="Jonailson" u="1"/>
        <s v="João" u="1"/>
        <s v="VINICIUS CAMARGO" u="1"/>
        <s v="JOAO VITOR ZANOTTO" u="1"/>
        <s v="Davy" u="1"/>
        <s v="Vitor" u="1"/>
        <s v="Luis" u="1"/>
        <s v="Fabricio" u="1"/>
        <s v="LUIS SOARES" u="1"/>
        <s v="RAUL IZIQUIEL" u="1"/>
        <s v="Raul" u="1"/>
        <s v="CAUA BATISTA" u="1"/>
        <s v="FABRICIO OLIVEIRA" u="1"/>
        <s v="ARMANDO SANTOS" u="1"/>
        <s v="DAVY GABRIEL" u="1"/>
        <s v="VITOR HUGO" u="1"/>
        <s v="WILSON JUNIOR" u="1"/>
      </sharedItems>
    </cacheField>
    <cacheField name="QTD PEDIDOS" numFmtId="0">
      <sharedItems containsSemiMixedTypes="0" containsString="0" containsNumber="1" containsInteger="1" minValue="1" maxValue="120"/>
    </cacheField>
    <cacheField name="SKUS" numFmtId="0">
      <sharedItems containsSemiMixedTypes="0" containsString="0" containsNumber="1" containsInteger="1" minValue="1" maxValue="829"/>
    </cacheField>
    <cacheField name="ITENS SEPARADOS" numFmtId="0">
      <sharedItems containsSemiMixedTypes="0" containsString="0" containsNumber="1" containsInteger="1" minValue="1" maxValue="5083"/>
    </cacheField>
    <cacheField name="MEDIA ITEM SEPARADO POR SKU" numFmtId="1">
      <sharedItems containsSemiMixedTypes="0" containsString="0" containsNumber="1" minValue="1" maxValue="768"/>
    </cacheField>
    <cacheField name="MEDIA SKU POR PEDIDO" numFmtId="1">
      <sharedItems containsSemiMixedTypes="0" containsString="0" containsNumber="1" minValue="1" maxValue="18"/>
    </cacheField>
    <cacheField name="PEDIDOS ERRADOS" numFmtId="1">
      <sharedItems containsString="0" containsBlank="1" containsNumber="1" containsInteger="1" minValue="0" maxValue="1" count="3">
        <n v="0"/>
        <n v="1"/>
        <m/>
      </sharedItems>
    </cacheField>
    <cacheField name="DESEMPENHO  %" numFmtId="10">
      <sharedItems containsSemiMixedTypes="0" containsString="0" containsNumber="1" minValue="0.96666666666666667" maxValue="1" count="4">
        <n v="1"/>
        <n v="0.98275862068965514"/>
        <n v="0.98"/>
        <n v="0.96666666666666667"/>
      </sharedItems>
    </cacheField>
  </cacheFields>
  <extLst>
    <ext xmlns:x14="http://schemas.microsoft.com/office/spreadsheetml/2009/9/main" uri="{725AE2AE-9491-48be-B2B4-4EB974FC3084}">
      <x14:pivotCacheDefinition pivotCacheId="43393267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9.942822337965" createdVersion="7" refreshedVersion="7" minRefreshableVersion="3" recordCount="39" xr:uid="{11E40AA5-6E79-42EA-AA98-7A2BF849A4B0}">
  <cacheSource type="worksheet">
    <worksheetSource name="Tabela3"/>
  </cacheSource>
  <cacheFields count="7">
    <cacheField name="MÊS" numFmtId="0">
      <sharedItems containsBlank="1" count="2">
        <s v="FEVEREIRO"/>
        <m/>
      </sharedItems>
    </cacheField>
    <cacheField name="INDICADOR" numFmtId="0">
      <sharedItems containsBlank="1" count="17">
        <s v="Saldos conciliados (todas as contas)"/>
        <s v="Total de Vendas do Mês "/>
        <s v="Total de recebimentos dentro do mês (conciliados)"/>
        <s v="Total de NF de fornecedores do mês"/>
        <s v="(Salários Liquido + Adiantamentos + Encargos)"/>
        <s v="Total de comissões do mês (Vendedores Externos)"/>
        <s v="Total de comissões do mês (Vendedores Internos)"/>
        <s v="Total de impostos pagos (ICMS + Simples Nacional)"/>
        <s v="Total de pagamentos conciliados"/>
        <s v="Receita total - deduções - custos e despesas variaveis "/>
        <s v="Lucro antes pagamento dívidas, investimentos e sócio"/>
        <s v="DRE gerencial simplificada"/>
        <s v="Maiores receita por cliente / total de vendas"/>
        <s v="Maiores despesas / total de saídas"/>
        <s v="Títulos vencidos/em atraso (quando houver)"/>
        <s v="Agenda financeira / contas a pagar futuras"/>
        <m/>
      </sharedItems>
    </cacheField>
    <cacheField name="META" numFmtId="0">
      <sharedItems containsNonDate="0" containsString="0" containsBlank="1"/>
    </cacheField>
    <cacheField name="VALOR" numFmtId="0">
      <sharedItems containsBlank="1" containsMixedTypes="1" containsNumber="1" minValue="3134.16" maxValue="1796497.92" count="15">
        <n v="99628.87"/>
        <n v="1796497.92"/>
        <n v="1667393.65"/>
        <n v="1301864.8799999999"/>
        <n v="59923.97"/>
        <n v="45081.64"/>
        <n v="3134.16"/>
        <n v="22416.49"/>
        <n v="1606536.6"/>
        <m/>
        <n v="326747.93"/>
        <n v="56091.59"/>
        <n v="152553.56"/>
        <n v="33949.54"/>
        <s v=""/>
      </sharedItems>
    </cacheField>
    <cacheField name="REPRES." numFmtId="0">
      <sharedItems containsNonDate="0" containsString="0" containsBlank="1"/>
    </cacheField>
    <cacheField name="ATING %" numFmtId="0">
      <sharedItems containsNonDate="0" containsString="0" containsBlank="1"/>
    </cacheField>
    <cacheField name="OBSERVAC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988929219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1.598860069447" createdVersion="6" refreshedVersion="6" minRefreshableVersion="3" recordCount="13" xr:uid="{048B04A1-DBC7-4188-889D-6DCEF7B9981A}">
  <cacheSource type="worksheet">
    <worksheetSource name="Tabela5"/>
  </cacheSource>
  <cacheFields count="4">
    <cacheField name="VENDEDOR" numFmtId="0">
      <sharedItems count="14">
        <s v="AMANDA"/>
        <s v="ANA"/>
        <s v="FLAVIO"/>
        <s v="GABRIEL"/>
        <s v="RODRIGO"/>
        <s v="RAFAEL"/>
        <s v="KARINY"/>
        <s v="IOLANDA"/>
        <s v="JULIA"/>
        <s v="JULIO CESAR"/>
        <s v="RENATO"/>
        <s v="SINIBALDO"/>
        <s v="VICTOR"/>
        <s v="IOLNDA" u="1"/>
      </sharedItems>
    </cacheField>
    <cacheField name="JANEIRO" numFmtId="167">
      <sharedItems containsSemiMixedTypes="0" containsString="0" containsNumber="1" minValue="4466.9799999999996" maxValue="621582.89"/>
    </cacheField>
    <cacheField name="FEVEREIRO" numFmtId="167">
      <sharedItems containsSemiMixedTypes="0" containsString="0" containsNumber="1" minValue="7893.42" maxValue="611361.09"/>
    </cacheField>
    <cacheField name="CRESCIMENTO" numFmtId="10">
      <sharedItems containsSemiMixedTypes="0" containsString="0" containsNumber="1" minValue="-0.18328032379858344" maxValue="3.1362130873521954"/>
    </cacheField>
  </cacheFields>
  <extLst>
    <ext xmlns:x14="http://schemas.microsoft.com/office/spreadsheetml/2009/9/main" uri="{725AE2AE-9491-48be-B2B4-4EB974FC3084}">
      <x14:pivotCacheDefinition pivotCacheId="2016210410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1.631799421295" createdVersion="6" refreshedVersion="6" minRefreshableVersion="3" recordCount="26" xr:uid="{60948242-0236-4D19-97B9-7B9E6DE3AFF8}">
  <cacheSource type="worksheet">
    <worksheetSource name="Tabela2"/>
  </cacheSource>
  <cacheFields count="7">
    <cacheField name="EQUIPE" numFmtId="0">
      <sharedItems count="4">
        <s v="TELEVENDAS"/>
        <s v="EXTERNO"/>
        <s v="MEDFACIL"/>
        <s v="DIRETORIA"/>
      </sharedItems>
    </cacheField>
    <cacheField name="MÊS" numFmtId="0">
      <sharedItems count="2">
        <s v="JANEIRO"/>
        <s v="FEVEREIRO"/>
      </sharedItems>
    </cacheField>
    <cacheField name="VENDEDOR" numFmtId="49">
      <sharedItems count="13">
        <s v="JULIA"/>
        <s v="ANA"/>
        <s v="AMANDA"/>
        <s v="JULIO CESAR"/>
        <s v="IOLNDA"/>
        <s v="GABRIEL"/>
        <s v="SINIBALDO"/>
        <s v="RENATO"/>
        <s v="FLAVIO"/>
        <s v="VICTOR"/>
        <s v="RAFAEL"/>
        <s v="RODRIGO"/>
        <s v="KARINY"/>
      </sharedItems>
    </cacheField>
    <cacheField name="FATURAMENTO" numFmtId="167">
      <sharedItems containsSemiMixedTypes="0" containsString="0" containsNumber="1" minValue="4466.9799999999996" maxValue="621582.89"/>
    </cacheField>
    <cacheField name="NOVOS CADASTROS " numFmtId="1">
      <sharedItems containsSemiMixedTypes="0" containsString="0" containsNumber="1" containsInteger="1" minValue="0" maxValue="11"/>
    </cacheField>
    <cacheField name="POSITIVADOS " numFmtId="1">
      <sharedItems containsSemiMixedTypes="0" containsString="0" containsNumber="1" containsInteger="1" minValue="0" maxValue="9"/>
    </cacheField>
    <cacheField name="% POSITIVACAO MÊS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 pivotCacheId="491604599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4.890655208335" createdVersion="6" refreshedVersion="6" minRefreshableVersion="3" recordCount="30" xr:uid="{6F3B019C-2C93-4DA0-BE7C-3C71899D8A2F}">
  <cacheSource type="worksheet">
    <worksheetSource name="Tabela7"/>
  </cacheSource>
  <cacheFields count="5">
    <cacheField name="MÊS" numFmtId="14">
      <sharedItems count="2">
        <s v="FEVEREIRO"/>
        <s v="MARÇO"/>
      </sharedItems>
    </cacheField>
    <cacheField name="INDICADOR" numFmtId="0">
      <sharedItems count="13">
        <s v="Caixa disponível"/>
        <s v="Faturamento Bruto (R$) 1520"/>
        <s v="Entradas totais do mês (R$) 1468 Receita Total"/>
        <s v="Compras totais do mês (R$)  1321"/>
        <s v="Impostos do Mês 1468"/>
        <s v="Saídas totais do mês (R$) 1136"/>
        <s v="Margem de Contribuição "/>
        <s v="Lucro liquido ( regime caixa) 1468"/>
        <s v="Resultado do mês (R$) 1468"/>
        <s v="Top 5 receitas do mês (R$ e %)"/>
        <s v="Top 5 despesas do mês (R$ e %)"/>
        <s v="Inadimplência / atrasos (R$ e qtde)"/>
        <s v="Compromissos do próximo mês (R$)"/>
      </sharedItems>
    </cacheField>
    <cacheField name="PREVISTO" numFmtId="44">
      <sharedItems containsString="0" containsBlank="1" containsNumber="1" minValue="0" maxValue="1667339.8"/>
    </cacheField>
    <cacheField name="REALIZADO" numFmtId="44">
      <sharedItems containsString="0" containsBlank="1" containsNumber="1" minValue="22416.49" maxValue="1796497.92"/>
    </cacheField>
    <cacheField name="PERCT %" numFmtId="10">
      <sharedItems containsSemiMixedTypes="0" containsString="0" containsNumber="1" minValue="0" maxValue="1.374169433801669"/>
    </cacheField>
  </cacheFields>
  <extLst>
    <ext xmlns:x14="http://schemas.microsoft.com/office/spreadsheetml/2009/9/main" uri="{725AE2AE-9491-48be-B2B4-4EB974FC3084}">
      <x14:pivotCacheDefinition pivotCacheId="18954970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x v="0"/>
    <x v="0"/>
    <x v="0"/>
    <x v="0"/>
    <x v="0"/>
    <x v="0"/>
    <n v="20"/>
    <x v="0"/>
    <x v="0"/>
    <x v="0"/>
    <x v="0"/>
    <d v="2025-12-31T00:00:00"/>
    <x v="0"/>
    <x v="0"/>
    <x v="0"/>
    <x v="0"/>
    <x v="0"/>
    <x v="0"/>
    <x v="0"/>
    <x v="0"/>
    <x v="0"/>
    <x v="0"/>
    <x v="0"/>
  </r>
  <r>
    <x v="0"/>
    <x v="0"/>
    <x v="1"/>
    <x v="1"/>
    <x v="0"/>
    <x v="1"/>
    <n v="14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0"/>
    <x v="2"/>
    <x v="0"/>
    <x v="0"/>
    <n v="1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2"/>
    <x v="3"/>
    <x v="0"/>
    <x v="2"/>
    <n v="11"/>
    <x v="0"/>
    <x v="0"/>
    <x v="2"/>
    <x v="0"/>
    <d v="2025-12-31T00:00:00"/>
    <x v="0"/>
    <x v="0"/>
    <x v="0"/>
    <x v="0"/>
    <x v="0"/>
    <x v="3"/>
    <x v="0"/>
    <x v="0"/>
    <x v="0"/>
    <x v="0"/>
    <x v="0"/>
  </r>
  <r>
    <x v="0"/>
    <x v="0"/>
    <x v="2"/>
    <x v="4"/>
    <x v="0"/>
    <x v="2"/>
    <n v="625"/>
    <x v="0"/>
    <x v="0"/>
    <x v="2"/>
    <x v="0"/>
    <d v="2025-12-31T00:00:00"/>
    <x v="0"/>
    <x v="0"/>
    <x v="0"/>
    <x v="0"/>
    <x v="0"/>
    <x v="3"/>
    <x v="0"/>
    <x v="0"/>
    <x v="0"/>
    <x v="0"/>
    <x v="0"/>
  </r>
  <r>
    <x v="0"/>
    <x v="0"/>
    <x v="3"/>
    <x v="5"/>
    <x v="0"/>
    <x v="3"/>
    <n v="27"/>
    <x v="0"/>
    <x v="0"/>
    <x v="3"/>
    <x v="0"/>
    <d v="2025-12-31T00:00:00"/>
    <x v="0"/>
    <x v="0"/>
    <x v="0"/>
    <x v="0"/>
    <x v="0"/>
    <x v="4"/>
    <x v="0"/>
    <x v="0"/>
    <x v="0"/>
    <x v="0"/>
    <x v="0"/>
  </r>
  <r>
    <x v="0"/>
    <x v="0"/>
    <x v="3"/>
    <x v="6"/>
    <x v="0"/>
    <x v="4"/>
    <n v="8"/>
    <x v="0"/>
    <x v="0"/>
    <x v="3"/>
    <x v="0"/>
    <d v="2026-01-02T00:00:00"/>
    <x v="0"/>
    <x v="0"/>
    <x v="0"/>
    <x v="0"/>
    <x v="0"/>
    <x v="5"/>
    <x v="0"/>
    <x v="0"/>
    <x v="0"/>
    <x v="0"/>
    <x v="0"/>
  </r>
  <r>
    <x v="0"/>
    <x v="0"/>
    <x v="4"/>
    <x v="7"/>
    <x v="0"/>
    <x v="5"/>
    <n v="5"/>
    <x v="0"/>
    <x v="0"/>
    <x v="4"/>
    <x v="0"/>
    <d v="2026-01-02T00:00:00"/>
    <x v="0"/>
    <x v="0"/>
    <x v="0"/>
    <x v="0"/>
    <x v="0"/>
    <x v="6"/>
    <x v="0"/>
    <x v="0"/>
    <x v="0"/>
    <x v="0"/>
    <x v="0"/>
  </r>
  <r>
    <x v="0"/>
    <x v="0"/>
    <x v="1"/>
    <x v="8"/>
    <x v="0"/>
    <x v="6"/>
    <n v="3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0"/>
    <x v="9"/>
    <x v="0"/>
    <x v="5"/>
    <n v="2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0"/>
    <x v="10"/>
    <x v="0"/>
    <x v="7"/>
    <n v="1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3"/>
    <x v="11"/>
    <x v="0"/>
    <x v="0"/>
    <n v="8"/>
    <x v="0"/>
    <x v="0"/>
    <x v="3"/>
    <x v="0"/>
    <d v="2026-01-02T00:00:00"/>
    <x v="0"/>
    <x v="0"/>
    <x v="0"/>
    <x v="0"/>
    <x v="0"/>
    <x v="5"/>
    <x v="0"/>
    <x v="0"/>
    <x v="0"/>
    <x v="0"/>
    <x v="0"/>
  </r>
  <r>
    <x v="0"/>
    <x v="0"/>
    <x v="5"/>
    <x v="12"/>
    <x v="0"/>
    <x v="0"/>
    <n v="3"/>
    <x v="0"/>
    <x v="0"/>
    <x v="5"/>
    <x v="0"/>
    <d v="2026-01-02T00:00:00"/>
    <x v="0"/>
    <x v="0"/>
    <x v="0"/>
    <x v="0"/>
    <x v="0"/>
    <x v="7"/>
    <x v="0"/>
    <x v="0"/>
    <x v="0"/>
    <x v="0"/>
    <x v="0"/>
  </r>
  <r>
    <x v="0"/>
    <x v="0"/>
    <x v="1"/>
    <x v="13"/>
    <x v="0"/>
    <x v="8"/>
    <n v="4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3"/>
    <x v="14"/>
    <x v="0"/>
    <x v="9"/>
    <n v="28"/>
    <x v="0"/>
    <x v="1"/>
    <x v="3"/>
    <x v="1"/>
    <d v="2026-01-05T00:00:00"/>
    <x v="1"/>
    <x v="1"/>
    <x v="1"/>
    <x v="1"/>
    <x v="1"/>
    <x v="7"/>
    <x v="0"/>
    <x v="0"/>
    <x v="0"/>
    <x v="1"/>
    <x v="0"/>
  </r>
  <r>
    <x v="0"/>
    <x v="0"/>
    <x v="1"/>
    <x v="15"/>
    <x v="0"/>
    <x v="1"/>
    <n v="73"/>
    <x v="0"/>
    <x v="0"/>
    <x v="1"/>
    <x v="1"/>
    <d v="2026-01-05T00:00:00"/>
    <x v="1"/>
    <x v="1"/>
    <x v="0"/>
    <x v="0"/>
    <x v="0"/>
    <x v="6"/>
    <x v="1"/>
    <x v="1"/>
    <x v="1"/>
    <x v="0"/>
    <x v="0"/>
  </r>
  <r>
    <x v="0"/>
    <x v="0"/>
    <x v="0"/>
    <x v="16"/>
    <x v="1"/>
    <x v="10"/>
    <n v="2"/>
    <x v="0"/>
    <x v="0"/>
    <x v="6"/>
    <x v="0"/>
    <d v="2026-01-05T00:00:00"/>
    <x v="0"/>
    <x v="0"/>
    <x v="0"/>
    <x v="0"/>
    <x v="0"/>
    <x v="8"/>
    <x v="0"/>
    <x v="0"/>
    <x v="0"/>
    <x v="0"/>
    <x v="0"/>
  </r>
  <r>
    <x v="0"/>
    <x v="0"/>
    <x v="6"/>
    <x v="17"/>
    <x v="1"/>
    <x v="11"/>
    <n v="55"/>
    <x v="0"/>
    <x v="2"/>
    <x v="0"/>
    <x v="1"/>
    <d v="2026-01-08T00:00:00"/>
    <x v="1"/>
    <x v="1"/>
    <x v="1"/>
    <x v="1"/>
    <x v="1"/>
    <x v="8"/>
    <x v="0"/>
    <x v="0"/>
    <x v="0"/>
    <x v="1"/>
    <x v="0"/>
  </r>
  <r>
    <x v="0"/>
    <x v="0"/>
    <x v="4"/>
    <x v="18"/>
    <x v="2"/>
    <x v="12"/>
    <n v="15"/>
    <x v="0"/>
    <x v="1"/>
    <x v="2"/>
    <x v="2"/>
    <d v="2026-01-12T00:00:00"/>
    <x v="1"/>
    <x v="1"/>
    <x v="1"/>
    <x v="1"/>
    <x v="1"/>
    <x v="9"/>
    <x v="0"/>
    <x v="0"/>
    <x v="0"/>
    <x v="1"/>
    <x v="0"/>
  </r>
  <r>
    <x v="0"/>
    <x v="0"/>
    <x v="7"/>
    <x v="19"/>
    <x v="0"/>
    <x v="6"/>
    <n v="41"/>
    <x v="0"/>
    <x v="0"/>
    <x v="7"/>
    <x v="1"/>
    <d v="2026-01-05T00:00:00"/>
    <x v="1"/>
    <x v="1"/>
    <x v="0"/>
    <x v="0"/>
    <x v="0"/>
    <x v="5"/>
    <x v="0"/>
    <x v="0"/>
    <x v="0"/>
    <x v="0"/>
    <x v="0"/>
  </r>
  <r>
    <x v="0"/>
    <x v="0"/>
    <x v="8"/>
    <x v="20"/>
    <x v="1"/>
    <x v="13"/>
    <n v="1"/>
    <x v="0"/>
    <x v="0"/>
    <x v="7"/>
    <x v="0"/>
    <d v="2026-01-05T00:00:00"/>
    <x v="0"/>
    <x v="0"/>
    <x v="0"/>
    <x v="0"/>
    <x v="0"/>
    <x v="0"/>
    <x v="0"/>
    <x v="0"/>
    <x v="0"/>
    <x v="0"/>
    <x v="0"/>
  </r>
  <r>
    <x v="0"/>
    <x v="0"/>
    <x v="8"/>
    <x v="21"/>
    <x v="1"/>
    <x v="14"/>
    <n v="1"/>
    <x v="0"/>
    <x v="0"/>
    <x v="7"/>
    <x v="3"/>
    <d v="2026-01-07T00:00:00"/>
    <x v="1"/>
    <x v="1"/>
    <x v="0"/>
    <x v="0"/>
    <x v="0"/>
    <x v="2"/>
    <x v="0"/>
    <x v="0"/>
    <x v="0"/>
    <x v="0"/>
    <x v="0"/>
  </r>
  <r>
    <x v="0"/>
    <x v="0"/>
    <x v="6"/>
    <x v="22"/>
    <x v="1"/>
    <x v="1"/>
    <n v="23"/>
    <x v="0"/>
    <x v="0"/>
    <x v="0"/>
    <x v="3"/>
    <d v="2026-01-07T00:00:00"/>
    <x v="1"/>
    <x v="1"/>
    <x v="0"/>
    <x v="0"/>
    <x v="0"/>
    <x v="1"/>
    <x v="0"/>
    <x v="0"/>
    <x v="0"/>
    <x v="0"/>
    <x v="0"/>
  </r>
  <r>
    <x v="0"/>
    <x v="0"/>
    <x v="3"/>
    <x v="23"/>
    <x v="1"/>
    <x v="15"/>
    <n v="30"/>
    <x v="0"/>
    <x v="0"/>
    <x v="5"/>
    <x v="3"/>
    <d v="2026-01-07T00:00:00"/>
    <x v="1"/>
    <x v="1"/>
    <x v="0"/>
    <x v="0"/>
    <x v="0"/>
    <x v="10"/>
    <x v="0"/>
    <x v="0"/>
    <x v="0"/>
    <x v="0"/>
    <x v="0"/>
  </r>
  <r>
    <x v="0"/>
    <x v="0"/>
    <x v="3"/>
    <x v="24"/>
    <x v="1"/>
    <x v="16"/>
    <n v="3"/>
    <x v="0"/>
    <x v="0"/>
    <x v="5"/>
    <x v="3"/>
    <d v="2026-01-07T00:00:00"/>
    <x v="1"/>
    <x v="1"/>
    <x v="0"/>
    <x v="0"/>
    <x v="0"/>
    <x v="10"/>
    <x v="0"/>
    <x v="0"/>
    <x v="0"/>
    <x v="0"/>
    <x v="0"/>
  </r>
  <r>
    <x v="0"/>
    <x v="0"/>
    <x v="7"/>
    <x v="25"/>
    <x v="1"/>
    <x v="12"/>
    <n v="5"/>
    <x v="0"/>
    <x v="0"/>
    <x v="3"/>
    <x v="3"/>
    <d v="2026-01-07T00:00:00"/>
    <x v="1"/>
    <x v="1"/>
    <x v="0"/>
    <x v="0"/>
    <x v="0"/>
    <x v="8"/>
    <x v="0"/>
    <x v="0"/>
    <x v="0"/>
    <x v="0"/>
    <x v="0"/>
  </r>
  <r>
    <x v="0"/>
    <x v="0"/>
    <x v="0"/>
    <x v="26"/>
    <x v="1"/>
    <x v="17"/>
    <n v="11"/>
    <x v="0"/>
    <x v="0"/>
    <x v="6"/>
    <x v="0"/>
    <d v="2026-01-05T00:00:00"/>
    <x v="0"/>
    <x v="0"/>
    <x v="0"/>
    <x v="0"/>
    <x v="0"/>
    <x v="8"/>
    <x v="0"/>
    <x v="0"/>
    <x v="0"/>
    <x v="0"/>
    <x v="0"/>
  </r>
  <r>
    <x v="0"/>
    <x v="0"/>
    <x v="7"/>
    <x v="27"/>
    <x v="2"/>
    <x v="5"/>
    <n v="1"/>
    <x v="0"/>
    <x v="0"/>
    <x v="1"/>
    <x v="3"/>
    <d v="2026-01-08T00:00:00"/>
    <x v="1"/>
    <x v="1"/>
    <x v="0"/>
    <x v="0"/>
    <x v="0"/>
    <x v="7"/>
    <x v="0"/>
    <x v="0"/>
    <x v="0"/>
    <x v="0"/>
    <x v="0"/>
  </r>
  <r>
    <x v="0"/>
    <x v="0"/>
    <x v="8"/>
    <x v="28"/>
    <x v="2"/>
    <x v="5"/>
    <n v="7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29"/>
    <x v="2"/>
    <x v="18"/>
    <n v="20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0"/>
    <x v="2"/>
    <x v="18"/>
    <n v="14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1"/>
    <x v="2"/>
    <x v="5"/>
    <n v="2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9"/>
    <x v="32"/>
    <x v="3"/>
    <x v="19"/>
    <n v="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3"/>
    <x v="33"/>
    <x v="2"/>
    <x v="20"/>
    <n v="3"/>
    <x v="0"/>
    <x v="0"/>
    <x v="4"/>
    <x v="3"/>
    <d v="2026-01-08T00:00:00"/>
    <x v="1"/>
    <x v="1"/>
    <x v="0"/>
    <x v="0"/>
    <x v="0"/>
    <x v="3"/>
    <x v="0"/>
    <x v="0"/>
    <x v="0"/>
    <x v="0"/>
    <x v="0"/>
  </r>
  <r>
    <x v="0"/>
    <x v="0"/>
    <x v="9"/>
    <x v="34"/>
    <x v="3"/>
    <x v="21"/>
    <n v="4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9"/>
    <x v="35"/>
    <x v="3"/>
    <x v="21"/>
    <n v="10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7"/>
    <x v="36"/>
    <x v="2"/>
    <x v="16"/>
    <n v="11"/>
    <x v="0"/>
    <x v="0"/>
    <x v="1"/>
    <x v="3"/>
    <d v="2026-01-08T00:00:00"/>
    <x v="1"/>
    <x v="1"/>
    <x v="0"/>
    <x v="0"/>
    <x v="0"/>
    <x v="7"/>
    <x v="0"/>
    <x v="0"/>
    <x v="0"/>
    <x v="0"/>
    <x v="0"/>
  </r>
  <r>
    <x v="0"/>
    <x v="0"/>
    <x v="8"/>
    <x v="37"/>
    <x v="2"/>
    <x v="21"/>
    <n v="10"/>
    <x v="0"/>
    <x v="2"/>
    <x v="8"/>
    <x v="3"/>
    <d v="2026-01-08T00:00:00"/>
    <x v="1"/>
    <x v="1"/>
    <x v="1"/>
    <x v="1"/>
    <x v="1"/>
    <x v="5"/>
    <x v="0"/>
    <x v="0"/>
    <x v="0"/>
    <x v="0"/>
    <x v="0"/>
  </r>
  <r>
    <x v="0"/>
    <x v="0"/>
    <x v="8"/>
    <x v="38"/>
    <x v="2"/>
    <x v="4"/>
    <n v="1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9"/>
    <x v="2"/>
    <x v="22"/>
    <n v="13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9"/>
    <x v="40"/>
    <x v="3"/>
    <x v="23"/>
    <n v="7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3"/>
    <x v="41"/>
    <x v="3"/>
    <x v="24"/>
    <n v="9"/>
    <x v="0"/>
    <x v="0"/>
    <x v="9"/>
    <x v="4"/>
    <d v="2026-01-08T00:00:00"/>
    <x v="1"/>
    <x v="1"/>
    <x v="0"/>
    <x v="0"/>
    <x v="0"/>
    <x v="3"/>
    <x v="0"/>
    <x v="0"/>
    <x v="0"/>
    <x v="0"/>
    <x v="0"/>
  </r>
  <r>
    <x v="0"/>
    <x v="0"/>
    <x v="10"/>
    <x v="42"/>
    <x v="4"/>
    <x v="21"/>
    <n v="10"/>
    <x v="0"/>
    <x v="2"/>
    <x v="7"/>
    <x v="5"/>
    <d v="2026-01-12T00:00:00"/>
    <x v="1"/>
    <x v="1"/>
    <x v="1"/>
    <x v="1"/>
    <x v="1"/>
    <x v="1"/>
    <x v="0"/>
    <x v="0"/>
    <x v="0"/>
    <x v="0"/>
    <x v="0"/>
  </r>
  <r>
    <x v="0"/>
    <x v="0"/>
    <x v="8"/>
    <x v="43"/>
    <x v="3"/>
    <x v="25"/>
    <n v="34"/>
    <x v="0"/>
    <x v="0"/>
    <x v="0"/>
    <x v="4"/>
    <d v="2026-01-08T00:00:00"/>
    <x v="1"/>
    <x v="1"/>
    <x v="0"/>
    <x v="0"/>
    <x v="0"/>
    <x v="5"/>
    <x v="0"/>
    <x v="0"/>
    <x v="0"/>
    <x v="0"/>
    <x v="0"/>
  </r>
  <r>
    <x v="0"/>
    <x v="0"/>
    <x v="4"/>
    <x v="44"/>
    <x v="3"/>
    <x v="26"/>
    <n v="5"/>
    <x v="0"/>
    <x v="3"/>
    <x v="10"/>
    <x v="4"/>
    <d v="2026-01-08T00:00:00"/>
    <x v="1"/>
    <x v="1"/>
    <x v="1"/>
    <x v="1"/>
    <x v="1"/>
    <x v="11"/>
    <x v="0"/>
    <x v="0"/>
    <x v="0"/>
    <x v="0"/>
    <x v="0"/>
  </r>
  <r>
    <x v="0"/>
    <x v="0"/>
    <x v="7"/>
    <x v="45"/>
    <x v="3"/>
    <x v="20"/>
    <n v="9"/>
    <x v="0"/>
    <x v="0"/>
    <x v="6"/>
    <x v="4"/>
    <d v="2026-01-08T00:00:00"/>
    <x v="1"/>
    <x v="1"/>
    <x v="0"/>
    <x v="0"/>
    <x v="0"/>
    <x v="7"/>
    <x v="0"/>
    <x v="0"/>
    <x v="0"/>
    <x v="0"/>
    <x v="0"/>
  </r>
  <r>
    <x v="0"/>
    <x v="0"/>
    <x v="9"/>
    <x v="46"/>
    <x v="3"/>
    <x v="27"/>
    <n v="1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0"/>
    <x v="47"/>
    <x v="2"/>
    <x v="21"/>
    <n v="5"/>
    <x v="0"/>
    <x v="0"/>
    <x v="5"/>
    <x v="2"/>
    <d v="2026-01-12T00:00:00"/>
    <x v="1"/>
    <x v="1"/>
    <x v="0"/>
    <x v="0"/>
    <x v="0"/>
    <x v="12"/>
    <x v="0"/>
    <x v="0"/>
    <x v="0"/>
    <x v="0"/>
    <x v="0"/>
  </r>
  <r>
    <x v="0"/>
    <x v="0"/>
    <x v="8"/>
    <x v="48"/>
    <x v="1"/>
    <x v="3"/>
    <n v="4"/>
    <x v="0"/>
    <x v="0"/>
    <x v="7"/>
    <x v="3"/>
    <d v="2026-01-07T00:00:00"/>
    <x v="1"/>
    <x v="1"/>
    <x v="0"/>
    <x v="0"/>
    <x v="0"/>
    <x v="2"/>
    <x v="0"/>
    <x v="0"/>
    <x v="0"/>
    <x v="0"/>
    <x v="0"/>
  </r>
  <r>
    <x v="0"/>
    <x v="0"/>
    <x v="9"/>
    <x v="49"/>
    <x v="3"/>
    <x v="28"/>
    <n v="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8"/>
    <x v="50"/>
    <x v="4"/>
    <x v="10"/>
    <n v="6"/>
    <x v="0"/>
    <x v="0"/>
    <x v="3"/>
    <x v="4"/>
    <d v="2026-01-09T00:00:00"/>
    <x v="1"/>
    <x v="1"/>
    <x v="0"/>
    <x v="0"/>
    <x v="0"/>
    <x v="1"/>
    <x v="0"/>
    <x v="0"/>
    <x v="0"/>
    <x v="0"/>
    <x v="0"/>
  </r>
  <r>
    <x v="0"/>
    <x v="0"/>
    <x v="8"/>
    <x v="51"/>
    <x v="4"/>
    <x v="16"/>
    <n v="240"/>
    <x v="0"/>
    <x v="0"/>
    <x v="3"/>
    <x v="4"/>
    <d v="2026-01-09T00:00:00"/>
    <x v="1"/>
    <x v="1"/>
    <x v="0"/>
    <x v="0"/>
    <x v="0"/>
    <x v="1"/>
    <x v="0"/>
    <x v="0"/>
    <x v="0"/>
    <x v="0"/>
    <x v="0"/>
  </r>
  <r>
    <x v="0"/>
    <x v="0"/>
    <x v="11"/>
    <x v="52"/>
    <x v="4"/>
    <x v="29"/>
    <n v="3"/>
    <x v="0"/>
    <x v="0"/>
    <x v="11"/>
    <x v="2"/>
    <d v="2026-01-14T00:00:00"/>
    <x v="1"/>
    <x v="1"/>
    <x v="0"/>
    <x v="0"/>
    <x v="0"/>
    <x v="13"/>
    <x v="0"/>
    <x v="0"/>
    <x v="0"/>
    <x v="0"/>
    <x v="0"/>
  </r>
  <r>
    <x v="0"/>
    <x v="0"/>
    <x v="10"/>
    <x v="53"/>
    <x v="5"/>
    <x v="30"/>
    <n v="128"/>
    <x v="0"/>
    <x v="4"/>
    <x v="8"/>
    <x v="0"/>
    <d v="2026-01-09T00:00:00"/>
    <x v="0"/>
    <x v="0"/>
    <x v="1"/>
    <x v="1"/>
    <x v="1"/>
    <x v="4"/>
    <x v="0"/>
    <x v="0"/>
    <x v="0"/>
    <x v="0"/>
    <x v="0"/>
  </r>
  <r>
    <x v="0"/>
    <x v="0"/>
    <x v="10"/>
    <x v="54"/>
    <x v="4"/>
    <x v="21"/>
    <n v="5"/>
    <x v="0"/>
    <x v="0"/>
    <x v="7"/>
    <x v="5"/>
    <d v="2026-01-12T00:00:00"/>
    <x v="1"/>
    <x v="1"/>
    <x v="0"/>
    <x v="0"/>
    <x v="0"/>
    <x v="1"/>
    <x v="0"/>
    <x v="0"/>
    <x v="0"/>
    <x v="0"/>
    <x v="0"/>
  </r>
  <r>
    <x v="0"/>
    <x v="1"/>
    <x v="12"/>
    <x v="55"/>
    <x v="6"/>
    <x v="22"/>
    <n v="2"/>
    <x v="0"/>
    <x v="0"/>
    <x v="0"/>
    <x v="0"/>
    <d v="2026-01-16T00:00:00"/>
    <x v="0"/>
    <x v="0"/>
    <x v="0"/>
    <x v="0"/>
    <x v="0"/>
    <x v="2"/>
    <x v="0"/>
    <x v="0"/>
    <x v="0"/>
    <x v="0"/>
    <x v="0"/>
  </r>
  <r>
    <x v="0"/>
    <x v="1"/>
    <x v="13"/>
    <x v="56"/>
    <x v="7"/>
    <x v="22"/>
    <n v="2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57"/>
    <x v="7"/>
    <x v="22"/>
    <n v="1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58"/>
    <x v="8"/>
    <x v="31"/>
    <n v="17"/>
    <x v="0"/>
    <x v="0"/>
    <x v="7"/>
    <x v="4"/>
    <d v="2026-01-13T00:00:00"/>
    <x v="1"/>
    <x v="1"/>
    <x v="0"/>
    <x v="0"/>
    <x v="0"/>
    <x v="4"/>
    <x v="0"/>
    <x v="0"/>
    <x v="0"/>
    <x v="0"/>
    <x v="0"/>
  </r>
  <r>
    <x v="0"/>
    <x v="1"/>
    <x v="13"/>
    <x v="59"/>
    <x v="7"/>
    <x v="28"/>
    <n v="4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60"/>
    <x v="7"/>
    <x v="28"/>
    <n v="1"/>
    <x v="0"/>
    <x v="0"/>
    <x v="8"/>
    <x v="4"/>
    <d v="2026-01-14T00:00:00"/>
    <x v="1"/>
    <x v="1"/>
    <x v="0"/>
    <x v="0"/>
    <x v="0"/>
    <x v="2"/>
    <x v="0"/>
    <x v="0"/>
    <x v="0"/>
    <x v="0"/>
    <x v="0"/>
  </r>
  <r>
    <x v="0"/>
    <x v="1"/>
    <x v="12"/>
    <x v="61"/>
    <x v="7"/>
    <x v="0"/>
    <n v="1"/>
    <x v="0"/>
    <x v="0"/>
    <x v="12"/>
    <x v="3"/>
    <d v="2026-01-15T00:00:00"/>
    <x v="1"/>
    <x v="1"/>
    <x v="0"/>
    <x v="0"/>
    <x v="0"/>
    <x v="4"/>
    <x v="0"/>
    <x v="0"/>
    <x v="0"/>
    <x v="0"/>
    <x v="0"/>
  </r>
  <r>
    <x v="0"/>
    <x v="1"/>
    <x v="14"/>
    <x v="62"/>
    <x v="6"/>
    <x v="32"/>
    <n v="2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3"/>
    <x v="6"/>
    <x v="22"/>
    <n v="1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4"/>
    <x v="6"/>
    <x v="25"/>
    <n v="2"/>
    <x v="0"/>
    <x v="0"/>
    <x v="8"/>
    <x v="0"/>
    <d v="2026-01-16T00:00:00"/>
    <x v="0"/>
    <x v="0"/>
    <x v="0"/>
    <x v="0"/>
    <x v="0"/>
    <x v="4"/>
    <x v="2"/>
    <x v="2"/>
    <x v="2"/>
    <x v="0"/>
    <x v="0"/>
  </r>
  <r>
    <x v="0"/>
    <x v="1"/>
    <x v="12"/>
    <x v="65"/>
    <x v="6"/>
    <x v="18"/>
    <n v="40"/>
    <x v="0"/>
    <x v="0"/>
    <x v="0"/>
    <x v="0"/>
    <d v="2026-01-15T00:00:00"/>
    <x v="0"/>
    <x v="0"/>
    <x v="0"/>
    <x v="0"/>
    <x v="0"/>
    <x v="4"/>
    <x v="0"/>
    <x v="0"/>
    <x v="0"/>
    <x v="0"/>
    <x v="0"/>
  </r>
  <r>
    <x v="0"/>
    <x v="1"/>
    <x v="14"/>
    <x v="66"/>
    <x v="6"/>
    <x v="23"/>
    <n v="8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7"/>
    <x v="6"/>
    <x v="25"/>
    <n v="1"/>
    <x v="0"/>
    <x v="5"/>
    <x v="8"/>
    <x v="0"/>
    <d v="2026-01-16T00:00:00"/>
    <x v="0"/>
    <x v="0"/>
    <x v="1"/>
    <x v="1"/>
    <x v="1"/>
    <x v="4"/>
    <x v="0"/>
    <x v="0"/>
    <x v="0"/>
    <x v="0"/>
    <x v="0"/>
  </r>
  <r>
    <x v="0"/>
    <x v="1"/>
    <x v="14"/>
    <x v="68"/>
    <x v="6"/>
    <x v="5"/>
    <n v="1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2"/>
    <x v="69"/>
    <x v="6"/>
    <x v="33"/>
    <n v="9"/>
    <x v="0"/>
    <x v="0"/>
    <x v="0"/>
    <x v="0"/>
    <d v="2026-01-16T00:00:00"/>
    <x v="0"/>
    <x v="0"/>
    <x v="0"/>
    <x v="0"/>
    <x v="0"/>
    <x v="2"/>
    <x v="0"/>
    <x v="0"/>
    <x v="0"/>
    <x v="0"/>
    <x v="0"/>
  </r>
  <r>
    <x v="0"/>
    <x v="1"/>
    <x v="15"/>
    <x v="70"/>
    <x v="6"/>
    <x v="20"/>
    <n v="1"/>
    <x v="0"/>
    <x v="0"/>
    <x v="7"/>
    <x v="0"/>
    <d v="2026-01-16T00:00:00"/>
    <x v="0"/>
    <x v="0"/>
    <x v="0"/>
    <x v="0"/>
    <x v="0"/>
    <x v="0"/>
    <x v="0"/>
    <x v="0"/>
    <x v="0"/>
    <x v="0"/>
    <x v="0"/>
  </r>
  <r>
    <x v="0"/>
    <x v="1"/>
    <x v="14"/>
    <x v="71"/>
    <x v="6"/>
    <x v="12"/>
    <n v="2"/>
    <x v="0"/>
    <x v="0"/>
    <x v="8"/>
    <x v="0"/>
    <d v="2026-01-16T00:00:00"/>
    <x v="0"/>
    <x v="0"/>
    <x v="0"/>
    <x v="0"/>
    <x v="0"/>
    <x v="4"/>
    <x v="1"/>
    <x v="2"/>
    <x v="1"/>
    <x v="0"/>
    <x v="0"/>
  </r>
  <r>
    <x v="0"/>
    <x v="2"/>
    <x v="16"/>
    <x v="72"/>
    <x v="9"/>
    <x v="34"/>
    <n v="12"/>
    <x v="0"/>
    <x v="0"/>
    <x v="0"/>
    <x v="0"/>
    <d v="2026-01-19T00:00:00"/>
    <x v="0"/>
    <x v="0"/>
    <x v="0"/>
    <x v="0"/>
    <x v="0"/>
    <x v="2"/>
    <x v="0"/>
    <x v="0"/>
    <x v="0"/>
    <x v="0"/>
    <x v="0"/>
  </r>
  <r>
    <x v="0"/>
    <x v="1"/>
    <x v="12"/>
    <x v="73"/>
    <x v="10"/>
    <x v="19"/>
    <n v="1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0"/>
    <x v="1"/>
    <x v="14"/>
    <x v="74"/>
    <x v="10"/>
    <x v="0"/>
    <n v="1"/>
    <x v="0"/>
    <x v="2"/>
    <x v="7"/>
    <x v="0"/>
    <d v="2026-01-15T00:00:00"/>
    <x v="0"/>
    <x v="0"/>
    <x v="1"/>
    <x v="1"/>
    <x v="1"/>
    <x v="0"/>
    <x v="0"/>
    <x v="0"/>
    <x v="0"/>
    <x v="0"/>
    <x v="0"/>
  </r>
  <r>
    <x v="0"/>
    <x v="1"/>
    <x v="12"/>
    <x v="75"/>
    <x v="10"/>
    <x v="3"/>
    <n v="50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0"/>
    <x v="1"/>
    <x v="17"/>
    <x v="76"/>
    <x v="11"/>
    <x v="17"/>
    <n v="5"/>
    <x v="0"/>
    <x v="0"/>
    <x v="8"/>
    <x v="4"/>
    <d v="2026-01-15T00:00:00"/>
    <x v="1"/>
    <x v="1"/>
    <x v="0"/>
    <x v="0"/>
    <x v="0"/>
    <x v="2"/>
    <x v="0"/>
    <x v="0"/>
    <x v="0"/>
    <x v="0"/>
    <x v="0"/>
  </r>
  <r>
    <x v="0"/>
    <x v="1"/>
    <x v="17"/>
    <x v="77"/>
    <x v="11"/>
    <x v="17"/>
    <n v="10"/>
    <x v="0"/>
    <x v="0"/>
    <x v="8"/>
    <x v="6"/>
    <d v="2026-01-19T00:00:00"/>
    <x v="1"/>
    <x v="1"/>
    <x v="0"/>
    <x v="0"/>
    <x v="0"/>
    <x v="7"/>
    <x v="0"/>
    <x v="0"/>
    <x v="0"/>
    <x v="0"/>
    <x v="0"/>
  </r>
  <r>
    <x v="0"/>
    <x v="1"/>
    <x v="17"/>
    <x v="78"/>
    <x v="11"/>
    <x v="17"/>
    <n v="39"/>
    <x v="0"/>
    <x v="0"/>
    <x v="8"/>
    <x v="4"/>
    <d v="2026-01-15T00:00:00"/>
    <x v="1"/>
    <x v="1"/>
    <x v="0"/>
    <x v="0"/>
    <x v="0"/>
    <x v="2"/>
    <x v="0"/>
    <x v="0"/>
    <x v="0"/>
    <x v="0"/>
    <x v="0"/>
  </r>
  <r>
    <x v="0"/>
    <x v="1"/>
    <x v="14"/>
    <x v="79"/>
    <x v="11"/>
    <x v="17"/>
    <n v="15"/>
    <x v="0"/>
    <x v="0"/>
    <x v="12"/>
    <x v="6"/>
    <d v="2026-01-19T00:00:00"/>
    <x v="1"/>
    <x v="1"/>
    <x v="0"/>
    <x v="0"/>
    <x v="0"/>
    <x v="1"/>
    <x v="0"/>
    <x v="0"/>
    <x v="0"/>
    <x v="0"/>
    <x v="0"/>
  </r>
  <r>
    <x v="0"/>
    <x v="1"/>
    <x v="12"/>
    <x v="80"/>
    <x v="10"/>
    <x v="21"/>
    <n v="1"/>
    <x v="0"/>
    <x v="0"/>
    <x v="8"/>
    <x v="4"/>
    <d v="2026-01-16T00:00:00"/>
    <x v="1"/>
    <x v="1"/>
    <x v="0"/>
    <x v="0"/>
    <x v="0"/>
    <x v="2"/>
    <x v="0"/>
    <x v="0"/>
    <x v="0"/>
    <x v="0"/>
    <x v="0"/>
  </r>
  <r>
    <x v="0"/>
    <x v="1"/>
    <x v="17"/>
    <x v="81"/>
    <x v="10"/>
    <x v="4"/>
    <n v="16"/>
    <x v="0"/>
    <x v="0"/>
    <x v="0"/>
    <x v="0"/>
    <d v="2026-01-15T00:00:00"/>
    <x v="0"/>
    <x v="0"/>
    <x v="0"/>
    <x v="0"/>
    <x v="0"/>
    <x v="2"/>
    <x v="0"/>
    <x v="0"/>
    <x v="0"/>
    <x v="0"/>
    <x v="0"/>
  </r>
  <r>
    <x v="0"/>
    <x v="1"/>
    <x v="9"/>
    <x v="82"/>
    <x v="11"/>
    <x v="35"/>
    <n v="30"/>
    <x v="0"/>
    <x v="0"/>
    <x v="4"/>
    <x v="0"/>
    <d v="2026-01-14T00:00:00"/>
    <x v="0"/>
    <x v="0"/>
    <x v="0"/>
    <x v="0"/>
    <x v="0"/>
    <x v="6"/>
    <x v="0"/>
    <x v="0"/>
    <x v="0"/>
    <x v="0"/>
    <x v="0"/>
  </r>
  <r>
    <x v="0"/>
    <x v="1"/>
    <x v="14"/>
    <x v="83"/>
    <x v="10"/>
    <x v="28"/>
    <n v="6"/>
    <x v="0"/>
    <x v="0"/>
    <x v="7"/>
    <x v="0"/>
    <d v="2026-01-15T00:00:00"/>
    <x v="0"/>
    <x v="0"/>
    <x v="0"/>
    <x v="0"/>
    <x v="0"/>
    <x v="0"/>
    <x v="0"/>
    <x v="0"/>
    <x v="0"/>
    <x v="0"/>
    <x v="0"/>
  </r>
  <r>
    <x v="0"/>
    <x v="1"/>
    <x v="17"/>
    <x v="84"/>
    <x v="11"/>
    <x v="21"/>
    <n v="10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3"/>
    <x v="85"/>
    <x v="11"/>
    <x v="36"/>
    <n v="8"/>
    <x v="0"/>
    <x v="0"/>
    <x v="0"/>
    <x v="0"/>
    <d v="2026-01-14T00:00:00"/>
    <x v="0"/>
    <x v="0"/>
    <x v="0"/>
    <x v="0"/>
    <x v="0"/>
    <x v="2"/>
    <x v="0"/>
    <x v="0"/>
    <x v="0"/>
    <x v="0"/>
    <x v="0"/>
  </r>
  <r>
    <x v="0"/>
    <x v="1"/>
    <x v="17"/>
    <x v="86"/>
    <x v="11"/>
    <x v="33"/>
    <n v="4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7"/>
    <x v="11"/>
    <x v="32"/>
    <n v="2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8"/>
    <x v="11"/>
    <x v="32"/>
    <n v="1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9"/>
    <x v="11"/>
    <x v="32"/>
    <n v="1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8"/>
    <x v="90"/>
    <x v="11"/>
    <x v="24"/>
    <n v="1"/>
    <x v="0"/>
    <x v="0"/>
    <x v="13"/>
    <x v="0"/>
    <d v="2026-01-14T00:00:00"/>
    <x v="0"/>
    <x v="0"/>
    <x v="0"/>
    <x v="0"/>
    <x v="0"/>
    <x v="14"/>
    <x v="0"/>
    <x v="0"/>
    <x v="0"/>
    <x v="0"/>
    <x v="0"/>
  </r>
  <r>
    <x v="0"/>
    <x v="1"/>
    <x v="19"/>
    <x v="91"/>
    <x v="11"/>
    <x v="6"/>
    <n v="58"/>
    <x v="0"/>
    <x v="0"/>
    <x v="14"/>
    <x v="4"/>
    <d v="2026-01-15T00:00:00"/>
    <x v="1"/>
    <x v="1"/>
    <x v="0"/>
    <x v="0"/>
    <x v="0"/>
    <x v="15"/>
    <x v="0"/>
    <x v="0"/>
    <x v="0"/>
    <x v="0"/>
    <x v="0"/>
  </r>
  <r>
    <x v="0"/>
    <x v="1"/>
    <x v="17"/>
    <x v="92"/>
    <x v="11"/>
    <x v="37"/>
    <n v="6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93"/>
    <x v="11"/>
    <x v="38"/>
    <n v="2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2"/>
    <x v="94"/>
    <x v="10"/>
    <x v="0"/>
    <n v="1"/>
    <x v="0"/>
    <x v="0"/>
    <x v="8"/>
    <x v="0"/>
    <d v="2026-01-15T00:00:00"/>
    <x v="0"/>
    <x v="0"/>
    <x v="0"/>
    <x v="0"/>
    <x v="0"/>
    <x v="4"/>
    <x v="1"/>
    <x v="2"/>
    <x v="1"/>
    <x v="0"/>
    <x v="0"/>
  </r>
  <r>
    <x v="0"/>
    <x v="1"/>
    <x v="12"/>
    <x v="95"/>
    <x v="10"/>
    <x v="0"/>
    <n v="100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1"/>
    <x v="0"/>
    <x v="20"/>
    <x v="96"/>
    <x v="12"/>
    <x v="16"/>
    <n v="2"/>
    <x v="0"/>
    <x v="0"/>
    <x v="6"/>
    <x v="0"/>
    <d v="2026-02-02T00:00:00"/>
    <x v="0"/>
    <x v="0"/>
    <x v="0"/>
    <x v="0"/>
    <x v="0"/>
    <x v="8"/>
    <x v="0"/>
    <x v="0"/>
    <x v="0"/>
    <x v="0"/>
    <x v="1"/>
  </r>
  <r>
    <x v="1"/>
    <x v="0"/>
    <x v="21"/>
    <x v="97"/>
    <x v="12"/>
    <x v="5"/>
    <n v="8"/>
    <x v="0"/>
    <x v="0"/>
    <x v="3"/>
    <x v="0"/>
    <d v="2026-02-02T00:00:00"/>
    <x v="0"/>
    <x v="0"/>
    <x v="0"/>
    <x v="0"/>
    <x v="0"/>
    <x v="5"/>
    <x v="0"/>
    <x v="0"/>
    <x v="0"/>
    <x v="0"/>
    <x v="1"/>
  </r>
  <r>
    <x v="1"/>
    <x v="0"/>
    <x v="21"/>
    <x v="98"/>
    <x v="12"/>
    <x v="3"/>
    <n v="10"/>
    <x v="0"/>
    <x v="0"/>
    <x v="3"/>
    <x v="0"/>
    <d v="2026-02-02T00:00:00"/>
    <x v="0"/>
    <x v="0"/>
    <x v="0"/>
    <x v="0"/>
    <x v="0"/>
    <x v="5"/>
    <x v="0"/>
    <x v="0"/>
    <x v="0"/>
    <x v="0"/>
    <x v="1"/>
  </r>
  <r>
    <x v="1"/>
    <x v="0"/>
    <x v="22"/>
    <x v="99"/>
    <x v="12"/>
    <x v="20"/>
    <n v="1"/>
    <x v="0"/>
    <x v="0"/>
    <x v="1"/>
    <x v="0"/>
    <d v="2026-02-02T00:00:00"/>
    <x v="0"/>
    <x v="0"/>
    <x v="0"/>
    <x v="0"/>
    <x v="0"/>
    <x v="1"/>
    <x v="0"/>
    <x v="0"/>
    <x v="0"/>
    <x v="0"/>
    <x v="1"/>
  </r>
  <r>
    <x v="0"/>
    <x v="3"/>
    <x v="21"/>
    <x v="100"/>
    <x v="13"/>
    <x v="21"/>
    <n v="168"/>
    <x v="0"/>
    <x v="6"/>
    <x v="8"/>
    <x v="3"/>
    <d v="2026-02-02T00:00:00"/>
    <x v="1"/>
    <x v="1"/>
    <x v="1"/>
    <x v="1"/>
    <x v="1"/>
    <x v="5"/>
    <x v="0"/>
    <x v="0"/>
    <x v="0"/>
    <x v="1"/>
    <x v="1"/>
  </r>
  <r>
    <x v="0"/>
    <x v="3"/>
    <x v="23"/>
    <x v="101"/>
    <x v="13"/>
    <x v="11"/>
    <n v="2"/>
    <x v="0"/>
    <x v="0"/>
    <x v="7"/>
    <x v="3"/>
    <d v="2026-02-02T00:00:00"/>
    <x v="1"/>
    <x v="1"/>
    <x v="0"/>
    <x v="0"/>
    <x v="0"/>
    <x v="2"/>
    <x v="0"/>
    <x v="0"/>
    <x v="0"/>
    <x v="0"/>
    <x v="1"/>
  </r>
  <r>
    <x v="0"/>
    <x v="3"/>
    <x v="20"/>
    <x v="102"/>
    <x v="14"/>
    <x v="6"/>
    <n v="5"/>
    <x v="0"/>
    <x v="0"/>
    <x v="0"/>
    <x v="1"/>
    <d v="2026-02-02T00:00:00"/>
    <x v="1"/>
    <x v="1"/>
    <x v="0"/>
    <x v="0"/>
    <x v="0"/>
    <x v="8"/>
    <x v="0"/>
    <x v="0"/>
    <x v="0"/>
    <x v="0"/>
    <x v="2"/>
  </r>
  <r>
    <x v="1"/>
    <x v="0"/>
    <x v="20"/>
    <x v="103"/>
    <x v="12"/>
    <x v="1"/>
    <n v="1"/>
    <x v="0"/>
    <x v="0"/>
    <x v="6"/>
    <x v="0"/>
    <d v="2026-02-02T00:00:00"/>
    <x v="0"/>
    <x v="0"/>
    <x v="0"/>
    <x v="0"/>
    <x v="0"/>
    <x v="8"/>
    <x v="0"/>
    <x v="0"/>
    <x v="0"/>
    <x v="0"/>
    <x v="2"/>
  </r>
  <r>
    <x v="1"/>
    <x v="0"/>
    <x v="21"/>
    <x v="104"/>
    <x v="12"/>
    <x v="21"/>
    <n v="17"/>
    <x v="0"/>
    <x v="0"/>
    <x v="3"/>
    <x v="5"/>
    <d v="2026-02-06T00:00:00"/>
    <x v="1"/>
    <x v="1"/>
    <x v="0"/>
    <x v="0"/>
    <x v="0"/>
    <x v="6"/>
    <x v="0"/>
    <x v="0"/>
    <x v="0"/>
    <x v="0"/>
    <x v="2"/>
  </r>
  <r>
    <x v="1"/>
    <x v="0"/>
    <x v="20"/>
    <x v="105"/>
    <x v="15"/>
    <x v="6"/>
    <n v="17"/>
    <x v="0"/>
    <x v="0"/>
    <x v="5"/>
    <x v="0"/>
    <d v="2026-02-03T00:00:00"/>
    <x v="0"/>
    <x v="0"/>
    <x v="0"/>
    <x v="0"/>
    <x v="0"/>
    <x v="7"/>
    <x v="0"/>
    <x v="0"/>
    <x v="0"/>
    <x v="0"/>
    <x v="2"/>
  </r>
  <r>
    <x v="1"/>
    <x v="0"/>
    <x v="23"/>
    <x v="106"/>
    <x v="15"/>
    <x v="0"/>
    <n v="8"/>
    <x v="0"/>
    <x v="3"/>
    <x v="3"/>
    <x v="0"/>
    <d v="2026-02-03T00:00:00"/>
    <x v="0"/>
    <x v="0"/>
    <x v="1"/>
    <x v="1"/>
    <x v="1"/>
    <x v="5"/>
    <x v="0"/>
    <x v="0"/>
    <x v="0"/>
    <x v="1"/>
    <x v="2"/>
  </r>
  <r>
    <x v="1"/>
    <x v="0"/>
    <x v="22"/>
    <x v="107"/>
    <x v="15"/>
    <x v="20"/>
    <n v="11"/>
    <x v="0"/>
    <x v="0"/>
    <x v="6"/>
    <x v="0"/>
    <d v="2026-02-03T00:00:00"/>
    <x v="0"/>
    <x v="0"/>
    <x v="0"/>
    <x v="0"/>
    <x v="0"/>
    <x v="8"/>
    <x v="0"/>
    <x v="0"/>
    <x v="0"/>
    <x v="0"/>
    <x v="3"/>
  </r>
  <r>
    <x v="1"/>
    <x v="0"/>
    <x v="24"/>
    <x v="108"/>
    <x v="15"/>
    <x v="3"/>
    <n v="18"/>
    <x v="0"/>
    <x v="0"/>
    <x v="7"/>
    <x v="4"/>
    <d v="2026-02-04T00:00:00"/>
    <x v="1"/>
    <x v="1"/>
    <x v="0"/>
    <x v="0"/>
    <x v="0"/>
    <x v="4"/>
    <x v="0"/>
    <x v="0"/>
    <x v="0"/>
    <x v="0"/>
    <x v="3"/>
  </r>
  <r>
    <x v="1"/>
    <x v="1"/>
    <x v="25"/>
    <x v="109"/>
    <x v="16"/>
    <x v="21"/>
    <n v="10"/>
    <x v="0"/>
    <x v="0"/>
    <x v="0"/>
    <x v="0"/>
    <d v="2026-02-09T00:00:00"/>
    <x v="0"/>
    <x v="0"/>
    <x v="0"/>
    <x v="0"/>
    <x v="0"/>
    <x v="2"/>
    <x v="0"/>
    <x v="0"/>
    <x v="0"/>
    <x v="0"/>
    <x v="3"/>
  </r>
  <r>
    <x v="1"/>
    <x v="1"/>
    <x v="26"/>
    <x v="110"/>
    <x v="16"/>
    <x v="16"/>
    <n v="10"/>
    <x v="0"/>
    <x v="0"/>
    <x v="1"/>
    <x v="0"/>
    <d v="2026-02-09T00:00:00"/>
    <x v="0"/>
    <x v="0"/>
    <x v="0"/>
    <x v="0"/>
    <x v="0"/>
    <x v="1"/>
    <x v="0"/>
    <x v="0"/>
    <x v="0"/>
    <x v="0"/>
    <x v="3"/>
  </r>
  <r>
    <x v="1"/>
    <x v="1"/>
    <x v="27"/>
    <x v="111"/>
    <x v="16"/>
    <x v="39"/>
    <n v="2"/>
    <x v="0"/>
    <x v="0"/>
    <x v="3"/>
    <x v="0"/>
    <d v="2026-02-09T00:00:00"/>
    <x v="0"/>
    <x v="0"/>
    <x v="0"/>
    <x v="0"/>
    <x v="0"/>
    <x v="5"/>
    <x v="0"/>
    <x v="0"/>
    <x v="0"/>
    <x v="0"/>
    <x v="3"/>
  </r>
  <r>
    <x v="1"/>
    <x v="1"/>
    <x v="26"/>
    <x v="112"/>
    <x v="16"/>
    <x v="40"/>
    <n v="7"/>
    <x v="0"/>
    <x v="0"/>
    <x v="1"/>
    <x v="0"/>
    <d v="2026-02-09T00:00:00"/>
    <x v="0"/>
    <x v="0"/>
    <x v="0"/>
    <x v="0"/>
    <x v="0"/>
    <x v="1"/>
    <x v="0"/>
    <x v="0"/>
    <x v="0"/>
    <x v="0"/>
    <x v="3"/>
  </r>
  <r>
    <x v="1"/>
    <x v="1"/>
    <x v="27"/>
    <x v="113"/>
    <x v="16"/>
    <x v="5"/>
    <n v="1"/>
    <x v="0"/>
    <x v="0"/>
    <x v="3"/>
    <x v="0"/>
    <d v="2026-02-09T00:00:00"/>
    <x v="0"/>
    <x v="0"/>
    <x v="0"/>
    <x v="0"/>
    <x v="0"/>
    <x v="5"/>
    <x v="0"/>
    <x v="0"/>
    <x v="0"/>
    <x v="0"/>
    <x v="4"/>
  </r>
  <r>
    <x v="1"/>
    <x v="1"/>
    <x v="26"/>
    <x v="114"/>
    <x v="16"/>
    <x v="21"/>
    <n v="26"/>
    <x v="0"/>
    <x v="0"/>
    <x v="1"/>
    <x v="0"/>
    <d v="2026-02-09T00:00:00"/>
    <x v="0"/>
    <x v="0"/>
    <x v="0"/>
    <x v="0"/>
    <x v="0"/>
    <x v="1"/>
    <x v="0"/>
    <x v="0"/>
    <x v="0"/>
    <x v="0"/>
    <x v="1"/>
  </r>
  <r>
    <x v="1"/>
    <x v="0"/>
    <x v="26"/>
    <x v="115"/>
    <x v="17"/>
    <x v="20"/>
    <n v="10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16"/>
    <x v="17"/>
    <x v="17"/>
    <n v="13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8"/>
    <x v="117"/>
    <x v="17"/>
    <x v="28"/>
    <n v="6"/>
    <x v="0"/>
    <x v="0"/>
    <x v="0"/>
    <x v="0"/>
    <d v="2026-02-06T00:00:00"/>
    <x v="0"/>
    <x v="0"/>
    <x v="0"/>
    <x v="0"/>
    <x v="0"/>
    <x v="2"/>
    <x v="0"/>
    <x v="0"/>
    <x v="0"/>
    <x v="0"/>
    <x v="4"/>
  </r>
  <r>
    <x v="1"/>
    <x v="0"/>
    <x v="26"/>
    <x v="118"/>
    <x v="17"/>
    <x v="18"/>
    <n v="15"/>
    <x v="0"/>
    <x v="0"/>
    <x v="8"/>
    <x v="0"/>
    <d v="2026-02-06T00:00:00"/>
    <x v="0"/>
    <x v="0"/>
    <x v="0"/>
    <x v="0"/>
    <x v="0"/>
    <x v="4"/>
    <x v="0"/>
    <x v="0"/>
    <x v="0"/>
    <x v="0"/>
    <x v="4"/>
  </r>
  <r>
    <x v="1"/>
    <x v="0"/>
    <x v="28"/>
    <x v="119"/>
    <x v="17"/>
    <x v="41"/>
    <n v="4"/>
    <x v="0"/>
    <x v="0"/>
    <x v="0"/>
    <x v="0"/>
    <d v="2026-02-06T00:00:00"/>
    <x v="0"/>
    <x v="0"/>
    <x v="0"/>
    <x v="0"/>
    <x v="0"/>
    <x v="2"/>
    <x v="0"/>
    <x v="0"/>
    <x v="0"/>
    <x v="0"/>
    <x v="4"/>
  </r>
  <r>
    <x v="1"/>
    <x v="0"/>
    <x v="26"/>
    <x v="120"/>
    <x v="18"/>
    <x v="28"/>
    <n v="15"/>
    <x v="0"/>
    <x v="0"/>
    <x v="7"/>
    <x v="4"/>
    <d v="2026-02-06T00:00:00"/>
    <x v="1"/>
    <x v="1"/>
    <x v="0"/>
    <x v="0"/>
    <x v="0"/>
    <x v="4"/>
    <x v="0"/>
    <x v="0"/>
    <x v="0"/>
    <x v="0"/>
    <x v="4"/>
  </r>
  <r>
    <x v="1"/>
    <x v="0"/>
    <x v="26"/>
    <x v="121"/>
    <x v="17"/>
    <x v="5"/>
    <n v="1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2"/>
    <x v="18"/>
    <x v="18"/>
    <n v="21"/>
    <x v="0"/>
    <x v="0"/>
    <x v="7"/>
    <x v="4"/>
    <d v="2026-02-06T00:00:00"/>
    <x v="1"/>
    <x v="1"/>
    <x v="0"/>
    <x v="0"/>
    <x v="0"/>
    <x v="4"/>
    <x v="0"/>
    <x v="0"/>
    <x v="0"/>
    <x v="0"/>
    <x v="1"/>
  </r>
  <r>
    <x v="1"/>
    <x v="0"/>
    <x v="26"/>
    <x v="123"/>
    <x v="17"/>
    <x v="5"/>
    <n v="2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4"/>
    <x v="17"/>
    <x v="17"/>
    <n v="12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7"/>
    <x v="125"/>
    <x v="17"/>
    <x v="42"/>
    <n v="2"/>
    <x v="0"/>
    <x v="0"/>
    <x v="7"/>
    <x v="0"/>
    <d v="2026-02-06T00:00:00"/>
    <x v="0"/>
    <x v="0"/>
    <x v="0"/>
    <x v="0"/>
    <x v="0"/>
    <x v="0"/>
    <x v="0"/>
    <x v="0"/>
    <x v="0"/>
    <x v="0"/>
    <x v="1"/>
  </r>
  <r>
    <x v="1"/>
    <x v="0"/>
    <x v="26"/>
    <x v="126"/>
    <x v="17"/>
    <x v="4"/>
    <n v="5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7"/>
    <x v="18"/>
    <x v="13"/>
    <n v="1"/>
    <x v="0"/>
    <x v="0"/>
    <x v="7"/>
    <x v="0"/>
    <d v="2026-02-05T00:00:00"/>
    <x v="0"/>
    <x v="0"/>
    <x v="0"/>
    <x v="0"/>
    <x v="0"/>
    <x v="0"/>
    <x v="0"/>
    <x v="0"/>
    <x v="0"/>
    <x v="0"/>
    <x v="2"/>
  </r>
  <r>
    <x v="1"/>
    <x v="0"/>
    <x v="26"/>
    <x v="128"/>
    <x v="18"/>
    <x v="31"/>
    <n v="29"/>
    <x v="0"/>
    <x v="0"/>
    <x v="7"/>
    <x v="4"/>
    <d v="2026-02-06T00:00:00"/>
    <x v="1"/>
    <x v="1"/>
    <x v="0"/>
    <x v="0"/>
    <x v="0"/>
    <x v="4"/>
    <x v="0"/>
    <x v="0"/>
    <x v="0"/>
    <x v="0"/>
    <x v="1"/>
  </r>
  <r>
    <x v="1"/>
    <x v="0"/>
    <x v="28"/>
    <x v="129"/>
    <x v="18"/>
    <x v="32"/>
    <n v="1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0"/>
    <x v="18"/>
    <x v="1"/>
    <n v="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1"/>
    <x v="18"/>
    <x v="33"/>
    <n v="5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8"/>
    <x v="132"/>
    <x v="18"/>
    <x v="34"/>
    <n v="8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8"/>
    <x v="133"/>
    <x v="18"/>
    <x v="43"/>
    <n v="4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3"/>
    <x v="134"/>
    <x v="18"/>
    <x v="1"/>
    <n v="2"/>
    <x v="0"/>
    <x v="0"/>
    <x v="6"/>
    <x v="0"/>
    <d v="2026-02-05T00:00:00"/>
    <x v="0"/>
    <x v="0"/>
    <x v="0"/>
    <x v="0"/>
    <x v="0"/>
    <x v="8"/>
    <x v="0"/>
    <x v="0"/>
    <x v="0"/>
    <x v="0"/>
    <x v="1"/>
  </r>
  <r>
    <x v="1"/>
    <x v="0"/>
    <x v="28"/>
    <x v="135"/>
    <x v="18"/>
    <x v="1"/>
    <n v="3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6"/>
    <x v="18"/>
    <x v="22"/>
    <n v="17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6"/>
    <x v="137"/>
    <x v="18"/>
    <x v="44"/>
    <n v="1"/>
    <x v="0"/>
    <x v="0"/>
    <x v="7"/>
    <x v="0"/>
    <d v="2026-02-05T00:00:00"/>
    <x v="0"/>
    <x v="0"/>
    <x v="0"/>
    <x v="0"/>
    <x v="0"/>
    <x v="0"/>
    <x v="0"/>
    <x v="0"/>
    <x v="0"/>
    <x v="0"/>
    <x v="1"/>
  </r>
  <r>
    <x v="1"/>
    <x v="0"/>
    <x v="28"/>
    <x v="138"/>
    <x v="18"/>
    <x v="12"/>
    <n v="30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9"/>
    <x v="18"/>
    <x v="22"/>
    <n v="1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1"/>
    <x v="140"/>
    <x v="18"/>
    <x v="16"/>
    <n v="4"/>
    <x v="0"/>
    <x v="0"/>
    <x v="5"/>
    <x v="0"/>
    <d v="2026-02-05T00:00:00"/>
    <x v="0"/>
    <x v="0"/>
    <x v="0"/>
    <x v="0"/>
    <x v="0"/>
    <x v="7"/>
    <x v="0"/>
    <x v="0"/>
    <x v="0"/>
    <x v="0"/>
    <x v="1"/>
  </r>
  <r>
    <x v="1"/>
    <x v="0"/>
    <x v="23"/>
    <x v="141"/>
    <x v="18"/>
    <x v="1"/>
    <n v="7"/>
    <x v="0"/>
    <x v="0"/>
    <x v="6"/>
    <x v="0"/>
    <d v="2026-02-05T00:00:00"/>
    <x v="0"/>
    <x v="0"/>
    <x v="0"/>
    <x v="0"/>
    <x v="0"/>
    <x v="8"/>
    <x v="0"/>
    <x v="0"/>
    <x v="0"/>
    <x v="0"/>
    <x v="1"/>
  </r>
  <r>
    <x v="1"/>
    <x v="0"/>
    <x v="24"/>
    <x v="142"/>
    <x v="18"/>
    <x v="0"/>
    <n v="1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8"/>
    <x v="143"/>
    <x v="18"/>
    <x v="23"/>
    <n v="1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6"/>
    <x v="144"/>
    <x v="18"/>
    <x v="3"/>
    <n v="1"/>
    <x v="0"/>
    <x v="0"/>
    <x v="7"/>
    <x v="0"/>
    <d v="2026-02-05T00:00:00"/>
    <x v="0"/>
    <x v="0"/>
    <x v="0"/>
    <x v="0"/>
    <x v="0"/>
    <x v="0"/>
    <x v="0"/>
    <x v="0"/>
    <x v="0"/>
    <x v="0"/>
    <x v="1"/>
  </r>
  <r>
    <x v="1"/>
    <x v="0"/>
    <x v="24"/>
    <x v="145"/>
    <x v="18"/>
    <x v="45"/>
    <n v="110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9"/>
    <x v="146"/>
    <x v="19"/>
    <x v="26"/>
    <n v="8"/>
    <x v="0"/>
    <x v="0"/>
    <x v="15"/>
    <x v="4"/>
    <d v="2026-02-05T00:00:00"/>
    <x v="1"/>
    <x v="1"/>
    <x v="0"/>
    <x v="0"/>
    <x v="0"/>
    <x v="16"/>
    <x v="0"/>
    <x v="0"/>
    <x v="0"/>
    <x v="0"/>
    <x v="2"/>
  </r>
  <r>
    <x v="1"/>
    <x v="0"/>
    <x v="24"/>
    <x v="147"/>
    <x v="18"/>
    <x v="0"/>
    <n v="10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4"/>
    <x v="148"/>
    <x v="18"/>
    <x v="46"/>
    <n v="3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8"/>
    <x v="149"/>
    <x v="15"/>
    <x v="21"/>
    <n v="200"/>
    <x v="0"/>
    <x v="0"/>
    <x v="12"/>
    <x v="4"/>
    <d v="2026-02-04T00:00:00"/>
    <x v="1"/>
    <x v="1"/>
    <x v="0"/>
    <x v="0"/>
    <x v="0"/>
    <x v="0"/>
    <x v="0"/>
    <x v="0"/>
    <x v="0"/>
    <x v="0"/>
    <x v="1"/>
  </r>
  <r>
    <x v="1"/>
    <x v="0"/>
    <x v="23"/>
    <x v="150"/>
    <x v="19"/>
    <x v="19"/>
    <n v="2"/>
    <x v="0"/>
    <x v="2"/>
    <x v="1"/>
    <x v="0"/>
    <d v="2026-02-04T00:00:00"/>
    <x v="0"/>
    <x v="0"/>
    <x v="1"/>
    <x v="1"/>
    <x v="1"/>
    <x v="1"/>
    <x v="0"/>
    <x v="0"/>
    <x v="0"/>
    <x v="0"/>
    <x v="1"/>
  </r>
  <r>
    <x v="1"/>
    <x v="0"/>
    <x v="23"/>
    <x v="151"/>
    <x v="19"/>
    <x v="19"/>
    <n v="2"/>
    <x v="0"/>
    <x v="0"/>
    <x v="1"/>
    <x v="0"/>
    <d v="2026-02-04T00:00:00"/>
    <x v="0"/>
    <x v="0"/>
    <x v="0"/>
    <x v="0"/>
    <x v="0"/>
    <x v="1"/>
    <x v="0"/>
    <x v="0"/>
    <x v="0"/>
    <x v="0"/>
    <x v="1"/>
  </r>
  <r>
    <x v="1"/>
    <x v="0"/>
    <x v="20"/>
    <x v="152"/>
    <x v="19"/>
    <x v="3"/>
    <n v="10"/>
    <x v="0"/>
    <x v="0"/>
    <x v="4"/>
    <x v="0"/>
    <d v="2026-02-04T00:00:00"/>
    <x v="0"/>
    <x v="0"/>
    <x v="0"/>
    <x v="0"/>
    <x v="0"/>
    <x v="6"/>
    <x v="0"/>
    <x v="0"/>
    <x v="0"/>
    <x v="0"/>
    <x v="1"/>
  </r>
  <r>
    <x v="1"/>
    <x v="0"/>
    <x v="28"/>
    <x v="153"/>
    <x v="19"/>
    <x v="3"/>
    <n v="14"/>
    <x v="0"/>
    <x v="0"/>
    <x v="7"/>
    <x v="0"/>
    <d v="2026-02-04T00:00:00"/>
    <x v="0"/>
    <x v="0"/>
    <x v="0"/>
    <x v="0"/>
    <x v="0"/>
    <x v="0"/>
    <x v="0"/>
    <x v="0"/>
    <x v="0"/>
    <x v="0"/>
    <x v="1"/>
  </r>
  <r>
    <x v="1"/>
    <x v="0"/>
    <x v="23"/>
    <x v="154"/>
    <x v="19"/>
    <x v="2"/>
    <n v="20"/>
    <x v="0"/>
    <x v="0"/>
    <x v="1"/>
    <x v="0"/>
    <d v="2026-02-04T00:00:00"/>
    <x v="0"/>
    <x v="0"/>
    <x v="0"/>
    <x v="0"/>
    <x v="0"/>
    <x v="1"/>
    <x v="0"/>
    <x v="0"/>
    <x v="0"/>
    <x v="0"/>
    <x v="5"/>
  </r>
  <r>
    <x v="1"/>
    <x v="0"/>
    <x v="30"/>
    <x v="155"/>
    <x v="15"/>
    <x v="23"/>
    <n v="11"/>
    <x v="0"/>
    <x v="0"/>
    <x v="10"/>
    <x v="0"/>
    <d v="2026-01-28T00:00:00"/>
    <x v="0"/>
    <x v="0"/>
    <x v="0"/>
    <x v="0"/>
    <x v="0"/>
    <x v="7"/>
    <x v="0"/>
    <x v="0"/>
    <x v="0"/>
    <x v="0"/>
    <x v="1"/>
  </r>
  <r>
    <x v="1"/>
    <x v="0"/>
    <x v="20"/>
    <x v="156"/>
    <x v="15"/>
    <x v="47"/>
    <n v="1"/>
    <x v="0"/>
    <x v="0"/>
    <x v="5"/>
    <x v="0"/>
    <d v="2026-02-03T00:00:00"/>
    <x v="0"/>
    <x v="0"/>
    <x v="0"/>
    <x v="0"/>
    <x v="0"/>
    <x v="7"/>
    <x v="1"/>
    <x v="1"/>
    <x v="1"/>
    <x v="0"/>
    <x v="1"/>
  </r>
  <r>
    <x v="1"/>
    <x v="0"/>
    <x v="23"/>
    <x v="157"/>
    <x v="15"/>
    <x v="2"/>
    <n v="2"/>
    <x v="0"/>
    <x v="0"/>
    <x v="3"/>
    <x v="0"/>
    <d v="2026-02-03T00:00:00"/>
    <x v="0"/>
    <x v="0"/>
    <x v="0"/>
    <x v="0"/>
    <x v="0"/>
    <x v="5"/>
    <x v="0"/>
    <x v="0"/>
    <x v="0"/>
    <x v="0"/>
    <x v="1"/>
  </r>
  <r>
    <x v="1"/>
    <x v="0"/>
    <x v="20"/>
    <x v="158"/>
    <x v="15"/>
    <x v="47"/>
    <n v="10"/>
    <x v="0"/>
    <x v="0"/>
    <x v="5"/>
    <x v="0"/>
    <d v="2026-02-03T00:00:00"/>
    <x v="0"/>
    <x v="0"/>
    <x v="0"/>
    <x v="0"/>
    <x v="0"/>
    <x v="7"/>
    <x v="0"/>
    <x v="0"/>
    <x v="0"/>
    <x v="0"/>
    <x v="1"/>
  </r>
  <r>
    <x v="1"/>
    <x v="0"/>
    <x v="31"/>
    <x v="159"/>
    <x v="15"/>
    <x v="6"/>
    <n v="16"/>
    <x v="0"/>
    <x v="0"/>
    <x v="8"/>
    <x v="0"/>
    <d v="2026-02-03T00:00:00"/>
    <x v="0"/>
    <x v="0"/>
    <x v="0"/>
    <x v="0"/>
    <x v="0"/>
    <x v="4"/>
    <x v="0"/>
    <x v="0"/>
    <x v="0"/>
    <x v="0"/>
    <x v="1"/>
  </r>
  <r>
    <x v="1"/>
    <x v="0"/>
    <x v="21"/>
    <x v="160"/>
    <x v="15"/>
    <x v="16"/>
    <n v="5"/>
    <x v="0"/>
    <x v="0"/>
    <x v="1"/>
    <x v="0"/>
    <d v="2026-02-03T00:00:00"/>
    <x v="0"/>
    <x v="0"/>
    <x v="0"/>
    <x v="0"/>
    <x v="0"/>
    <x v="1"/>
    <x v="1"/>
    <x v="1"/>
    <x v="1"/>
    <x v="0"/>
    <x v="4"/>
  </r>
  <r>
    <x v="1"/>
    <x v="0"/>
    <x v="21"/>
    <x v="161"/>
    <x v="15"/>
    <x v="31"/>
    <n v="3"/>
    <x v="0"/>
    <x v="0"/>
    <x v="1"/>
    <x v="0"/>
    <d v="2026-02-03T00:00:00"/>
    <x v="0"/>
    <x v="0"/>
    <x v="0"/>
    <x v="0"/>
    <x v="0"/>
    <x v="1"/>
    <x v="0"/>
    <x v="0"/>
    <x v="0"/>
    <x v="0"/>
    <x v="3"/>
  </r>
  <r>
    <x v="1"/>
    <x v="0"/>
    <x v="21"/>
    <x v="162"/>
    <x v="15"/>
    <x v="31"/>
    <n v="20"/>
    <x v="0"/>
    <x v="0"/>
    <x v="1"/>
    <x v="0"/>
    <d v="2026-02-03T00:00:00"/>
    <x v="0"/>
    <x v="0"/>
    <x v="0"/>
    <x v="0"/>
    <x v="0"/>
    <x v="1"/>
    <x v="0"/>
    <x v="0"/>
    <x v="0"/>
    <x v="0"/>
    <x v="2"/>
  </r>
  <r>
    <x v="1"/>
    <x v="0"/>
    <x v="28"/>
    <x v="163"/>
    <x v="17"/>
    <x v="1"/>
    <n v="40"/>
    <x v="0"/>
    <x v="2"/>
    <x v="0"/>
    <x v="1"/>
    <d v="2026-02-09T00:00:00"/>
    <x v="1"/>
    <x v="1"/>
    <x v="1"/>
    <x v="1"/>
    <x v="1"/>
    <x v="8"/>
    <x v="0"/>
    <x v="0"/>
    <x v="0"/>
    <x v="1"/>
    <x v="3"/>
  </r>
  <r>
    <x v="1"/>
    <x v="1"/>
    <x v="25"/>
    <x v="164"/>
    <x v="16"/>
    <x v="0"/>
    <n v="3"/>
    <x v="0"/>
    <x v="0"/>
    <x v="0"/>
    <x v="0"/>
    <d v="2026-02-09T00:00:00"/>
    <x v="0"/>
    <x v="0"/>
    <x v="0"/>
    <x v="0"/>
    <x v="0"/>
    <x v="2"/>
    <x v="0"/>
    <x v="0"/>
    <x v="0"/>
    <x v="0"/>
    <x v="3"/>
  </r>
  <r>
    <x v="1"/>
    <x v="1"/>
    <x v="32"/>
    <x v="165"/>
    <x v="16"/>
    <x v="21"/>
    <n v="69"/>
    <x v="0"/>
    <x v="0"/>
    <x v="7"/>
    <x v="0"/>
    <d v="2026-02-09T00:00:00"/>
    <x v="0"/>
    <x v="0"/>
    <x v="0"/>
    <x v="0"/>
    <x v="0"/>
    <x v="0"/>
    <x v="0"/>
    <x v="0"/>
    <x v="0"/>
    <x v="0"/>
    <x v="2"/>
  </r>
  <r>
    <x v="1"/>
    <x v="1"/>
    <x v="27"/>
    <x v="166"/>
    <x v="16"/>
    <x v="0"/>
    <n v="45"/>
    <x v="0"/>
    <x v="0"/>
    <x v="3"/>
    <x v="0"/>
    <d v="2026-02-09T00:00:00"/>
    <x v="0"/>
    <x v="0"/>
    <x v="0"/>
    <x v="0"/>
    <x v="0"/>
    <x v="5"/>
    <x v="0"/>
    <x v="0"/>
    <x v="0"/>
    <x v="0"/>
    <x v="3"/>
  </r>
  <r>
    <x v="1"/>
    <x v="1"/>
    <x v="26"/>
    <x v="167"/>
    <x v="16"/>
    <x v="1"/>
    <n v="3"/>
    <x v="0"/>
    <x v="0"/>
    <x v="1"/>
    <x v="0"/>
    <d v="2026-02-09T00:00:00"/>
    <x v="0"/>
    <x v="0"/>
    <x v="0"/>
    <x v="0"/>
    <x v="0"/>
    <x v="1"/>
    <x v="0"/>
    <x v="0"/>
    <x v="0"/>
    <x v="0"/>
    <x v="2"/>
  </r>
  <r>
    <x v="1"/>
    <x v="0"/>
    <x v="27"/>
    <x v="168"/>
    <x v="17"/>
    <x v="43"/>
    <n v="2"/>
    <x v="0"/>
    <x v="0"/>
    <x v="7"/>
    <x v="1"/>
    <d v="2026-02-09T00:00:00"/>
    <x v="1"/>
    <x v="1"/>
    <x v="0"/>
    <x v="0"/>
    <x v="0"/>
    <x v="5"/>
    <x v="0"/>
    <x v="0"/>
    <x v="0"/>
    <x v="0"/>
    <x v="2"/>
  </r>
  <r>
    <x v="1"/>
    <x v="1"/>
    <x v="27"/>
    <x v="169"/>
    <x v="20"/>
    <x v="12"/>
    <n v="17"/>
    <x v="0"/>
    <x v="0"/>
    <x v="1"/>
    <x v="0"/>
    <d v="2026-02-10T00:00:00"/>
    <x v="0"/>
    <x v="0"/>
    <x v="0"/>
    <x v="0"/>
    <x v="0"/>
    <x v="1"/>
    <x v="0"/>
    <x v="0"/>
    <x v="0"/>
    <x v="0"/>
    <x v="3"/>
  </r>
  <r>
    <x v="1"/>
    <x v="1"/>
    <x v="32"/>
    <x v="109"/>
    <x v="20"/>
    <x v="25"/>
    <n v="5"/>
    <x v="0"/>
    <x v="0"/>
    <x v="8"/>
    <x v="0"/>
    <d v="2026-02-10T00:00:00"/>
    <x v="0"/>
    <x v="0"/>
    <x v="0"/>
    <x v="0"/>
    <x v="0"/>
    <x v="4"/>
    <x v="0"/>
    <x v="0"/>
    <x v="0"/>
    <x v="0"/>
    <x v="3"/>
  </r>
  <r>
    <x v="1"/>
    <x v="1"/>
    <x v="32"/>
    <x v="170"/>
    <x v="20"/>
    <x v="48"/>
    <n v="2"/>
    <x v="0"/>
    <x v="0"/>
    <x v="8"/>
    <x v="0"/>
    <d v="2026-02-10T00:00:00"/>
    <x v="0"/>
    <x v="0"/>
    <x v="0"/>
    <x v="0"/>
    <x v="0"/>
    <x v="4"/>
    <x v="0"/>
    <x v="0"/>
    <x v="0"/>
    <x v="0"/>
    <x v="3"/>
  </r>
  <r>
    <x v="1"/>
    <x v="1"/>
    <x v="27"/>
    <x v="171"/>
    <x v="20"/>
    <x v="12"/>
    <n v="12"/>
    <x v="0"/>
    <x v="0"/>
    <x v="1"/>
    <x v="4"/>
    <d v="2026-02-11T00:00:00"/>
    <x v="1"/>
    <x v="1"/>
    <x v="0"/>
    <x v="0"/>
    <x v="0"/>
    <x v="8"/>
    <x v="0"/>
    <x v="0"/>
    <x v="0"/>
    <x v="0"/>
    <x v="3"/>
  </r>
  <r>
    <x v="1"/>
    <x v="1"/>
    <x v="33"/>
    <x v="172"/>
    <x v="21"/>
    <x v="1"/>
    <n v="7"/>
    <x v="0"/>
    <x v="0"/>
    <x v="8"/>
    <x v="0"/>
    <d v="2026-02-10T00:00:00"/>
    <x v="0"/>
    <x v="0"/>
    <x v="0"/>
    <x v="0"/>
    <x v="0"/>
    <x v="0"/>
    <x v="0"/>
    <x v="0"/>
    <x v="0"/>
    <x v="0"/>
    <x v="1"/>
  </r>
  <r>
    <x v="1"/>
    <x v="1"/>
    <x v="27"/>
    <x v="173"/>
    <x v="21"/>
    <x v="36"/>
    <n v="2"/>
    <x v="0"/>
    <x v="0"/>
    <x v="6"/>
    <x v="0"/>
    <d v="2026-02-11T00:00:00"/>
    <x v="0"/>
    <x v="0"/>
    <x v="0"/>
    <x v="0"/>
    <x v="0"/>
    <x v="8"/>
    <x v="0"/>
    <x v="0"/>
    <x v="0"/>
    <x v="0"/>
    <x v="1"/>
  </r>
  <r>
    <x v="1"/>
    <x v="1"/>
    <x v="27"/>
    <x v="174"/>
    <x v="21"/>
    <x v="36"/>
    <n v="21"/>
    <x v="0"/>
    <x v="0"/>
    <x v="6"/>
    <x v="0"/>
    <d v="2026-02-11T00:00:00"/>
    <x v="0"/>
    <x v="0"/>
    <x v="0"/>
    <x v="0"/>
    <x v="0"/>
    <x v="8"/>
    <x v="0"/>
    <x v="0"/>
    <x v="0"/>
    <x v="0"/>
    <x v="1"/>
  </r>
  <r>
    <x v="1"/>
    <x v="1"/>
    <x v="34"/>
    <x v="175"/>
    <x v="21"/>
    <x v="5"/>
    <n v="36"/>
    <x v="0"/>
    <x v="0"/>
    <x v="7"/>
    <x v="0"/>
    <d v="2026-02-11T00:00:00"/>
    <x v="0"/>
    <x v="0"/>
    <x v="0"/>
    <x v="0"/>
    <x v="0"/>
    <x v="0"/>
    <x v="0"/>
    <x v="0"/>
    <x v="0"/>
    <x v="0"/>
    <x v="3"/>
  </r>
  <r>
    <x v="1"/>
    <x v="1"/>
    <x v="34"/>
    <x v="176"/>
    <x v="21"/>
    <x v="5"/>
    <n v="2"/>
    <x v="0"/>
    <x v="0"/>
    <x v="7"/>
    <x v="0"/>
    <d v="2026-02-11T00:00:00"/>
    <x v="0"/>
    <x v="0"/>
    <x v="0"/>
    <x v="0"/>
    <x v="0"/>
    <x v="0"/>
    <x v="0"/>
    <x v="0"/>
    <x v="0"/>
    <x v="0"/>
    <x v="1"/>
  </r>
  <r>
    <x v="1"/>
    <x v="1"/>
    <x v="27"/>
    <x v="177"/>
    <x v="21"/>
    <x v="16"/>
    <n v="230"/>
    <x v="0"/>
    <x v="0"/>
    <x v="6"/>
    <x v="0"/>
    <d v="2026-02-11T00:00:00"/>
    <x v="0"/>
    <x v="0"/>
    <x v="0"/>
    <x v="0"/>
    <x v="0"/>
    <x v="8"/>
    <x v="0"/>
    <x v="0"/>
    <x v="0"/>
    <x v="0"/>
    <x v="3"/>
  </r>
  <r>
    <x v="1"/>
    <x v="1"/>
    <x v="26"/>
    <x v="178"/>
    <x v="22"/>
    <x v="49"/>
    <n v="12"/>
    <x v="0"/>
    <x v="0"/>
    <x v="4"/>
    <x v="0"/>
    <d v="2026-02-12T00:00:00"/>
    <x v="0"/>
    <x v="0"/>
    <x v="0"/>
    <x v="0"/>
    <x v="0"/>
    <x v="6"/>
    <x v="0"/>
    <x v="0"/>
    <x v="0"/>
    <x v="0"/>
    <x v="1"/>
  </r>
  <r>
    <x v="1"/>
    <x v="1"/>
    <x v="34"/>
    <x v="179"/>
    <x v="22"/>
    <x v="3"/>
    <n v="34"/>
    <x v="0"/>
    <x v="0"/>
    <x v="8"/>
    <x v="0"/>
    <d v="2026-02-11T00:00:00"/>
    <x v="0"/>
    <x v="0"/>
    <x v="0"/>
    <x v="0"/>
    <x v="0"/>
    <x v="0"/>
    <x v="0"/>
    <x v="0"/>
    <x v="0"/>
    <x v="0"/>
    <x v="3"/>
  </r>
  <r>
    <x v="1"/>
    <x v="1"/>
    <x v="33"/>
    <x v="180"/>
    <x v="21"/>
    <x v="50"/>
    <n v="1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4"/>
    <x v="181"/>
    <x v="21"/>
    <x v="23"/>
    <n v="3"/>
    <x v="0"/>
    <x v="0"/>
    <x v="7"/>
    <x v="4"/>
    <d v="2026-02-12T00:00:00"/>
    <x v="1"/>
    <x v="1"/>
    <x v="0"/>
    <x v="0"/>
    <x v="0"/>
    <x v="4"/>
    <x v="0"/>
    <x v="0"/>
    <x v="0"/>
    <x v="0"/>
    <x v="3"/>
  </r>
  <r>
    <x v="1"/>
    <x v="1"/>
    <x v="34"/>
    <x v="182"/>
    <x v="22"/>
    <x v="0"/>
    <n v="17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4"/>
    <x v="183"/>
    <x v="22"/>
    <x v="21"/>
    <n v="27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3"/>
    <x v="184"/>
    <x v="21"/>
    <x v="1"/>
    <n v="62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3"/>
    <x v="185"/>
    <x v="21"/>
    <x v="17"/>
    <n v="18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3"/>
    <x v="186"/>
    <x v="21"/>
    <x v="17"/>
    <n v="25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5"/>
    <x v="187"/>
    <x v="22"/>
    <x v="44"/>
    <n v="5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3"/>
    <x v="188"/>
    <x v="22"/>
    <x v="0"/>
    <n v="15"/>
    <x v="0"/>
    <x v="0"/>
    <x v="0"/>
    <x v="0"/>
    <d v="2026-02-12T00:00:00"/>
    <x v="0"/>
    <x v="0"/>
    <x v="0"/>
    <x v="0"/>
    <x v="0"/>
    <x v="2"/>
    <x v="0"/>
    <x v="0"/>
    <x v="0"/>
    <x v="0"/>
    <x v="3"/>
  </r>
  <r>
    <x v="1"/>
    <x v="1"/>
    <x v="34"/>
    <x v="189"/>
    <x v="22"/>
    <x v="38"/>
    <n v="5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5"/>
    <x v="190"/>
    <x v="22"/>
    <x v="4"/>
    <n v="2"/>
    <x v="0"/>
    <x v="0"/>
    <x v="7"/>
    <x v="0"/>
    <d v="2026-02-12T00:00:00"/>
    <x v="0"/>
    <x v="0"/>
    <x v="0"/>
    <x v="0"/>
    <x v="0"/>
    <x v="0"/>
    <x v="0"/>
    <x v="0"/>
    <x v="0"/>
    <x v="0"/>
    <x v="1"/>
  </r>
  <r>
    <x v="1"/>
    <x v="1"/>
    <x v="35"/>
    <x v="191"/>
    <x v="22"/>
    <x v="4"/>
    <n v="3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192"/>
    <x v="22"/>
    <x v="33"/>
    <n v="4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5"/>
    <x v="193"/>
    <x v="22"/>
    <x v="3"/>
    <n v="12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194"/>
    <x v="22"/>
    <x v="31"/>
    <n v="14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4"/>
    <x v="195"/>
    <x v="22"/>
    <x v="22"/>
    <n v="2"/>
    <x v="0"/>
    <x v="0"/>
    <x v="8"/>
    <x v="4"/>
    <d v="2026-02-13T00:00:00"/>
    <x v="1"/>
    <x v="1"/>
    <x v="0"/>
    <x v="0"/>
    <x v="0"/>
    <x v="2"/>
    <x v="0"/>
    <x v="0"/>
    <x v="0"/>
    <x v="0"/>
    <x v="3"/>
  </r>
  <r>
    <x v="1"/>
    <x v="1"/>
    <x v="34"/>
    <x v="196"/>
    <x v="22"/>
    <x v="22"/>
    <n v="1"/>
    <x v="0"/>
    <x v="0"/>
    <x v="8"/>
    <x v="4"/>
    <d v="2026-02-13T00:00:00"/>
    <x v="1"/>
    <x v="1"/>
    <x v="0"/>
    <x v="0"/>
    <x v="0"/>
    <x v="2"/>
    <x v="0"/>
    <x v="0"/>
    <x v="0"/>
    <x v="0"/>
    <x v="3"/>
  </r>
  <r>
    <x v="1"/>
    <x v="1"/>
    <x v="26"/>
    <x v="197"/>
    <x v="23"/>
    <x v="51"/>
    <n v="5"/>
    <x v="0"/>
    <x v="0"/>
    <x v="9"/>
    <x v="0"/>
    <d v="2026-02-13T00:00:00"/>
    <x v="0"/>
    <x v="0"/>
    <x v="0"/>
    <x v="0"/>
    <x v="0"/>
    <x v="10"/>
    <x v="0"/>
    <x v="0"/>
    <x v="0"/>
    <x v="0"/>
    <x v="3"/>
  </r>
  <r>
    <x v="1"/>
    <x v="1"/>
    <x v="35"/>
    <x v="198"/>
    <x v="23"/>
    <x v="3"/>
    <n v="1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35"/>
    <x v="199"/>
    <x v="23"/>
    <x v="16"/>
    <n v="4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26"/>
    <x v="200"/>
    <x v="23"/>
    <x v="10"/>
    <n v="3"/>
    <x v="0"/>
    <x v="0"/>
    <x v="9"/>
    <x v="0"/>
    <d v="2026-02-13T00:00:00"/>
    <x v="0"/>
    <x v="0"/>
    <x v="0"/>
    <x v="0"/>
    <x v="0"/>
    <x v="10"/>
    <x v="0"/>
    <x v="0"/>
    <x v="0"/>
    <x v="0"/>
    <x v="3"/>
  </r>
  <r>
    <x v="1"/>
    <x v="1"/>
    <x v="34"/>
    <x v="201"/>
    <x v="23"/>
    <x v="22"/>
    <n v="1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27"/>
    <x v="202"/>
    <x v="23"/>
    <x v="10"/>
    <n v="4"/>
    <x v="0"/>
    <x v="0"/>
    <x v="4"/>
    <x v="0"/>
    <d v="2026-02-13T00:00:00"/>
    <x v="0"/>
    <x v="0"/>
    <x v="0"/>
    <x v="0"/>
    <x v="0"/>
    <x v="6"/>
    <x v="0"/>
    <x v="0"/>
    <x v="0"/>
    <x v="0"/>
    <x v="3"/>
  </r>
  <r>
    <x v="1"/>
    <x v="1"/>
    <x v="35"/>
    <x v="203"/>
    <x v="23"/>
    <x v="22"/>
    <n v="14"/>
    <x v="0"/>
    <x v="1"/>
    <x v="8"/>
    <x v="0"/>
    <d v="2026-02-13T00:00:00"/>
    <x v="0"/>
    <x v="0"/>
    <x v="1"/>
    <x v="1"/>
    <x v="1"/>
    <x v="4"/>
    <x v="0"/>
    <x v="0"/>
    <x v="0"/>
    <x v="0"/>
    <x v="3"/>
  </r>
  <r>
    <x v="1"/>
    <x v="1"/>
    <x v="34"/>
    <x v="204"/>
    <x v="23"/>
    <x v="28"/>
    <n v="3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35"/>
    <x v="205"/>
    <x v="23"/>
    <x v="22"/>
    <n v="25"/>
    <x v="0"/>
    <x v="0"/>
    <x v="8"/>
    <x v="0"/>
    <d v="2026-02-13T00:00:00"/>
    <x v="0"/>
    <x v="0"/>
    <x v="0"/>
    <x v="0"/>
    <x v="0"/>
    <x v="4"/>
    <x v="0"/>
    <x v="0"/>
    <x v="0"/>
    <x v="0"/>
    <x v="1"/>
  </r>
  <r>
    <x v="1"/>
    <x v="1"/>
    <x v="35"/>
    <x v="206"/>
    <x v="23"/>
    <x v="40"/>
    <n v="57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28"/>
    <x v="207"/>
    <x v="23"/>
    <x v="10"/>
    <n v="2"/>
    <x v="0"/>
    <x v="0"/>
    <x v="15"/>
    <x v="0"/>
    <d v="2026-02-13T00:00:00"/>
    <x v="0"/>
    <x v="0"/>
    <x v="0"/>
    <x v="0"/>
    <x v="0"/>
    <x v="3"/>
    <x v="0"/>
    <x v="0"/>
    <x v="0"/>
    <x v="0"/>
    <x v="3"/>
  </r>
  <r>
    <x v="1"/>
    <x v="1"/>
    <x v="34"/>
    <x v="208"/>
    <x v="23"/>
    <x v="21"/>
    <n v="180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35"/>
    <x v="209"/>
    <x v="23"/>
    <x v="18"/>
    <n v="10"/>
    <x v="0"/>
    <x v="0"/>
    <x v="8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210"/>
    <x v="24"/>
    <x v="20"/>
    <n v="27"/>
    <x v="0"/>
    <x v="0"/>
    <x v="3"/>
    <x v="3"/>
    <d v="2026-02-16T00:00:00"/>
    <x v="1"/>
    <x v="1"/>
    <x v="0"/>
    <x v="0"/>
    <x v="0"/>
    <x v="8"/>
    <x v="0"/>
    <x v="0"/>
    <x v="0"/>
    <x v="0"/>
    <x v="3"/>
  </r>
  <r>
    <x v="1"/>
    <x v="1"/>
    <x v="36"/>
    <x v="211"/>
    <x v="24"/>
    <x v="5"/>
    <n v="5"/>
    <x v="0"/>
    <x v="0"/>
    <x v="8"/>
    <x v="3"/>
    <d v="2026-02-16T00:00:00"/>
    <x v="1"/>
    <x v="1"/>
    <x v="0"/>
    <x v="0"/>
    <x v="0"/>
    <x v="5"/>
    <x v="0"/>
    <x v="0"/>
    <x v="0"/>
    <x v="0"/>
    <x v="1"/>
  </r>
  <r>
    <x v="1"/>
    <x v="1"/>
    <x v="34"/>
    <x v="212"/>
    <x v="24"/>
    <x v="9"/>
    <n v="12"/>
    <x v="0"/>
    <x v="0"/>
    <x v="3"/>
    <x v="3"/>
    <d v="2026-02-16T00:00:00"/>
    <x v="1"/>
    <x v="1"/>
    <x v="0"/>
    <x v="0"/>
    <x v="0"/>
    <x v="8"/>
    <x v="0"/>
    <x v="0"/>
    <x v="0"/>
    <x v="0"/>
    <x v="2"/>
  </r>
  <r>
    <x v="1"/>
    <x v="2"/>
    <x v="37"/>
    <x v="213"/>
    <x v="25"/>
    <x v="21"/>
    <n v="3"/>
    <x v="0"/>
    <x v="0"/>
    <x v="0"/>
    <x v="0"/>
    <d v="2026-02-16T00:00:00"/>
    <x v="0"/>
    <x v="0"/>
    <x v="0"/>
    <x v="0"/>
    <x v="0"/>
    <x v="2"/>
    <x v="0"/>
    <x v="0"/>
    <x v="0"/>
    <x v="0"/>
    <x v="3"/>
  </r>
  <r>
    <x v="1"/>
    <x v="2"/>
    <x v="36"/>
    <x v="214"/>
    <x v="25"/>
    <x v="0"/>
    <n v="8"/>
    <x v="0"/>
    <x v="0"/>
    <x v="3"/>
    <x v="0"/>
    <d v="2026-02-16T00:00:00"/>
    <x v="0"/>
    <x v="0"/>
    <x v="0"/>
    <x v="0"/>
    <x v="0"/>
    <x v="5"/>
    <x v="0"/>
    <x v="0"/>
    <x v="0"/>
    <x v="0"/>
    <x v="3"/>
  </r>
  <r>
    <x v="1"/>
    <x v="2"/>
    <x v="36"/>
    <x v="215"/>
    <x v="25"/>
    <x v="11"/>
    <n v="38"/>
    <x v="0"/>
    <x v="0"/>
    <x v="3"/>
    <x v="7"/>
    <d v="2026-02-13T00:00:00"/>
    <x v="1"/>
    <x v="1"/>
    <x v="0"/>
    <x v="0"/>
    <x v="0"/>
    <x v="0"/>
    <x v="0"/>
    <x v="0"/>
    <x v="0"/>
    <x v="0"/>
    <x v="3"/>
  </r>
  <r>
    <x v="1"/>
    <x v="2"/>
    <x v="38"/>
    <x v="216"/>
    <x v="26"/>
    <x v="3"/>
    <n v="20"/>
    <x v="0"/>
    <x v="0"/>
    <x v="7"/>
    <x v="0"/>
    <d v="2026-02-18T00:00:00"/>
    <x v="0"/>
    <x v="0"/>
    <x v="0"/>
    <x v="0"/>
    <x v="0"/>
    <x v="0"/>
    <x v="0"/>
    <x v="0"/>
    <x v="0"/>
    <x v="0"/>
    <x v="3"/>
  </r>
  <r>
    <x v="1"/>
    <x v="2"/>
    <x v="36"/>
    <x v="217"/>
    <x v="26"/>
    <x v="22"/>
    <n v="5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6"/>
    <x v="218"/>
    <x v="26"/>
    <x v="22"/>
    <n v="1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6"/>
    <x v="219"/>
    <x v="26"/>
    <x v="22"/>
    <n v="26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7"/>
    <x v="220"/>
    <x v="26"/>
    <x v="16"/>
    <n v="29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7"/>
    <x v="221"/>
    <x v="26"/>
    <x v="0"/>
    <n v="18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7"/>
    <x v="222"/>
    <x v="26"/>
    <x v="16"/>
    <n v="2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8"/>
    <x v="223"/>
    <x v="27"/>
    <x v="31"/>
    <n v="14"/>
    <x v="0"/>
    <x v="0"/>
    <x v="8"/>
    <x v="0"/>
    <d v="2026-02-19T00:00:00"/>
    <x v="0"/>
    <x v="0"/>
    <x v="0"/>
    <x v="0"/>
    <x v="0"/>
    <x v="4"/>
    <x v="0"/>
    <x v="0"/>
    <x v="0"/>
    <x v="0"/>
    <x v="3"/>
  </r>
  <r>
    <x v="1"/>
    <x v="2"/>
    <x v="38"/>
    <x v="224"/>
    <x v="27"/>
    <x v="44"/>
    <n v="1"/>
    <x v="0"/>
    <x v="0"/>
    <x v="8"/>
    <x v="0"/>
    <d v="2026-02-19T00:00:00"/>
    <x v="0"/>
    <x v="0"/>
    <x v="0"/>
    <x v="0"/>
    <x v="0"/>
    <x v="4"/>
    <x v="0"/>
    <x v="0"/>
    <x v="0"/>
    <x v="0"/>
    <x v="1"/>
  </r>
  <r>
    <x v="1"/>
    <x v="2"/>
    <x v="39"/>
    <x v="225"/>
    <x v="27"/>
    <x v="1"/>
    <n v="7"/>
    <x v="0"/>
    <x v="0"/>
    <x v="3"/>
    <x v="0"/>
    <d v="2026-02-19T00:00:00"/>
    <x v="0"/>
    <x v="0"/>
    <x v="0"/>
    <x v="0"/>
    <x v="0"/>
    <x v="5"/>
    <x v="0"/>
    <x v="0"/>
    <x v="0"/>
    <x v="0"/>
    <x v="3"/>
  </r>
  <r>
    <x v="1"/>
    <x v="2"/>
    <x v="39"/>
    <x v="226"/>
    <x v="26"/>
    <x v="1"/>
    <n v="19"/>
    <x v="0"/>
    <x v="0"/>
    <x v="0"/>
    <x v="4"/>
    <d v="2026-02-19T00:00:00"/>
    <x v="1"/>
    <x v="1"/>
    <x v="0"/>
    <x v="0"/>
    <x v="0"/>
    <x v="5"/>
    <x v="0"/>
    <x v="0"/>
    <x v="0"/>
    <x v="0"/>
    <x v="3"/>
  </r>
  <r>
    <x v="1"/>
    <x v="2"/>
    <x v="40"/>
    <x v="227"/>
    <x v="28"/>
    <x v="27"/>
    <n v="4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40"/>
    <x v="228"/>
    <x v="28"/>
    <x v="5"/>
    <n v="40"/>
    <x v="0"/>
    <x v="0"/>
    <x v="7"/>
    <x v="0"/>
    <d v="2026-02-20T00:00:00"/>
    <x v="0"/>
    <x v="0"/>
    <x v="0"/>
    <x v="0"/>
    <x v="0"/>
    <x v="0"/>
    <x v="0"/>
    <x v="0"/>
    <x v="0"/>
    <x v="0"/>
    <x v="1"/>
  </r>
  <r>
    <x v="1"/>
    <x v="2"/>
    <x v="41"/>
    <x v="229"/>
    <x v="28"/>
    <x v="1"/>
    <n v="10"/>
    <x v="0"/>
    <x v="0"/>
    <x v="8"/>
    <x v="8"/>
    <d v="2026-02-19T00:00:00"/>
    <x v="1"/>
    <x v="1"/>
    <x v="0"/>
    <x v="0"/>
    <x v="0"/>
    <x v="0"/>
    <x v="0"/>
    <x v="0"/>
    <x v="0"/>
    <x v="0"/>
    <x v="1"/>
  </r>
  <r>
    <x v="1"/>
    <x v="2"/>
    <x v="36"/>
    <x v="230"/>
    <x v="28"/>
    <x v="32"/>
    <n v="4"/>
    <x v="0"/>
    <x v="0"/>
    <x v="4"/>
    <x v="9"/>
    <d v="2026-02-13T00:00:00"/>
    <x v="1"/>
    <x v="1"/>
    <x v="0"/>
    <x v="0"/>
    <x v="0"/>
    <x v="0"/>
    <x v="0"/>
    <x v="0"/>
    <x v="0"/>
    <x v="0"/>
    <x v="3"/>
  </r>
  <r>
    <x v="1"/>
    <x v="2"/>
    <x v="40"/>
    <x v="231"/>
    <x v="28"/>
    <x v="0"/>
    <n v="13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40"/>
    <x v="232"/>
    <x v="28"/>
    <x v="0"/>
    <n v="4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28"/>
    <x v="233"/>
    <x v="27"/>
    <x v="24"/>
    <n v="2"/>
    <x v="0"/>
    <x v="0"/>
    <x v="16"/>
    <x v="4"/>
    <d v="2026-02-20T00:00:00"/>
    <x v="1"/>
    <x v="1"/>
    <x v="0"/>
    <x v="0"/>
    <x v="0"/>
    <x v="17"/>
    <x v="0"/>
    <x v="0"/>
    <x v="0"/>
    <x v="0"/>
    <x v="3"/>
  </r>
  <r>
    <x v="1"/>
    <x v="2"/>
    <x v="41"/>
    <x v="234"/>
    <x v="28"/>
    <x v="44"/>
    <n v="3"/>
    <x v="0"/>
    <x v="0"/>
    <x v="8"/>
    <x v="0"/>
    <d v="2026-02-20T00:00:00"/>
    <x v="0"/>
    <x v="0"/>
    <x v="0"/>
    <x v="0"/>
    <x v="0"/>
    <x v="4"/>
    <x v="0"/>
    <x v="0"/>
    <x v="0"/>
    <x v="0"/>
    <x v="2"/>
  </r>
  <r>
    <x v="1"/>
    <x v="2"/>
    <x v="41"/>
    <x v="235"/>
    <x v="28"/>
    <x v="36"/>
    <n v="3"/>
    <x v="0"/>
    <x v="0"/>
    <x v="8"/>
    <x v="0"/>
    <d v="2026-02-20T00:00:00"/>
    <x v="0"/>
    <x v="0"/>
    <x v="0"/>
    <x v="0"/>
    <x v="0"/>
    <x v="4"/>
    <x v="0"/>
    <x v="0"/>
    <x v="0"/>
    <x v="0"/>
    <x v="2"/>
  </r>
  <r>
    <x v="1"/>
    <x v="2"/>
    <x v="40"/>
    <x v="236"/>
    <x v="28"/>
    <x v="23"/>
    <n v="10"/>
    <x v="0"/>
    <x v="0"/>
    <x v="7"/>
    <x v="0"/>
    <d v="2026-02-20T00:00:00"/>
    <x v="0"/>
    <x v="0"/>
    <x v="0"/>
    <x v="0"/>
    <x v="0"/>
    <x v="0"/>
    <x v="0"/>
    <x v="0"/>
    <x v="0"/>
    <x v="0"/>
    <x v="2"/>
  </r>
  <r>
    <x v="1"/>
    <x v="2"/>
    <x v="42"/>
    <x v="237"/>
    <x v="28"/>
    <x v="31"/>
    <n v="7"/>
    <x v="0"/>
    <x v="0"/>
    <x v="12"/>
    <x v="4"/>
    <d v="2026-02-21T00:00:00"/>
    <x v="1"/>
    <x v="1"/>
    <x v="0"/>
    <x v="0"/>
    <x v="0"/>
    <x v="0"/>
    <x v="0"/>
    <x v="0"/>
    <x v="0"/>
    <x v="0"/>
    <x v="3"/>
  </r>
  <r>
    <x v="1"/>
    <x v="2"/>
    <x v="40"/>
    <x v="238"/>
    <x v="28"/>
    <x v="11"/>
    <n v="7"/>
    <x v="0"/>
    <x v="0"/>
    <x v="7"/>
    <x v="1"/>
    <d v="2026-02-23T00:00:00"/>
    <x v="1"/>
    <x v="1"/>
    <x v="0"/>
    <x v="0"/>
    <x v="0"/>
    <x v="5"/>
    <x v="0"/>
    <x v="0"/>
    <x v="0"/>
    <x v="0"/>
    <x v="2"/>
  </r>
  <r>
    <x v="1"/>
    <x v="2"/>
    <x v="42"/>
    <x v="239"/>
    <x v="28"/>
    <x v="5"/>
    <n v="6"/>
    <x v="0"/>
    <x v="0"/>
    <x v="12"/>
    <x v="1"/>
    <d v="2026-02-23T00:00:00"/>
    <x v="1"/>
    <x v="1"/>
    <x v="0"/>
    <x v="0"/>
    <x v="0"/>
    <x v="2"/>
    <x v="0"/>
    <x v="0"/>
    <x v="0"/>
    <x v="0"/>
    <x v="2"/>
  </r>
  <r>
    <x v="1"/>
    <x v="2"/>
    <x v="40"/>
    <x v="240"/>
    <x v="29"/>
    <x v="21"/>
    <n v="37"/>
    <x v="0"/>
    <x v="0"/>
    <x v="8"/>
    <x v="3"/>
    <d v="2026-02-23T00:00:00"/>
    <x v="1"/>
    <x v="1"/>
    <x v="0"/>
    <x v="0"/>
    <x v="0"/>
    <x v="5"/>
    <x v="0"/>
    <x v="0"/>
    <x v="0"/>
    <x v="0"/>
    <x v="2"/>
  </r>
  <r>
    <x v="1"/>
    <x v="2"/>
    <x v="41"/>
    <x v="241"/>
    <x v="27"/>
    <x v="21"/>
    <n v="15"/>
    <x v="0"/>
    <x v="0"/>
    <x v="7"/>
    <x v="0"/>
    <d v="2026-02-19T00:00:00"/>
    <x v="0"/>
    <x v="0"/>
    <x v="0"/>
    <x v="0"/>
    <x v="0"/>
    <x v="0"/>
    <x v="0"/>
    <x v="0"/>
    <x v="0"/>
    <x v="0"/>
    <x v="1"/>
  </r>
  <r>
    <x v="1"/>
    <x v="2"/>
    <x v="41"/>
    <x v="242"/>
    <x v="27"/>
    <x v="21"/>
    <n v="40"/>
    <x v="0"/>
    <x v="0"/>
    <x v="7"/>
    <x v="4"/>
    <d v="2026-02-20T00:00:00"/>
    <x v="1"/>
    <x v="1"/>
    <x v="0"/>
    <x v="0"/>
    <x v="0"/>
    <x v="4"/>
    <x v="0"/>
    <x v="0"/>
    <x v="0"/>
    <x v="0"/>
    <x v="3"/>
  </r>
  <r>
    <x v="1"/>
    <x v="2"/>
    <x v="41"/>
    <x v="243"/>
    <x v="27"/>
    <x v="50"/>
    <n v="2"/>
    <x v="0"/>
    <x v="0"/>
    <x v="7"/>
    <x v="0"/>
    <d v="2026-02-19T00:00:00"/>
    <x v="0"/>
    <x v="0"/>
    <x v="0"/>
    <x v="0"/>
    <x v="0"/>
    <x v="0"/>
    <x v="0"/>
    <x v="0"/>
    <x v="0"/>
    <x v="0"/>
    <x v="3"/>
  </r>
  <r>
    <x v="1"/>
    <x v="2"/>
    <x v="41"/>
    <x v="244"/>
    <x v="27"/>
    <x v="36"/>
    <n v="25"/>
    <x v="0"/>
    <x v="0"/>
    <x v="7"/>
    <x v="0"/>
    <d v="2026-02-19T00:00:00"/>
    <x v="0"/>
    <x v="0"/>
    <x v="0"/>
    <x v="0"/>
    <x v="0"/>
    <x v="0"/>
    <x v="0"/>
    <x v="0"/>
    <x v="0"/>
    <x v="0"/>
    <x v="2"/>
  </r>
  <r>
    <x v="1"/>
    <x v="2"/>
    <x v="42"/>
    <x v="245"/>
    <x v="29"/>
    <x v="1"/>
    <n v="11"/>
    <x v="0"/>
    <x v="0"/>
    <x v="7"/>
    <x v="0"/>
    <d v="2026-02-21T00:00:00"/>
    <x v="0"/>
    <x v="0"/>
    <x v="0"/>
    <x v="0"/>
    <x v="0"/>
    <x v="0"/>
    <x v="0"/>
    <x v="0"/>
    <x v="0"/>
    <x v="0"/>
    <x v="3"/>
  </r>
  <r>
    <x v="1"/>
    <x v="2"/>
    <x v="42"/>
    <x v="246"/>
    <x v="29"/>
    <x v="1"/>
    <n v="49"/>
    <x v="0"/>
    <x v="0"/>
    <x v="7"/>
    <x v="1"/>
    <d v="2026-02-24T00:00:00"/>
    <x v="1"/>
    <x v="1"/>
    <x v="0"/>
    <x v="0"/>
    <x v="0"/>
    <x v="5"/>
    <x v="0"/>
    <x v="0"/>
    <x v="0"/>
    <x v="0"/>
    <x v="3"/>
  </r>
  <r>
    <x v="1"/>
    <x v="2"/>
    <x v="42"/>
    <x v="247"/>
    <x v="29"/>
    <x v="1"/>
    <n v="17"/>
    <x v="0"/>
    <x v="0"/>
    <x v="7"/>
    <x v="5"/>
    <d v="2026-02-25T00:00:00"/>
    <x v="1"/>
    <x v="1"/>
    <x v="0"/>
    <x v="0"/>
    <x v="0"/>
    <x v="1"/>
    <x v="0"/>
    <x v="0"/>
    <x v="0"/>
    <x v="0"/>
    <x v="3"/>
  </r>
  <r>
    <x v="1"/>
    <x v="3"/>
    <x v="43"/>
    <x v="248"/>
    <x v="30"/>
    <x v="4"/>
    <n v="3"/>
    <x v="0"/>
    <x v="0"/>
    <x v="7"/>
    <x v="0"/>
    <d v="2026-02-23T00:00:00"/>
    <x v="0"/>
    <x v="0"/>
    <x v="0"/>
    <x v="0"/>
    <x v="0"/>
    <x v="0"/>
    <x v="0"/>
    <x v="0"/>
    <x v="0"/>
    <x v="0"/>
    <x v="3"/>
  </r>
  <r>
    <x v="1"/>
    <x v="3"/>
    <x v="40"/>
    <x v="249"/>
    <x v="30"/>
    <x v="28"/>
    <n v="23"/>
    <x v="0"/>
    <x v="0"/>
    <x v="3"/>
    <x v="7"/>
    <d v="2026-02-20T00:00:00"/>
    <x v="1"/>
    <x v="1"/>
    <x v="0"/>
    <x v="0"/>
    <x v="0"/>
    <x v="0"/>
    <x v="0"/>
    <x v="0"/>
    <x v="0"/>
    <x v="0"/>
    <x v="2"/>
  </r>
  <r>
    <x v="1"/>
    <x v="3"/>
    <x v="43"/>
    <x v="250"/>
    <x v="30"/>
    <x v="23"/>
    <n v="24"/>
    <x v="0"/>
    <x v="0"/>
    <x v="7"/>
    <x v="0"/>
    <d v="2026-02-23T00:00:00"/>
    <x v="0"/>
    <x v="0"/>
    <x v="0"/>
    <x v="0"/>
    <x v="0"/>
    <x v="0"/>
    <x v="0"/>
    <x v="0"/>
    <x v="0"/>
    <x v="0"/>
    <x v="3"/>
  </r>
  <r>
    <x v="1"/>
    <x v="3"/>
    <x v="40"/>
    <x v="251"/>
    <x v="30"/>
    <x v="40"/>
    <n v="4"/>
    <x v="0"/>
    <x v="0"/>
    <x v="3"/>
    <x v="7"/>
    <d v="2026-02-20T00:00:00"/>
    <x v="1"/>
    <x v="1"/>
    <x v="0"/>
    <x v="0"/>
    <x v="0"/>
    <x v="0"/>
    <x v="0"/>
    <x v="0"/>
    <x v="0"/>
    <x v="0"/>
    <x v="3"/>
  </r>
  <r>
    <x v="1"/>
    <x v="3"/>
    <x v="40"/>
    <x v="252"/>
    <x v="30"/>
    <x v="36"/>
    <n v="19"/>
    <x v="0"/>
    <x v="0"/>
    <x v="3"/>
    <x v="4"/>
    <d v="2026-02-24T00:00:00"/>
    <x v="1"/>
    <x v="1"/>
    <x v="0"/>
    <x v="0"/>
    <x v="0"/>
    <x v="1"/>
    <x v="0"/>
    <x v="0"/>
    <x v="0"/>
    <x v="0"/>
    <x v="3"/>
  </r>
  <r>
    <x v="1"/>
    <x v="3"/>
    <x v="40"/>
    <x v="253"/>
    <x v="30"/>
    <x v="17"/>
    <n v="3"/>
    <x v="0"/>
    <x v="0"/>
    <x v="3"/>
    <x v="4"/>
    <d v="2026-02-24T00:00:00"/>
    <x v="1"/>
    <x v="1"/>
    <x v="0"/>
    <x v="0"/>
    <x v="0"/>
    <x v="1"/>
    <x v="0"/>
    <x v="0"/>
    <x v="0"/>
    <x v="0"/>
    <x v="3"/>
  </r>
  <r>
    <x v="1"/>
    <x v="3"/>
    <x v="44"/>
    <x v="254"/>
    <x v="30"/>
    <x v="36"/>
    <n v="1"/>
    <x v="0"/>
    <x v="0"/>
    <x v="12"/>
    <x v="4"/>
    <d v="2026-02-24T00:00:00"/>
    <x v="1"/>
    <x v="1"/>
    <x v="0"/>
    <x v="0"/>
    <x v="0"/>
    <x v="0"/>
    <x v="0"/>
    <x v="0"/>
    <x v="0"/>
    <x v="0"/>
    <x v="3"/>
  </r>
  <r>
    <x v="1"/>
    <x v="3"/>
    <x v="44"/>
    <x v="255"/>
    <x v="31"/>
    <x v="32"/>
    <n v="1"/>
    <x v="0"/>
    <x v="0"/>
    <x v="7"/>
    <x v="0"/>
    <d v="2026-02-24T00:00:00"/>
    <x v="0"/>
    <x v="0"/>
    <x v="0"/>
    <x v="0"/>
    <x v="0"/>
    <x v="0"/>
    <x v="0"/>
    <x v="0"/>
    <x v="0"/>
    <x v="0"/>
    <x v="3"/>
  </r>
  <r>
    <x v="1"/>
    <x v="3"/>
    <x v="43"/>
    <x v="256"/>
    <x v="31"/>
    <x v="12"/>
    <n v="37"/>
    <x v="0"/>
    <x v="0"/>
    <x v="8"/>
    <x v="8"/>
    <d v="2026-02-23T00:00:00"/>
    <x v="1"/>
    <x v="1"/>
    <x v="0"/>
    <x v="0"/>
    <x v="0"/>
    <x v="0"/>
    <x v="0"/>
    <x v="0"/>
    <x v="0"/>
    <x v="0"/>
    <x v="3"/>
  </r>
  <r>
    <x v="1"/>
    <x v="3"/>
    <x v="43"/>
    <x v="257"/>
    <x v="31"/>
    <x v="19"/>
    <n v="3"/>
    <x v="0"/>
    <x v="0"/>
    <x v="8"/>
    <x v="8"/>
    <d v="2026-02-23T00:00:00"/>
    <x v="1"/>
    <x v="1"/>
    <x v="0"/>
    <x v="0"/>
    <x v="0"/>
    <x v="0"/>
    <x v="0"/>
    <x v="0"/>
    <x v="0"/>
    <x v="0"/>
    <x v="3"/>
  </r>
  <r>
    <x v="1"/>
    <x v="3"/>
    <x v="43"/>
    <x v="258"/>
    <x v="31"/>
    <x v="52"/>
    <n v="1"/>
    <x v="0"/>
    <x v="0"/>
    <x v="8"/>
    <x v="4"/>
    <d v="2026-02-25T00:00:00"/>
    <x v="1"/>
    <x v="1"/>
    <x v="0"/>
    <x v="0"/>
    <x v="0"/>
    <x v="2"/>
    <x v="0"/>
    <x v="0"/>
    <x v="0"/>
    <x v="0"/>
    <x v="3"/>
  </r>
  <r>
    <x v="1"/>
    <x v="3"/>
    <x v="44"/>
    <x v="259"/>
    <x v="32"/>
    <x v="52"/>
    <n v="31"/>
    <x v="0"/>
    <x v="0"/>
    <x v="8"/>
    <x v="0"/>
    <d v="2026-02-25T00:00:00"/>
    <x v="0"/>
    <x v="0"/>
    <x v="0"/>
    <x v="0"/>
    <x v="0"/>
    <x v="4"/>
    <x v="0"/>
    <x v="0"/>
    <x v="0"/>
    <x v="0"/>
    <x v="3"/>
  </r>
  <r>
    <x v="1"/>
    <x v="3"/>
    <x v="44"/>
    <x v="260"/>
    <x v="31"/>
    <x v="32"/>
    <n v="2"/>
    <x v="0"/>
    <x v="0"/>
    <x v="7"/>
    <x v="4"/>
    <d v="2026-02-25T00:00:00"/>
    <x v="1"/>
    <x v="1"/>
    <x v="0"/>
    <x v="0"/>
    <x v="0"/>
    <x v="4"/>
    <x v="1"/>
    <x v="1"/>
    <x v="1"/>
    <x v="0"/>
    <x v="3"/>
  </r>
  <r>
    <x v="1"/>
    <x v="3"/>
    <x v="45"/>
    <x v="261"/>
    <x v="31"/>
    <x v="6"/>
    <n v="44"/>
    <x v="0"/>
    <x v="2"/>
    <x v="0"/>
    <x v="4"/>
    <d v="2026-02-25T00:00:00"/>
    <x v="1"/>
    <x v="1"/>
    <x v="1"/>
    <x v="1"/>
    <x v="1"/>
    <x v="5"/>
    <x v="0"/>
    <x v="0"/>
    <x v="0"/>
    <x v="0"/>
    <x v="3"/>
  </r>
  <r>
    <x v="1"/>
    <x v="3"/>
    <x v="42"/>
    <x v="246"/>
    <x v="31"/>
    <x v="1"/>
    <n v="16"/>
    <x v="0"/>
    <x v="2"/>
    <x v="3"/>
    <x v="8"/>
    <d v="2026-02-23T00:00:00"/>
    <x v="1"/>
    <x v="1"/>
    <x v="1"/>
    <x v="1"/>
    <x v="1"/>
    <x v="2"/>
    <x v="0"/>
    <x v="0"/>
    <x v="0"/>
    <x v="0"/>
    <x v="3"/>
  </r>
  <r>
    <x v="1"/>
    <x v="3"/>
    <x v="40"/>
    <x v="262"/>
    <x v="32"/>
    <x v="22"/>
    <n v="1"/>
    <x v="0"/>
    <x v="0"/>
    <x v="6"/>
    <x v="0"/>
    <d v="2026-02-25T00:00:00"/>
    <x v="0"/>
    <x v="0"/>
    <x v="0"/>
    <x v="0"/>
    <x v="0"/>
    <x v="8"/>
    <x v="0"/>
    <x v="0"/>
    <x v="0"/>
    <x v="0"/>
    <x v="3"/>
  </r>
  <r>
    <x v="1"/>
    <x v="3"/>
    <x v="40"/>
    <x v="263"/>
    <x v="32"/>
    <x v="32"/>
    <n v="2"/>
    <x v="0"/>
    <x v="0"/>
    <x v="6"/>
    <x v="0"/>
    <d v="2026-02-25T00:00:00"/>
    <x v="0"/>
    <x v="0"/>
    <x v="0"/>
    <x v="0"/>
    <x v="0"/>
    <x v="8"/>
    <x v="0"/>
    <x v="0"/>
    <x v="0"/>
    <x v="0"/>
    <x v="1"/>
  </r>
  <r>
    <x v="1"/>
    <x v="3"/>
    <x v="44"/>
    <x v="264"/>
    <x v="32"/>
    <x v="11"/>
    <n v="2"/>
    <x v="0"/>
    <x v="0"/>
    <x v="8"/>
    <x v="8"/>
    <d v="2026-02-24T00:00:00"/>
    <x v="1"/>
    <x v="1"/>
    <x v="0"/>
    <x v="0"/>
    <x v="0"/>
    <x v="0"/>
    <x v="0"/>
    <x v="0"/>
    <x v="0"/>
    <x v="0"/>
    <x v="3"/>
  </r>
  <r>
    <x v="1"/>
    <x v="3"/>
    <x v="40"/>
    <x v="265"/>
    <x v="31"/>
    <x v="20"/>
    <n v="21"/>
    <x v="0"/>
    <x v="0"/>
    <x v="1"/>
    <x v="4"/>
    <d v="2026-02-25T00:00:00"/>
    <x v="1"/>
    <x v="1"/>
    <x v="0"/>
    <x v="0"/>
    <x v="0"/>
    <x v="8"/>
    <x v="0"/>
    <x v="0"/>
    <x v="0"/>
    <x v="0"/>
    <x v="1"/>
  </r>
  <r>
    <x v="1"/>
    <x v="3"/>
    <x v="46"/>
    <x v="266"/>
    <x v="33"/>
    <x v="21"/>
    <n v="111"/>
    <x v="0"/>
    <x v="0"/>
    <x v="8"/>
    <x v="8"/>
    <d v="2026-02-25T00:00:00"/>
    <x v="1"/>
    <x v="1"/>
    <x v="0"/>
    <x v="0"/>
    <x v="0"/>
    <x v="0"/>
    <x v="0"/>
    <x v="0"/>
    <x v="0"/>
    <x v="0"/>
    <x v="1"/>
  </r>
  <r>
    <x v="1"/>
    <x v="3"/>
    <x v="46"/>
    <x v="267"/>
    <x v="33"/>
    <x v="21"/>
    <n v="1"/>
    <x v="0"/>
    <x v="0"/>
    <x v="8"/>
    <x v="8"/>
    <d v="2026-02-25T00:00:00"/>
    <x v="1"/>
    <x v="1"/>
    <x v="0"/>
    <x v="0"/>
    <x v="0"/>
    <x v="0"/>
    <x v="0"/>
    <x v="0"/>
    <x v="0"/>
    <x v="0"/>
    <x v="1"/>
  </r>
  <r>
    <x v="1"/>
    <x v="3"/>
    <x v="39"/>
    <x v="268"/>
    <x v="33"/>
    <x v="51"/>
    <n v="1"/>
    <x v="0"/>
    <x v="0"/>
    <x v="17"/>
    <x v="10"/>
    <d v="2026-02-16T00:00:00"/>
    <x v="1"/>
    <x v="1"/>
    <x v="0"/>
    <x v="0"/>
    <x v="0"/>
    <x v="0"/>
    <x v="0"/>
    <x v="0"/>
    <x v="0"/>
    <x v="0"/>
    <x v="1"/>
  </r>
  <r>
    <x v="1"/>
    <x v="3"/>
    <x v="44"/>
    <x v="269"/>
    <x v="32"/>
    <x v="0"/>
    <n v="1"/>
    <x v="0"/>
    <x v="0"/>
    <x v="8"/>
    <x v="8"/>
    <d v="2026-02-24T00:00:00"/>
    <x v="1"/>
    <x v="1"/>
    <x v="0"/>
    <x v="0"/>
    <x v="0"/>
    <x v="0"/>
    <x v="0"/>
    <x v="0"/>
    <x v="0"/>
    <x v="0"/>
    <x v="1"/>
  </r>
  <r>
    <x v="1"/>
    <x v="3"/>
    <x v="44"/>
    <x v="270"/>
    <x v="32"/>
    <x v="0"/>
    <n v="5"/>
    <x v="0"/>
    <x v="0"/>
    <x v="8"/>
    <x v="8"/>
    <d v="2026-02-24T00:00:00"/>
    <x v="1"/>
    <x v="1"/>
    <x v="0"/>
    <x v="0"/>
    <x v="0"/>
    <x v="0"/>
    <x v="0"/>
    <x v="0"/>
    <x v="0"/>
    <x v="0"/>
    <x v="1"/>
  </r>
  <r>
    <x v="1"/>
    <x v="3"/>
    <x v="42"/>
    <x v="271"/>
    <x v="33"/>
    <x v="0"/>
    <n v="40"/>
    <x v="0"/>
    <x v="0"/>
    <x v="6"/>
    <x v="11"/>
    <d v="2026-02-21T00:00:00"/>
    <x v="1"/>
    <x v="1"/>
    <x v="0"/>
    <x v="0"/>
    <x v="0"/>
    <x v="0"/>
    <x v="0"/>
    <x v="0"/>
    <x v="0"/>
    <x v="0"/>
    <x v="1"/>
  </r>
  <r>
    <x v="1"/>
    <x v="3"/>
    <x v="39"/>
    <x v="272"/>
    <x v="32"/>
    <x v="51"/>
    <n v="5"/>
    <x v="0"/>
    <x v="0"/>
    <x v="15"/>
    <x v="12"/>
    <d v="2026-02-16T00:00:00"/>
    <x v="1"/>
    <x v="1"/>
    <x v="0"/>
    <x v="0"/>
    <x v="0"/>
    <x v="0"/>
    <x v="0"/>
    <x v="0"/>
    <x v="0"/>
    <x v="0"/>
    <x v="3"/>
  </r>
  <r>
    <x v="1"/>
    <x v="3"/>
    <x v="42"/>
    <x v="273"/>
    <x v="32"/>
    <x v="0"/>
    <n v="1"/>
    <x v="0"/>
    <x v="0"/>
    <x v="1"/>
    <x v="13"/>
    <d v="2026-02-21T00:00:00"/>
    <x v="1"/>
    <x v="1"/>
    <x v="0"/>
    <x v="0"/>
    <x v="0"/>
    <x v="0"/>
    <x v="0"/>
    <x v="0"/>
    <x v="0"/>
    <x v="0"/>
    <x v="3"/>
  </r>
  <r>
    <x v="1"/>
    <x v="3"/>
    <x v="44"/>
    <x v="274"/>
    <x v="32"/>
    <x v="0"/>
    <n v="3"/>
    <x v="0"/>
    <x v="0"/>
    <x v="8"/>
    <x v="8"/>
    <d v="2026-02-24T00:00:00"/>
    <x v="1"/>
    <x v="1"/>
    <x v="0"/>
    <x v="0"/>
    <x v="0"/>
    <x v="0"/>
    <x v="0"/>
    <x v="0"/>
    <x v="0"/>
    <x v="0"/>
    <x v="3"/>
  </r>
  <r>
    <x v="1"/>
    <x v="3"/>
    <x v="43"/>
    <x v="275"/>
    <x v="32"/>
    <x v="53"/>
    <n v="27"/>
    <x v="0"/>
    <x v="0"/>
    <x v="0"/>
    <x v="14"/>
    <d v="2026-02-23T00:00:00"/>
    <x v="1"/>
    <x v="1"/>
    <x v="0"/>
    <x v="0"/>
    <x v="0"/>
    <x v="0"/>
    <x v="0"/>
    <x v="0"/>
    <x v="0"/>
    <x v="0"/>
    <x v="3"/>
  </r>
  <r>
    <x v="1"/>
    <x v="3"/>
    <x v="46"/>
    <x v="276"/>
    <x v="32"/>
    <x v="5"/>
    <n v="3"/>
    <x v="0"/>
    <x v="0"/>
    <x v="7"/>
    <x v="0"/>
    <d v="2026-02-25T00:00:00"/>
    <x v="0"/>
    <x v="0"/>
    <x v="0"/>
    <x v="0"/>
    <x v="0"/>
    <x v="0"/>
    <x v="0"/>
    <x v="0"/>
    <x v="0"/>
    <x v="0"/>
    <x v="3"/>
  </r>
  <r>
    <x v="1"/>
    <x v="3"/>
    <x v="44"/>
    <x v="277"/>
    <x v="33"/>
    <x v="53"/>
    <n v="30"/>
    <x v="0"/>
    <x v="0"/>
    <x v="0"/>
    <x v="14"/>
    <d v="2026-02-24T00:00:00"/>
    <x v="1"/>
    <x v="1"/>
    <x v="0"/>
    <x v="0"/>
    <x v="0"/>
    <x v="0"/>
    <x v="0"/>
    <x v="0"/>
    <x v="0"/>
    <x v="0"/>
    <x v="3"/>
  </r>
  <r>
    <x v="1"/>
    <x v="3"/>
    <x v="46"/>
    <x v="278"/>
    <x v="33"/>
    <x v="3"/>
    <n v="80"/>
    <x v="0"/>
    <x v="0"/>
    <x v="8"/>
    <x v="8"/>
    <d v="2026-02-25T00:00:00"/>
    <x v="1"/>
    <x v="1"/>
    <x v="0"/>
    <x v="0"/>
    <x v="0"/>
    <x v="0"/>
    <x v="0"/>
    <x v="0"/>
    <x v="0"/>
    <x v="0"/>
    <x v="3"/>
  </r>
  <r>
    <x v="1"/>
    <x v="3"/>
    <x v="47"/>
    <x v="279"/>
    <x v="32"/>
    <x v="11"/>
    <n v="4"/>
    <x v="0"/>
    <x v="0"/>
    <x v="12"/>
    <x v="4"/>
    <d v="2026-02-26T00:00:00"/>
    <x v="1"/>
    <x v="1"/>
    <x v="0"/>
    <x v="0"/>
    <x v="0"/>
    <x v="0"/>
    <x v="0"/>
    <x v="0"/>
    <x v="0"/>
    <x v="0"/>
    <x v="3"/>
  </r>
  <r>
    <x v="1"/>
    <x v="3"/>
    <x v="47"/>
    <x v="280"/>
    <x v="33"/>
    <x v="54"/>
    <n v="203"/>
    <x v="0"/>
    <x v="0"/>
    <x v="7"/>
    <x v="0"/>
    <d v="2026-02-26T00:00:00"/>
    <x v="0"/>
    <x v="0"/>
    <x v="0"/>
    <x v="0"/>
    <x v="0"/>
    <x v="0"/>
    <x v="0"/>
    <x v="0"/>
    <x v="0"/>
    <x v="0"/>
    <x v="3"/>
  </r>
  <r>
    <x v="1"/>
    <x v="3"/>
    <x v="44"/>
    <x v="281"/>
    <x v="33"/>
    <x v="55"/>
    <n v="7"/>
    <x v="0"/>
    <x v="0"/>
    <x v="0"/>
    <x v="14"/>
    <d v="2026-02-24T00:00:00"/>
    <x v="1"/>
    <x v="1"/>
    <x v="0"/>
    <x v="0"/>
    <x v="0"/>
    <x v="0"/>
    <x v="1"/>
    <x v="0"/>
    <x v="1"/>
    <x v="0"/>
    <x v="3"/>
  </r>
  <r>
    <x v="1"/>
    <x v="3"/>
    <x v="46"/>
    <x v="282"/>
    <x v="33"/>
    <x v="0"/>
    <n v="37"/>
    <x v="0"/>
    <x v="0"/>
    <x v="8"/>
    <x v="8"/>
    <d v="2026-02-25T00:00:00"/>
    <x v="1"/>
    <x v="1"/>
    <x v="0"/>
    <x v="0"/>
    <x v="0"/>
    <x v="0"/>
    <x v="0"/>
    <x v="0"/>
    <x v="0"/>
    <x v="0"/>
    <x v="3"/>
  </r>
  <r>
    <x v="1"/>
    <x v="3"/>
    <x v="47"/>
    <x v="283"/>
    <x v="33"/>
    <x v="0"/>
    <n v="2"/>
    <x v="0"/>
    <x v="1"/>
    <x v="7"/>
    <x v="0"/>
    <d v="2026-02-26T00:00:00"/>
    <x v="0"/>
    <x v="0"/>
    <x v="1"/>
    <x v="1"/>
    <x v="1"/>
    <x v="0"/>
    <x v="0"/>
    <x v="0"/>
    <x v="0"/>
    <x v="0"/>
    <x v="3"/>
  </r>
  <r>
    <x v="1"/>
    <x v="3"/>
    <x v="47"/>
    <x v="284"/>
    <x v="34"/>
    <x v="56"/>
    <n v="16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35"/>
    <x v="209"/>
    <x v="34"/>
    <x v="18"/>
    <n v="2"/>
    <x v="0"/>
    <x v="0"/>
    <x v="16"/>
    <x v="15"/>
    <d v="2026-02-13T00:00:00"/>
    <x v="1"/>
    <x v="1"/>
    <x v="0"/>
    <x v="0"/>
    <x v="0"/>
    <x v="4"/>
    <x v="0"/>
    <x v="0"/>
    <x v="0"/>
    <x v="0"/>
    <x v="3"/>
  </r>
  <r>
    <x v="1"/>
    <x v="3"/>
    <x v="47"/>
    <x v="285"/>
    <x v="34"/>
    <x v="32"/>
    <n v="1"/>
    <x v="0"/>
    <x v="0"/>
    <x v="8"/>
    <x v="0"/>
    <d v="2026-02-27T00:00:00"/>
    <x v="0"/>
    <x v="0"/>
    <x v="0"/>
    <x v="0"/>
    <x v="0"/>
    <x v="4"/>
    <x v="0"/>
    <x v="0"/>
    <x v="0"/>
    <x v="0"/>
    <x v="3"/>
  </r>
  <r>
    <x v="1"/>
    <x v="3"/>
    <x v="47"/>
    <x v="286"/>
    <x v="34"/>
    <x v="21"/>
    <n v="334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47"/>
    <x v="287"/>
    <x v="34"/>
    <x v="21"/>
    <n v="3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48"/>
    <x v="288"/>
    <x v="34"/>
    <x v="38"/>
    <n v="2"/>
    <x v="0"/>
    <x v="0"/>
    <x v="7"/>
    <x v="0"/>
    <d v="2026-02-27T00:00:00"/>
    <x v="0"/>
    <x v="0"/>
    <x v="0"/>
    <x v="0"/>
    <x v="0"/>
    <x v="0"/>
    <x v="0"/>
    <x v="0"/>
    <x v="0"/>
    <x v="0"/>
    <x v="3"/>
  </r>
  <r>
    <x v="1"/>
    <x v="3"/>
    <x v="44"/>
    <x v="289"/>
    <x v="34"/>
    <x v="16"/>
    <n v="186"/>
    <x v="0"/>
    <x v="1"/>
    <x v="3"/>
    <x v="7"/>
    <d v="2026-02-24T00:00:00"/>
    <x v="1"/>
    <x v="1"/>
    <x v="1"/>
    <x v="1"/>
    <x v="1"/>
    <x v="0"/>
    <x v="0"/>
    <x v="0"/>
    <x v="0"/>
    <x v="0"/>
    <x v="3"/>
  </r>
  <r>
    <x v="1"/>
    <x v="3"/>
    <x v="48"/>
    <x v="290"/>
    <x v="34"/>
    <x v="3"/>
    <n v="8"/>
    <x v="0"/>
    <x v="0"/>
    <x v="7"/>
    <x v="0"/>
    <d v="2026-02-27T00:00:00"/>
    <x v="0"/>
    <x v="0"/>
    <x v="0"/>
    <x v="0"/>
    <x v="0"/>
    <x v="0"/>
    <x v="0"/>
    <x v="0"/>
    <x v="0"/>
    <x v="0"/>
    <x v="6"/>
  </r>
  <r>
    <x v="1"/>
    <x v="3"/>
    <x v="47"/>
    <x v="291"/>
    <x v="34"/>
    <x v="40"/>
    <n v="10"/>
    <x v="0"/>
    <x v="0"/>
    <x v="8"/>
    <x v="8"/>
    <d v="2026-02-26T00:00:00"/>
    <x v="1"/>
    <x v="1"/>
    <x v="0"/>
    <x v="0"/>
    <x v="0"/>
    <x v="0"/>
    <x v="0"/>
    <x v="0"/>
    <x v="0"/>
    <x v="0"/>
    <x v="6"/>
  </r>
  <r>
    <x v="1"/>
    <x v="3"/>
    <x v="47"/>
    <x v="292"/>
    <x v="34"/>
    <x v="57"/>
    <n v="2"/>
    <x v="0"/>
    <x v="0"/>
    <x v="8"/>
    <x v="8"/>
    <d v="2026-02-26T00:00:00"/>
    <x v="1"/>
    <x v="1"/>
    <x v="0"/>
    <x v="0"/>
    <x v="0"/>
    <x v="0"/>
    <x v="0"/>
    <x v="0"/>
    <x v="0"/>
    <x v="0"/>
    <x v="6"/>
  </r>
  <r>
    <x v="1"/>
    <x v="3"/>
    <x v="47"/>
    <x v="293"/>
    <x v="35"/>
    <x v="4"/>
    <n v="10"/>
    <x v="0"/>
    <x v="0"/>
    <x v="0"/>
    <x v="0"/>
    <d v="2026-02-28T00:00:00"/>
    <x v="0"/>
    <x v="0"/>
    <x v="0"/>
    <x v="0"/>
    <x v="0"/>
    <x v="2"/>
    <x v="0"/>
    <x v="0"/>
    <x v="0"/>
    <x v="0"/>
    <x v="2"/>
  </r>
  <r>
    <x v="1"/>
    <x v="3"/>
    <x v="40"/>
    <x v="294"/>
    <x v="34"/>
    <x v="10"/>
    <n v="4"/>
    <x v="0"/>
    <x v="0"/>
    <x v="4"/>
    <x v="4"/>
    <d v="2026-02-28T00:00:00"/>
    <x v="1"/>
    <x v="1"/>
    <x v="0"/>
    <x v="0"/>
    <x v="0"/>
    <x v="10"/>
    <x v="0"/>
    <x v="0"/>
    <x v="0"/>
    <x v="0"/>
    <x v="2"/>
  </r>
  <r>
    <x v="1"/>
    <x v="3"/>
    <x v="40"/>
    <x v="295"/>
    <x v="34"/>
    <x v="10"/>
    <n v="4"/>
    <x v="0"/>
    <x v="0"/>
    <x v="4"/>
    <x v="4"/>
    <d v="2026-02-28T00:00:00"/>
    <x v="1"/>
    <x v="1"/>
    <x v="0"/>
    <x v="0"/>
    <x v="0"/>
    <x v="10"/>
    <x v="0"/>
    <x v="0"/>
    <x v="0"/>
    <x v="0"/>
    <x v="2"/>
  </r>
  <r>
    <x v="1"/>
    <x v="3"/>
    <x v="48"/>
    <x v="296"/>
    <x v="35"/>
    <x v="5"/>
    <n v="1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9"/>
    <x v="297"/>
    <x v="35"/>
    <x v="5"/>
    <n v="2"/>
    <x v="0"/>
    <x v="0"/>
    <x v="7"/>
    <x v="0"/>
    <d v="2026-02-28T00:00:00"/>
    <x v="0"/>
    <x v="0"/>
    <x v="0"/>
    <x v="0"/>
    <x v="0"/>
    <x v="0"/>
    <x v="0"/>
    <x v="0"/>
    <x v="0"/>
    <x v="0"/>
    <x v="3"/>
  </r>
  <r>
    <x v="1"/>
    <x v="3"/>
    <x v="36"/>
    <x v="230"/>
    <x v="34"/>
    <x v="32"/>
    <n v="25"/>
    <x v="0"/>
    <x v="0"/>
    <x v="18"/>
    <x v="9"/>
    <d v="2026-02-20T00:00:00"/>
    <x v="1"/>
    <x v="1"/>
    <x v="0"/>
    <x v="0"/>
    <x v="0"/>
    <x v="6"/>
    <x v="0"/>
    <x v="0"/>
    <x v="0"/>
    <x v="0"/>
    <x v="2"/>
  </r>
  <r>
    <x v="1"/>
    <x v="3"/>
    <x v="48"/>
    <x v="298"/>
    <x v="35"/>
    <x v="1"/>
    <n v="2"/>
    <x v="0"/>
    <x v="0"/>
    <x v="8"/>
    <x v="16"/>
    <d v="2026-02-20T00:00:00"/>
    <x v="1"/>
    <x v="1"/>
    <x v="0"/>
    <x v="0"/>
    <x v="0"/>
    <x v="18"/>
    <x v="0"/>
    <x v="0"/>
    <x v="0"/>
    <x v="0"/>
    <x v="3"/>
  </r>
  <r>
    <x v="1"/>
    <x v="3"/>
    <x v="48"/>
    <x v="299"/>
    <x v="35"/>
    <x v="52"/>
    <n v="10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8"/>
    <x v="300"/>
    <x v="35"/>
    <x v="21"/>
    <n v="1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8"/>
    <x v="301"/>
    <x v="35"/>
    <x v="58"/>
    <n v="4"/>
    <x v="0"/>
    <x v="0"/>
    <x v="8"/>
    <x v="0"/>
    <d v="2026-02-28T00:00:00"/>
    <x v="0"/>
    <x v="0"/>
    <x v="0"/>
    <x v="0"/>
    <x v="0"/>
    <x v="4"/>
    <x v="0"/>
    <x v="0"/>
    <x v="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x v="0"/>
    <x v="0"/>
    <x v="0"/>
    <x v="0"/>
    <n v="4"/>
    <n v="11"/>
    <n v="56"/>
    <n v="5.0909090909090908"/>
    <n v="2.75"/>
    <x v="0"/>
    <x v="0"/>
  </r>
  <r>
    <x v="0"/>
    <x v="0"/>
    <x v="0"/>
    <x v="1"/>
    <n v="15"/>
    <n v="113"/>
    <n v="854"/>
    <n v="7.5575221238938051"/>
    <n v="7.5333333333333332"/>
    <x v="0"/>
    <x v="0"/>
  </r>
  <r>
    <x v="0"/>
    <x v="0"/>
    <x v="0"/>
    <x v="2"/>
    <n v="61"/>
    <n v="418"/>
    <n v="3602"/>
    <n v="8.6172248803827749"/>
    <n v="6.8524590163934427"/>
    <x v="0"/>
    <x v="0"/>
  </r>
  <r>
    <x v="0"/>
    <x v="0"/>
    <x v="0"/>
    <x v="3"/>
    <n v="19"/>
    <n v="157"/>
    <n v="580"/>
    <n v="3.6942675159235669"/>
    <n v="8.2631578947368425"/>
    <x v="0"/>
    <x v="0"/>
  </r>
  <r>
    <x v="0"/>
    <x v="0"/>
    <x v="0"/>
    <x v="4"/>
    <n v="4"/>
    <n v="22"/>
    <n v="133"/>
    <n v="6.0454545454545459"/>
    <n v="5.5"/>
    <x v="0"/>
    <x v="0"/>
  </r>
  <r>
    <x v="1"/>
    <x v="0"/>
    <x v="0"/>
    <x v="0"/>
    <n v="3"/>
    <n v="5"/>
    <n v="26"/>
    <n v="5.2"/>
    <n v="1.6666666666666667"/>
    <x v="0"/>
    <x v="0"/>
  </r>
  <r>
    <x v="1"/>
    <x v="0"/>
    <x v="0"/>
    <x v="1"/>
    <n v="17"/>
    <n v="82"/>
    <n v="430"/>
    <n v="5.2439024390243905"/>
    <n v="4.8235294117647056"/>
    <x v="0"/>
    <x v="0"/>
  </r>
  <r>
    <x v="1"/>
    <x v="0"/>
    <x v="0"/>
    <x v="5"/>
    <n v="35"/>
    <n v="220"/>
    <n v="1462"/>
    <n v="6.6454545454545455"/>
    <n v="6.2857142857142856"/>
    <x v="0"/>
    <x v="0"/>
  </r>
  <r>
    <x v="1"/>
    <x v="0"/>
    <x v="0"/>
    <x v="2"/>
    <n v="18"/>
    <n v="80"/>
    <n v="360"/>
    <n v="4.5"/>
    <n v="4.4444444444444446"/>
    <x v="0"/>
    <x v="0"/>
  </r>
  <r>
    <x v="1"/>
    <x v="0"/>
    <x v="0"/>
    <x v="3"/>
    <n v="18"/>
    <n v="180"/>
    <n v="797"/>
    <n v="4.427777777777778"/>
    <n v="10"/>
    <x v="0"/>
    <x v="0"/>
  </r>
  <r>
    <x v="1"/>
    <x v="0"/>
    <x v="0"/>
    <x v="6"/>
    <n v="3"/>
    <n v="36"/>
    <n v="102"/>
    <n v="2.8333333333333335"/>
    <n v="12"/>
    <x v="0"/>
    <x v="0"/>
  </r>
  <r>
    <x v="1"/>
    <x v="0"/>
    <x v="0"/>
    <x v="4"/>
    <n v="26"/>
    <n v="136"/>
    <n v="542"/>
    <n v="3.9852941176470589"/>
    <n v="5.2307692307692308"/>
    <x v="0"/>
    <x v="0"/>
  </r>
  <r>
    <x v="2"/>
    <x v="0"/>
    <x v="0"/>
    <x v="0"/>
    <n v="8"/>
    <n v="28"/>
    <n v="72"/>
    <n v="2.5714285714285716"/>
    <n v="3.5"/>
    <x v="0"/>
    <x v="0"/>
  </r>
  <r>
    <x v="2"/>
    <x v="0"/>
    <x v="0"/>
    <x v="1"/>
    <n v="28"/>
    <n v="113"/>
    <n v="781"/>
    <n v="6.9115044247787614"/>
    <n v="4.0357142857142856"/>
    <x v="0"/>
    <x v="0"/>
  </r>
  <r>
    <x v="2"/>
    <x v="0"/>
    <x v="0"/>
    <x v="5"/>
    <n v="28"/>
    <n v="170"/>
    <n v="877"/>
    <n v="5.158823529411765"/>
    <n v="6.0714285714285712"/>
    <x v="0"/>
    <x v="0"/>
  </r>
  <r>
    <x v="2"/>
    <x v="0"/>
    <x v="0"/>
    <x v="2"/>
    <n v="22"/>
    <n v="134"/>
    <n v="453"/>
    <n v="3.3805970149253732"/>
    <n v="6.0909090909090908"/>
    <x v="0"/>
    <x v="0"/>
  </r>
  <r>
    <x v="2"/>
    <x v="0"/>
    <x v="0"/>
    <x v="3"/>
    <n v="22"/>
    <n v="107"/>
    <n v="574"/>
    <n v="5.3644859813084116"/>
    <n v="4.8636363636363633"/>
    <x v="0"/>
    <x v="0"/>
  </r>
  <r>
    <x v="2"/>
    <x v="0"/>
    <x v="0"/>
    <x v="7"/>
    <n v="13"/>
    <n v="50"/>
    <n v="221"/>
    <n v="4.42"/>
    <n v="3.8461538461538463"/>
    <x v="0"/>
    <x v="0"/>
  </r>
  <r>
    <x v="2"/>
    <x v="0"/>
    <x v="0"/>
    <x v="6"/>
    <n v="14"/>
    <n v="30"/>
    <n v="167"/>
    <n v="5.5666666666666664"/>
    <n v="2.1428571428571428"/>
    <x v="0"/>
    <x v="0"/>
  </r>
  <r>
    <x v="2"/>
    <x v="0"/>
    <x v="0"/>
    <x v="4"/>
    <n v="16"/>
    <n v="101"/>
    <n v="848"/>
    <n v="8.3960396039603964"/>
    <n v="6.3125"/>
    <x v="0"/>
    <x v="0"/>
  </r>
  <r>
    <x v="3"/>
    <x v="0"/>
    <x v="0"/>
    <x v="0"/>
    <n v="4"/>
    <n v="13"/>
    <n v="63"/>
    <n v="4.8461538461538458"/>
    <n v="3.25"/>
    <x v="0"/>
    <x v="0"/>
  </r>
  <r>
    <x v="3"/>
    <x v="0"/>
    <x v="0"/>
    <x v="1"/>
    <n v="14"/>
    <n v="57"/>
    <n v="547"/>
    <n v="9.5964912280701746"/>
    <n v="4.0714285714285712"/>
    <x v="0"/>
    <x v="0"/>
  </r>
  <r>
    <x v="3"/>
    <x v="0"/>
    <x v="0"/>
    <x v="5"/>
    <n v="20"/>
    <n v="141"/>
    <n v="572"/>
    <n v="4.0567375886524824"/>
    <n v="7.05"/>
    <x v="0"/>
    <x v="0"/>
  </r>
  <r>
    <x v="3"/>
    <x v="0"/>
    <x v="0"/>
    <x v="2"/>
    <n v="12"/>
    <n v="151"/>
    <n v="415"/>
    <n v="2.7483443708609272"/>
    <n v="12.583333333333334"/>
    <x v="0"/>
    <x v="0"/>
  </r>
  <r>
    <x v="3"/>
    <x v="0"/>
    <x v="0"/>
    <x v="3"/>
    <n v="18"/>
    <n v="115"/>
    <n v="604"/>
    <n v="5.2521739130434781"/>
    <n v="6.3888888888888893"/>
    <x v="0"/>
    <x v="0"/>
  </r>
  <r>
    <x v="3"/>
    <x v="0"/>
    <x v="0"/>
    <x v="7"/>
    <n v="10"/>
    <n v="39"/>
    <n v="449"/>
    <n v="11.512820512820513"/>
    <n v="3.9"/>
    <x v="0"/>
    <x v="0"/>
  </r>
  <r>
    <x v="3"/>
    <x v="0"/>
    <x v="0"/>
    <x v="6"/>
    <n v="5"/>
    <n v="14"/>
    <n v="14"/>
    <n v="1"/>
    <n v="2.8"/>
    <x v="0"/>
    <x v="0"/>
  </r>
  <r>
    <x v="3"/>
    <x v="0"/>
    <x v="0"/>
    <x v="4"/>
    <n v="16"/>
    <n v="95"/>
    <n v="440"/>
    <n v="4.6315789473684212"/>
    <n v="5.9375"/>
    <x v="0"/>
    <x v="0"/>
  </r>
  <r>
    <x v="4"/>
    <x v="0"/>
    <x v="0"/>
    <x v="0"/>
    <n v="2"/>
    <n v="7"/>
    <n v="13"/>
    <n v="1.8571428571428572"/>
    <n v="3.5"/>
    <x v="0"/>
    <x v="0"/>
  </r>
  <r>
    <x v="4"/>
    <x v="0"/>
    <x v="0"/>
    <x v="1"/>
    <n v="10"/>
    <n v="45"/>
    <n v="208"/>
    <n v="4.6222222222222218"/>
    <n v="4.5"/>
    <x v="0"/>
    <x v="0"/>
  </r>
  <r>
    <x v="4"/>
    <x v="0"/>
    <x v="0"/>
    <x v="5"/>
    <n v="31"/>
    <n v="124"/>
    <n v="729"/>
    <n v="5.879032258064516"/>
    <n v="4"/>
    <x v="0"/>
    <x v="0"/>
  </r>
  <r>
    <x v="4"/>
    <x v="0"/>
    <x v="0"/>
    <x v="2"/>
    <n v="20"/>
    <n v="81"/>
    <n v="488"/>
    <n v="6.0246913580246915"/>
    <n v="4.05"/>
    <x v="0"/>
    <x v="0"/>
  </r>
  <r>
    <x v="4"/>
    <x v="0"/>
    <x v="0"/>
    <x v="3"/>
    <n v="22"/>
    <n v="116"/>
    <n v="602"/>
    <n v="5.1896551724137927"/>
    <n v="5.2727272727272725"/>
    <x v="0"/>
    <x v="0"/>
  </r>
  <r>
    <x v="4"/>
    <x v="0"/>
    <x v="0"/>
    <x v="7"/>
    <n v="10"/>
    <n v="118"/>
    <n v="1399"/>
    <n v="11.85593220338983"/>
    <n v="11.8"/>
    <x v="0"/>
    <x v="0"/>
  </r>
  <r>
    <x v="4"/>
    <x v="0"/>
    <x v="0"/>
    <x v="6"/>
    <n v="3"/>
    <n v="17"/>
    <n v="263"/>
    <n v="15.470588235294118"/>
    <n v="5.666666666666667"/>
    <x v="0"/>
    <x v="0"/>
  </r>
  <r>
    <x v="4"/>
    <x v="0"/>
    <x v="0"/>
    <x v="4"/>
    <n v="7"/>
    <n v="95"/>
    <n v="384"/>
    <n v="4.0421052631578949"/>
    <n v="13.571428571428571"/>
    <x v="0"/>
    <x v="0"/>
  </r>
  <r>
    <x v="5"/>
    <x v="0"/>
    <x v="0"/>
    <x v="0"/>
    <n v="13"/>
    <n v="62"/>
    <n v="258"/>
    <n v="4.161290322580645"/>
    <n v="4.7692307692307692"/>
    <x v="0"/>
    <x v="0"/>
  </r>
  <r>
    <x v="5"/>
    <x v="0"/>
    <x v="0"/>
    <x v="1"/>
    <n v="12"/>
    <n v="68"/>
    <n v="222"/>
    <n v="3.2647058823529411"/>
    <n v="5.666666666666667"/>
    <x v="0"/>
    <x v="0"/>
  </r>
  <r>
    <x v="5"/>
    <x v="0"/>
    <x v="0"/>
    <x v="5"/>
    <n v="40"/>
    <n v="198"/>
    <n v="1126"/>
    <n v="5.6868686868686869"/>
    <n v="4.95"/>
    <x v="0"/>
    <x v="0"/>
  </r>
  <r>
    <x v="5"/>
    <x v="0"/>
    <x v="0"/>
    <x v="3"/>
    <n v="16"/>
    <n v="132"/>
    <n v="657"/>
    <n v="4.9772727272727275"/>
    <n v="8.25"/>
    <x v="0"/>
    <x v="0"/>
  </r>
  <r>
    <x v="5"/>
    <x v="0"/>
    <x v="0"/>
    <x v="7"/>
    <n v="22"/>
    <n v="119"/>
    <n v="497"/>
    <n v="4.1764705882352944"/>
    <n v="5.4090909090909092"/>
    <x v="0"/>
    <x v="0"/>
  </r>
  <r>
    <x v="5"/>
    <x v="0"/>
    <x v="0"/>
    <x v="6"/>
    <n v="1"/>
    <n v="2"/>
    <n v="2"/>
    <n v="1"/>
    <n v="2"/>
    <x v="0"/>
    <x v="0"/>
  </r>
  <r>
    <x v="5"/>
    <x v="0"/>
    <x v="0"/>
    <x v="4"/>
    <n v="14"/>
    <n v="81"/>
    <n v="389"/>
    <n v="4.8024691358024691"/>
    <n v="5.7857142857142856"/>
    <x v="0"/>
    <x v="0"/>
  </r>
  <r>
    <x v="6"/>
    <x v="0"/>
    <x v="0"/>
    <x v="1"/>
    <n v="10"/>
    <n v="58"/>
    <n v="309"/>
    <n v="5.3275862068965516"/>
    <n v="5.8"/>
    <x v="0"/>
    <x v="0"/>
  </r>
  <r>
    <x v="6"/>
    <x v="0"/>
    <x v="0"/>
    <x v="3"/>
    <n v="27"/>
    <n v="254"/>
    <n v="864"/>
    <n v="3.4015748031496065"/>
    <n v="9.4074074074074066"/>
    <x v="0"/>
    <x v="0"/>
  </r>
  <r>
    <x v="6"/>
    <x v="0"/>
    <x v="0"/>
    <x v="7"/>
    <n v="12"/>
    <n v="105"/>
    <n v="483"/>
    <n v="4.5999999999999996"/>
    <n v="8.75"/>
    <x v="0"/>
    <x v="0"/>
  </r>
  <r>
    <x v="6"/>
    <x v="0"/>
    <x v="0"/>
    <x v="6"/>
    <n v="2"/>
    <n v="2"/>
    <n v="3"/>
    <n v="1.5"/>
    <n v="1"/>
    <x v="0"/>
    <x v="0"/>
  </r>
  <r>
    <x v="7"/>
    <x v="0"/>
    <x v="1"/>
    <x v="1"/>
    <n v="22"/>
    <n v="130"/>
    <n v="883"/>
    <n v="6.7923076923076922"/>
    <n v="5.9090909090909092"/>
    <x v="0"/>
    <x v="0"/>
  </r>
  <r>
    <x v="7"/>
    <x v="0"/>
    <x v="1"/>
    <x v="5"/>
    <n v="35"/>
    <n v="249"/>
    <n v="1078"/>
    <n v="4.3293172690763049"/>
    <n v="7.1142857142857139"/>
    <x v="0"/>
    <x v="0"/>
  </r>
  <r>
    <x v="7"/>
    <x v="0"/>
    <x v="1"/>
    <x v="3"/>
    <n v="13"/>
    <n v="81"/>
    <n v="1170"/>
    <n v="14.444444444444445"/>
    <n v="6.2307692307692308"/>
    <x v="0"/>
    <x v="0"/>
  </r>
  <r>
    <x v="7"/>
    <x v="0"/>
    <x v="1"/>
    <x v="7"/>
    <n v="35"/>
    <n v="149"/>
    <n v="824"/>
    <n v="5.5302013422818792"/>
    <n v="4.2571428571428571"/>
    <x v="0"/>
    <x v="0"/>
  </r>
  <r>
    <x v="7"/>
    <x v="0"/>
    <x v="1"/>
    <x v="6"/>
    <n v="2"/>
    <n v="3"/>
    <n v="5"/>
    <n v="1.6666666666666667"/>
    <n v="1.5"/>
    <x v="0"/>
    <x v="0"/>
  </r>
  <r>
    <x v="7"/>
    <x v="0"/>
    <x v="1"/>
    <x v="4"/>
    <n v="3"/>
    <n v="19"/>
    <n v="126"/>
    <n v="6.6315789473684212"/>
    <n v="6.333333333333333"/>
    <x v="0"/>
    <x v="0"/>
  </r>
  <r>
    <x v="8"/>
    <x v="0"/>
    <x v="1"/>
    <x v="0"/>
    <n v="16"/>
    <n v="53"/>
    <n v="203"/>
    <n v="3.8301886792452828"/>
    <n v="3.3125"/>
    <x v="0"/>
    <x v="0"/>
  </r>
  <r>
    <x v="8"/>
    <x v="0"/>
    <x v="1"/>
    <x v="1"/>
    <n v="27"/>
    <n v="107"/>
    <n v="1080"/>
    <n v="10.093457943925234"/>
    <n v="3.9629629629629628"/>
    <x v="0"/>
    <x v="0"/>
  </r>
  <r>
    <x v="8"/>
    <x v="0"/>
    <x v="1"/>
    <x v="5"/>
    <n v="54"/>
    <n v="248"/>
    <n v="1364"/>
    <n v="5.5"/>
    <n v="4.5925925925925926"/>
    <x v="0"/>
    <x v="0"/>
  </r>
  <r>
    <x v="8"/>
    <x v="0"/>
    <x v="1"/>
    <x v="3"/>
    <n v="6"/>
    <n v="29"/>
    <n v="197"/>
    <n v="6.7931034482758621"/>
    <n v="4.833333333333333"/>
    <x v="0"/>
    <x v="0"/>
  </r>
  <r>
    <x v="8"/>
    <x v="0"/>
    <x v="1"/>
    <x v="7"/>
    <n v="48"/>
    <n v="283"/>
    <n v="2348"/>
    <n v="8.2968197879858661"/>
    <n v="5.895833333333333"/>
    <x v="0"/>
    <x v="0"/>
  </r>
  <r>
    <x v="8"/>
    <x v="0"/>
    <x v="1"/>
    <x v="6"/>
    <n v="4"/>
    <n v="12"/>
    <n v="229"/>
    <n v="19.083333333333332"/>
    <n v="3"/>
    <x v="0"/>
    <x v="0"/>
  </r>
  <r>
    <x v="8"/>
    <x v="0"/>
    <x v="1"/>
    <x v="4"/>
    <n v="5"/>
    <n v="10"/>
    <n v="547"/>
    <n v="54.7"/>
    <n v="2"/>
    <x v="0"/>
    <x v="0"/>
  </r>
  <r>
    <x v="9"/>
    <x v="0"/>
    <x v="1"/>
    <x v="0"/>
    <n v="8"/>
    <n v="44"/>
    <n v="180"/>
    <n v="4.0909090909090908"/>
    <n v="5.5"/>
    <x v="0"/>
    <x v="0"/>
  </r>
  <r>
    <x v="9"/>
    <x v="0"/>
    <x v="1"/>
    <x v="1"/>
    <n v="12"/>
    <n v="52"/>
    <n v="181"/>
    <n v="3.4807692307692308"/>
    <n v="4.333333333333333"/>
    <x v="0"/>
    <x v="0"/>
  </r>
  <r>
    <x v="9"/>
    <x v="0"/>
    <x v="1"/>
    <x v="5"/>
    <n v="39"/>
    <n v="250"/>
    <n v="1116"/>
    <n v="4.4640000000000004"/>
    <n v="6.4102564102564106"/>
    <x v="0"/>
    <x v="0"/>
  </r>
  <r>
    <x v="9"/>
    <x v="0"/>
    <x v="1"/>
    <x v="3"/>
    <n v="36"/>
    <n v="325"/>
    <n v="1926"/>
    <n v="5.9261538461538459"/>
    <n v="9.0277777777777786"/>
    <x v="0"/>
    <x v="0"/>
  </r>
  <r>
    <x v="9"/>
    <x v="0"/>
    <x v="1"/>
    <x v="7"/>
    <n v="6"/>
    <n v="20"/>
    <n v="205"/>
    <n v="10.25"/>
    <n v="3.3333333333333335"/>
    <x v="0"/>
    <x v="0"/>
  </r>
  <r>
    <x v="9"/>
    <x v="0"/>
    <x v="1"/>
    <x v="4"/>
    <n v="16"/>
    <n v="39"/>
    <n v="176"/>
    <n v="4.5128205128205128"/>
    <n v="2.4375"/>
    <x v="0"/>
    <x v="0"/>
  </r>
  <r>
    <x v="10"/>
    <x v="0"/>
    <x v="1"/>
    <x v="0"/>
    <n v="7"/>
    <n v="18"/>
    <n v="122"/>
    <n v="6.7777777777777777"/>
    <n v="2.5714285714285716"/>
    <x v="0"/>
    <x v="0"/>
  </r>
  <r>
    <x v="10"/>
    <x v="0"/>
    <x v="1"/>
    <x v="1"/>
    <n v="24"/>
    <n v="134"/>
    <n v="643"/>
    <n v="4.7985074626865671"/>
    <n v="5.583333333333333"/>
    <x v="0"/>
    <x v="0"/>
  </r>
  <r>
    <x v="10"/>
    <x v="0"/>
    <x v="1"/>
    <x v="3"/>
    <n v="6"/>
    <n v="34"/>
    <n v="208"/>
    <n v="6.117647058823529"/>
    <n v="5.666666666666667"/>
    <x v="0"/>
    <x v="0"/>
  </r>
  <r>
    <x v="10"/>
    <x v="0"/>
    <x v="1"/>
    <x v="7"/>
    <n v="18"/>
    <n v="123"/>
    <n v="522"/>
    <n v="4.2439024390243905"/>
    <n v="6.833333333333333"/>
    <x v="0"/>
    <x v="0"/>
  </r>
  <r>
    <x v="10"/>
    <x v="0"/>
    <x v="1"/>
    <x v="4"/>
    <n v="9"/>
    <n v="30"/>
    <n v="1737"/>
    <n v="57.9"/>
    <n v="3.3333333333333335"/>
    <x v="0"/>
    <x v="0"/>
  </r>
  <r>
    <x v="11"/>
    <x v="0"/>
    <x v="1"/>
    <x v="0"/>
    <n v="3"/>
    <n v="5"/>
    <n v="30"/>
    <n v="6"/>
    <n v="1.6666666666666667"/>
    <x v="0"/>
    <x v="0"/>
  </r>
  <r>
    <x v="11"/>
    <x v="0"/>
    <x v="1"/>
    <x v="1"/>
    <n v="14"/>
    <n v="58"/>
    <n v="194"/>
    <n v="3.3448275862068964"/>
    <n v="4.1428571428571432"/>
    <x v="0"/>
    <x v="0"/>
  </r>
  <r>
    <x v="11"/>
    <x v="0"/>
    <x v="1"/>
    <x v="5"/>
    <n v="25"/>
    <n v="145"/>
    <n v="748"/>
    <n v="5.1586206896551721"/>
    <n v="5.8"/>
    <x v="0"/>
    <x v="0"/>
  </r>
  <r>
    <x v="11"/>
    <x v="0"/>
    <x v="1"/>
    <x v="3"/>
    <n v="8"/>
    <n v="66"/>
    <n v="245"/>
    <n v="3.7121212121212119"/>
    <n v="8.25"/>
    <x v="0"/>
    <x v="0"/>
  </r>
  <r>
    <x v="11"/>
    <x v="0"/>
    <x v="1"/>
    <x v="7"/>
    <n v="30"/>
    <n v="195"/>
    <n v="834"/>
    <n v="4.2769230769230768"/>
    <n v="6.5"/>
    <x v="0"/>
    <x v="0"/>
  </r>
  <r>
    <x v="11"/>
    <x v="0"/>
    <x v="1"/>
    <x v="6"/>
    <n v="1"/>
    <n v="1"/>
    <n v="1"/>
    <n v="1"/>
    <n v="1"/>
    <x v="0"/>
    <x v="0"/>
  </r>
  <r>
    <x v="11"/>
    <x v="0"/>
    <x v="1"/>
    <x v="4"/>
    <n v="9"/>
    <n v="43"/>
    <n v="235"/>
    <n v="5.4651162790697674"/>
    <n v="4.7777777777777777"/>
    <x v="0"/>
    <x v="0"/>
  </r>
  <r>
    <x v="12"/>
    <x v="0"/>
    <x v="1"/>
    <x v="1"/>
    <n v="18"/>
    <n v="104"/>
    <n v="349"/>
    <n v="3.3557692307692308"/>
    <n v="5.7777777777777777"/>
    <x v="0"/>
    <x v="0"/>
  </r>
  <r>
    <x v="12"/>
    <x v="0"/>
    <x v="1"/>
    <x v="5"/>
    <n v="3"/>
    <n v="9"/>
    <n v="12"/>
    <n v="1.3333333333333333"/>
    <n v="3"/>
    <x v="0"/>
    <x v="0"/>
  </r>
  <r>
    <x v="12"/>
    <x v="0"/>
    <x v="1"/>
    <x v="3"/>
    <n v="6"/>
    <n v="68"/>
    <n v="321"/>
    <n v="4.7205882352941178"/>
    <n v="11.333333333333334"/>
    <x v="0"/>
    <x v="0"/>
  </r>
  <r>
    <x v="12"/>
    <x v="0"/>
    <x v="1"/>
    <x v="7"/>
    <n v="14"/>
    <n v="150"/>
    <n v="564"/>
    <n v="3.76"/>
    <n v="10.714285714285714"/>
    <x v="0"/>
    <x v="0"/>
  </r>
  <r>
    <x v="12"/>
    <x v="0"/>
    <x v="1"/>
    <x v="6"/>
    <n v="9"/>
    <n v="63"/>
    <n v="232"/>
    <n v="3.6825396825396823"/>
    <n v="7"/>
    <x v="0"/>
    <x v="0"/>
  </r>
  <r>
    <x v="13"/>
    <x v="0"/>
    <x v="2"/>
    <x v="0"/>
    <n v="3"/>
    <n v="11"/>
    <n v="74"/>
    <n v="6.7272727272727275"/>
    <n v="3.6666666666666665"/>
    <x v="0"/>
    <x v="0"/>
  </r>
  <r>
    <x v="13"/>
    <x v="0"/>
    <x v="2"/>
    <x v="1"/>
    <n v="23"/>
    <n v="131"/>
    <n v="567"/>
    <n v="4.3282442748091601"/>
    <n v="5.6956521739130439"/>
    <x v="0"/>
    <x v="0"/>
  </r>
  <r>
    <x v="13"/>
    <x v="0"/>
    <x v="2"/>
    <x v="5"/>
    <n v="38"/>
    <n v="190"/>
    <n v="1106"/>
    <n v="5.8210526315789473"/>
    <n v="5"/>
    <x v="0"/>
    <x v="0"/>
  </r>
  <r>
    <x v="13"/>
    <x v="0"/>
    <x v="2"/>
    <x v="7"/>
    <n v="35"/>
    <n v="217"/>
    <n v="932"/>
    <n v="4.2949308755760365"/>
    <n v="6.2"/>
    <x v="0"/>
    <x v="0"/>
  </r>
  <r>
    <x v="13"/>
    <x v="0"/>
    <x v="2"/>
    <x v="6"/>
    <n v="2"/>
    <n v="5"/>
    <n v="5"/>
    <n v="1"/>
    <n v="2.5"/>
    <x v="0"/>
    <x v="0"/>
  </r>
  <r>
    <x v="13"/>
    <x v="0"/>
    <x v="2"/>
    <x v="4"/>
    <n v="4"/>
    <n v="17"/>
    <n v="99"/>
    <n v="5.8235294117647056"/>
    <n v="4.25"/>
    <x v="0"/>
    <x v="0"/>
  </r>
  <r>
    <x v="14"/>
    <x v="0"/>
    <x v="2"/>
    <x v="0"/>
    <n v="19"/>
    <n v="88"/>
    <n v="164"/>
    <n v="1.8636363636363635"/>
    <n v="4.6315789473684212"/>
    <x v="0"/>
    <x v="0"/>
  </r>
  <r>
    <x v="14"/>
    <x v="0"/>
    <x v="2"/>
    <x v="5"/>
    <n v="56"/>
    <n v="263"/>
    <n v="1555"/>
    <n v="5.9125475285171101"/>
    <n v="4.6964285714285712"/>
    <x v="0"/>
    <x v="0"/>
  </r>
  <r>
    <x v="14"/>
    <x v="0"/>
    <x v="2"/>
    <x v="3"/>
    <n v="8"/>
    <n v="54"/>
    <n v="246"/>
    <n v="4.5555555555555554"/>
    <n v="6.75"/>
    <x v="0"/>
    <x v="0"/>
  </r>
  <r>
    <x v="14"/>
    <x v="0"/>
    <x v="2"/>
    <x v="7"/>
    <n v="76"/>
    <n v="355"/>
    <n v="3806"/>
    <n v="10.721126760563381"/>
    <n v="4.6710526315789478"/>
    <x v="0"/>
    <x v="0"/>
  </r>
  <r>
    <x v="14"/>
    <x v="0"/>
    <x v="2"/>
    <x v="6"/>
    <n v="3"/>
    <n v="17"/>
    <n v="76"/>
    <n v="4.4705882352941178"/>
    <n v="5.666666666666667"/>
    <x v="0"/>
    <x v="0"/>
  </r>
  <r>
    <x v="14"/>
    <x v="0"/>
    <x v="2"/>
    <x v="4"/>
    <n v="2"/>
    <n v="11"/>
    <n v="46"/>
    <n v="4.1818181818181817"/>
    <n v="5.5"/>
    <x v="0"/>
    <x v="0"/>
  </r>
  <r>
    <x v="15"/>
    <x v="0"/>
    <x v="2"/>
    <x v="0"/>
    <n v="21"/>
    <n v="104"/>
    <n v="550"/>
    <n v="5.2884615384615383"/>
    <n v="4.9523809523809526"/>
    <x v="0"/>
    <x v="0"/>
  </r>
  <r>
    <x v="15"/>
    <x v="0"/>
    <x v="2"/>
    <x v="1"/>
    <n v="30"/>
    <n v="158"/>
    <n v="700"/>
    <n v="4.4303797468354427"/>
    <n v="5.2666666666666666"/>
    <x v="0"/>
    <x v="0"/>
  </r>
  <r>
    <x v="15"/>
    <x v="0"/>
    <x v="2"/>
    <x v="5"/>
    <n v="12"/>
    <n v="70"/>
    <n v="319"/>
    <n v="4.5571428571428569"/>
    <n v="5.833333333333333"/>
    <x v="0"/>
    <x v="0"/>
  </r>
  <r>
    <x v="15"/>
    <x v="0"/>
    <x v="2"/>
    <x v="3"/>
    <n v="6"/>
    <n v="38"/>
    <n v="1647"/>
    <n v="43.342105263157897"/>
    <n v="6.333333333333333"/>
    <x v="0"/>
    <x v="0"/>
  </r>
  <r>
    <x v="15"/>
    <x v="0"/>
    <x v="2"/>
    <x v="7"/>
    <n v="46"/>
    <n v="261"/>
    <n v="1589"/>
    <n v="6.088122605363985"/>
    <n v="5.6739130434782608"/>
    <x v="0"/>
    <x v="0"/>
  </r>
  <r>
    <x v="15"/>
    <x v="0"/>
    <x v="2"/>
    <x v="6"/>
    <n v="1"/>
    <n v="4"/>
    <n v="12"/>
    <n v="3"/>
    <n v="4"/>
    <x v="0"/>
    <x v="0"/>
  </r>
  <r>
    <x v="15"/>
    <x v="0"/>
    <x v="2"/>
    <x v="4"/>
    <n v="8"/>
    <n v="35"/>
    <n v="673"/>
    <n v="19.228571428571428"/>
    <n v="4.375"/>
    <x v="0"/>
    <x v="0"/>
  </r>
  <r>
    <x v="16"/>
    <x v="0"/>
    <x v="2"/>
    <x v="5"/>
    <n v="29"/>
    <n v="175"/>
    <n v="887"/>
    <n v="5.0685714285714285"/>
    <n v="6.0344827586206895"/>
    <x v="0"/>
    <x v="0"/>
  </r>
  <r>
    <x v="16"/>
    <x v="0"/>
    <x v="2"/>
    <x v="7"/>
    <n v="30"/>
    <n v="179"/>
    <n v="3441"/>
    <n v="19.223463687150836"/>
    <n v="5.9666666666666668"/>
    <x v="0"/>
    <x v="0"/>
  </r>
  <r>
    <x v="16"/>
    <x v="0"/>
    <x v="2"/>
    <x v="1"/>
    <n v="12"/>
    <n v="48"/>
    <n v="264"/>
    <n v="5.5"/>
    <n v="4"/>
    <x v="0"/>
    <x v="0"/>
  </r>
  <r>
    <x v="16"/>
    <x v="0"/>
    <x v="2"/>
    <x v="4"/>
    <n v="4"/>
    <n v="53"/>
    <n v="262"/>
    <n v="4.9433962264150946"/>
    <n v="13.25"/>
    <x v="0"/>
    <x v="0"/>
  </r>
  <r>
    <x v="16"/>
    <x v="0"/>
    <x v="2"/>
    <x v="0"/>
    <n v="6"/>
    <n v="10"/>
    <n v="36"/>
    <n v="3.6"/>
    <n v="1.6666666666666667"/>
    <x v="0"/>
    <x v="0"/>
  </r>
  <r>
    <x v="16"/>
    <x v="0"/>
    <x v="2"/>
    <x v="3"/>
    <n v="9"/>
    <n v="42"/>
    <n v="214"/>
    <n v="5.0952380952380949"/>
    <n v="4.666666666666667"/>
    <x v="0"/>
    <x v="0"/>
  </r>
  <r>
    <x v="17"/>
    <x v="0"/>
    <x v="2"/>
    <x v="5"/>
    <n v="15"/>
    <n v="33"/>
    <n v="242"/>
    <n v="7.333333333333333"/>
    <n v="2.2000000000000002"/>
    <x v="0"/>
    <x v="0"/>
  </r>
  <r>
    <x v="17"/>
    <x v="0"/>
    <x v="2"/>
    <x v="7"/>
    <n v="46"/>
    <n v="277"/>
    <n v="1155"/>
    <n v="4.1696750902527073"/>
    <n v="6.0217391304347823"/>
    <x v="0"/>
    <x v="0"/>
  </r>
  <r>
    <x v="17"/>
    <x v="0"/>
    <x v="2"/>
    <x v="1"/>
    <n v="9"/>
    <n v="31"/>
    <n v="346"/>
    <n v="11.161290322580646"/>
    <n v="3.4444444444444446"/>
    <x v="0"/>
    <x v="0"/>
  </r>
  <r>
    <x v="17"/>
    <x v="0"/>
    <x v="2"/>
    <x v="4"/>
    <n v="5"/>
    <n v="11"/>
    <n v="171"/>
    <n v="15.545454545454545"/>
    <n v="2.2000000000000002"/>
    <x v="0"/>
    <x v="0"/>
  </r>
  <r>
    <x v="17"/>
    <x v="0"/>
    <x v="2"/>
    <x v="0"/>
    <n v="10"/>
    <n v="30"/>
    <n v="102"/>
    <n v="3.4"/>
    <n v="3"/>
    <x v="0"/>
    <x v="0"/>
  </r>
  <r>
    <x v="17"/>
    <x v="0"/>
    <x v="2"/>
    <x v="3"/>
    <n v="25"/>
    <n v="183"/>
    <n v="747"/>
    <n v="4.081967213114754"/>
    <n v="7.32"/>
    <x v="1"/>
    <x v="1"/>
  </r>
  <r>
    <x v="18"/>
    <x v="0"/>
    <x v="2"/>
    <x v="5"/>
    <n v="1"/>
    <n v="1"/>
    <n v="1"/>
    <n v="1"/>
    <n v="1"/>
    <x v="0"/>
    <x v="0"/>
  </r>
  <r>
    <x v="18"/>
    <x v="0"/>
    <x v="2"/>
    <x v="7"/>
    <n v="15"/>
    <n v="82"/>
    <n v="408"/>
    <n v="4.975609756097561"/>
    <n v="5.4666666666666668"/>
    <x v="0"/>
    <x v="0"/>
  </r>
  <r>
    <x v="18"/>
    <x v="0"/>
    <x v="2"/>
    <x v="0"/>
    <n v="2"/>
    <n v="3"/>
    <n v="3"/>
    <n v="1"/>
    <n v="1.5"/>
    <x v="0"/>
    <x v="0"/>
  </r>
  <r>
    <x v="18"/>
    <x v="0"/>
    <x v="2"/>
    <x v="3"/>
    <n v="4"/>
    <n v="42"/>
    <n v="177"/>
    <n v="4.2142857142857144"/>
    <n v="10.5"/>
    <x v="0"/>
    <x v="0"/>
  </r>
  <r>
    <x v="18"/>
    <x v="0"/>
    <x v="2"/>
    <x v="1"/>
    <n v="27"/>
    <n v="189"/>
    <n v="728"/>
    <n v="3.8518518518518516"/>
    <n v="7"/>
    <x v="0"/>
    <x v="0"/>
  </r>
  <r>
    <x v="19"/>
    <x v="0"/>
    <x v="3"/>
    <x v="5"/>
    <n v="30"/>
    <n v="127"/>
    <n v="469"/>
    <n v="3.6929133858267718"/>
    <n v="4.2333333333333334"/>
    <x v="0"/>
    <x v="0"/>
  </r>
  <r>
    <x v="19"/>
    <x v="0"/>
    <x v="3"/>
    <x v="7"/>
    <n v="53"/>
    <n v="218"/>
    <n v="1539"/>
    <n v="7.0596330275229358"/>
    <n v="4.1132075471698117"/>
    <x v="0"/>
    <x v="0"/>
  </r>
  <r>
    <x v="19"/>
    <x v="0"/>
    <x v="3"/>
    <x v="4"/>
    <n v="1"/>
    <n v="1"/>
    <n v="12"/>
    <n v="12"/>
    <n v="1"/>
    <x v="0"/>
    <x v="0"/>
  </r>
  <r>
    <x v="19"/>
    <x v="0"/>
    <x v="3"/>
    <x v="0"/>
    <n v="8"/>
    <n v="54"/>
    <n v="282"/>
    <n v="5.2222222222222223"/>
    <n v="6.75"/>
    <x v="0"/>
    <x v="0"/>
  </r>
  <r>
    <x v="19"/>
    <x v="0"/>
    <x v="3"/>
    <x v="3"/>
    <n v="20"/>
    <n v="99"/>
    <n v="626"/>
    <n v="6.3232323232323235"/>
    <n v="4.95"/>
    <x v="0"/>
    <x v="0"/>
  </r>
  <r>
    <x v="19"/>
    <x v="0"/>
    <x v="3"/>
    <x v="6"/>
    <n v="2"/>
    <n v="33"/>
    <n v="85"/>
    <n v="2.5757575757575757"/>
    <n v="16.5"/>
    <x v="0"/>
    <x v="0"/>
  </r>
  <r>
    <x v="20"/>
    <x v="0"/>
    <x v="3"/>
    <x v="5"/>
    <n v="26"/>
    <n v="83"/>
    <n v="329"/>
    <n v="3.963855421686747"/>
    <n v="3.1923076923076925"/>
    <x v="0"/>
    <x v="0"/>
  </r>
  <r>
    <x v="20"/>
    <x v="0"/>
    <x v="3"/>
    <x v="7"/>
    <n v="32"/>
    <n v="125"/>
    <n v="862"/>
    <n v="6.8959999999999999"/>
    <n v="3.90625"/>
    <x v="0"/>
    <x v="0"/>
  </r>
  <r>
    <x v="20"/>
    <x v="0"/>
    <x v="3"/>
    <x v="1"/>
    <n v="42"/>
    <n v="241"/>
    <n v="1000"/>
    <n v="4.1493775933609962"/>
    <n v="5.7380952380952381"/>
    <x v="0"/>
    <x v="0"/>
  </r>
  <r>
    <x v="20"/>
    <x v="0"/>
    <x v="3"/>
    <x v="0"/>
    <n v="12"/>
    <n v="42"/>
    <n v="218"/>
    <n v="5.1904761904761907"/>
    <n v="3.5"/>
    <x v="0"/>
    <x v="0"/>
  </r>
  <r>
    <x v="20"/>
    <x v="0"/>
    <x v="3"/>
    <x v="3"/>
    <n v="27"/>
    <n v="201"/>
    <n v="1135"/>
    <n v="5.6467661691542288"/>
    <n v="7.4444444444444446"/>
    <x v="0"/>
    <x v="0"/>
  </r>
  <r>
    <x v="20"/>
    <x v="0"/>
    <x v="3"/>
    <x v="6"/>
    <n v="4"/>
    <n v="10"/>
    <n v="35"/>
    <n v="3.5"/>
    <n v="2.5"/>
    <x v="0"/>
    <x v="0"/>
  </r>
  <r>
    <x v="21"/>
    <x v="0"/>
    <x v="3"/>
    <x v="5"/>
    <n v="17"/>
    <n v="86"/>
    <n v="577"/>
    <n v="6.7093023255813957"/>
    <n v="5.0588235294117645"/>
    <x v="0"/>
    <x v="0"/>
  </r>
  <r>
    <x v="21"/>
    <x v="0"/>
    <x v="3"/>
    <x v="7"/>
    <n v="10"/>
    <n v="32"/>
    <n v="106"/>
    <n v="3.3125"/>
    <n v="3.2"/>
    <x v="0"/>
    <x v="0"/>
  </r>
  <r>
    <x v="21"/>
    <x v="0"/>
    <x v="3"/>
    <x v="1"/>
    <n v="30"/>
    <n v="201"/>
    <n v="2142"/>
    <n v="10.656716417910447"/>
    <n v="6.7"/>
    <x v="0"/>
    <x v="0"/>
  </r>
  <r>
    <x v="21"/>
    <x v="0"/>
    <x v="3"/>
    <x v="4"/>
    <n v="9"/>
    <n v="57"/>
    <n v="474"/>
    <n v="8.3157894736842106"/>
    <n v="6.333333333333333"/>
    <x v="0"/>
    <x v="0"/>
  </r>
  <r>
    <x v="21"/>
    <x v="0"/>
    <x v="3"/>
    <x v="8"/>
    <n v="30"/>
    <n v="157"/>
    <n v="1563"/>
    <n v="9.9554140127388528"/>
    <n v="5.2333333333333334"/>
    <x v="0"/>
    <x v="0"/>
  </r>
  <r>
    <x v="21"/>
    <x v="0"/>
    <x v="3"/>
    <x v="3"/>
    <n v="7"/>
    <n v="41"/>
    <n v="240"/>
    <n v="5.8536585365853657"/>
    <n v="5.8571428571428568"/>
    <x v="0"/>
    <x v="0"/>
  </r>
  <r>
    <x v="21"/>
    <x v="0"/>
    <x v="3"/>
    <x v="6"/>
    <n v="2"/>
    <n v="15"/>
    <n v="56"/>
    <n v="3.7333333333333334"/>
    <n v="7.5"/>
    <x v="0"/>
    <x v="0"/>
  </r>
  <r>
    <x v="22"/>
    <x v="0"/>
    <x v="3"/>
    <x v="5"/>
    <n v="7"/>
    <n v="23"/>
    <n v="185"/>
    <n v="8.0434782608695645"/>
    <n v="3.2857142857142856"/>
    <x v="0"/>
    <x v="0"/>
  </r>
  <r>
    <x v="22"/>
    <x v="0"/>
    <x v="3"/>
    <x v="7"/>
    <n v="15"/>
    <n v="88"/>
    <n v="526"/>
    <n v="5.9772727272727275"/>
    <n v="5.8666666666666663"/>
    <x v="0"/>
    <x v="0"/>
  </r>
  <r>
    <x v="22"/>
    <x v="0"/>
    <x v="3"/>
    <x v="1"/>
    <n v="50"/>
    <n v="265"/>
    <n v="1507"/>
    <n v="5.686792452830189"/>
    <n v="5.3"/>
    <x v="2"/>
    <x v="1"/>
  </r>
  <r>
    <x v="22"/>
    <x v="0"/>
    <x v="3"/>
    <x v="4"/>
    <n v="10"/>
    <n v="78"/>
    <n v="315"/>
    <n v="4.0384615384615383"/>
    <n v="7.8"/>
    <x v="0"/>
    <x v="0"/>
  </r>
  <r>
    <x v="22"/>
    <x v="0"/>
    <x v="3"/>
    <x v="8"/>
    <n v="46"/>
    <n v="197"/>
    <n v="2718"/>
    <n v="13.796954314720812"/>
    <n v="4.2826086956521738"/>
    <x v="3"/>
    <x v="1"/>
  </r>
  <r>
    <x v="22"/>
    <x v="0"/>
    <x v="3"/>
    <x v="6"/>
    <n v="1"/>
    <n v="9"/>
    <n v="70"/>
    <n v="7.7777777777777777"/>
    <n v="9"/>
    <x v="0"/>
    <x v="0"/>
  </r>
  <r>
    <x v="23"/>
    <x v="0"/>
    <x v="3"/>
    <x v="5"/>
    <n v="32"/>
    <n v="118"/>
    <n v="469"/>
    <n v="3.9745762711864407"/>
    <n v="3.6875"/>
    <x v="0"/>
    <x v="0"/>
  </r>
  <r>
    <x v="23"/>
    <x v="0"/>
    <x v="3"/>
    <x v="7"/>
    <n v="17"/>
    <n v="66"/>
    <n v="326"/>
    <n v="4.9393939393939394"/>
    <n v="3.8823529411764706"/>
    <x v="0"/>
    <x v="0"/>
  </r>
  <r>
    <x v="23"/>
    <x v="0"/>
    <x v="3"/>
    <x v="1"/>
    <n v="32"/>
    <n v="214"/>
    <n v="3467"/>
    <n v="16.200934579439252"/>
    <n v="6.6875"/>
    <x v="4"/>
    <x v="1"/>
  </r>
  <r>
    <x v="23"/>
    <x v="0"/>
    <x v="3"/>
    <x v="4"/>
    <n v="9"/>
    <n v="50"/>
    <n v="378"/>
    <n v="7.56"/>
    <n v="5.5555555555555554"/>
    <x v="0"/>
    <x v="0"/>
  </r>
  <r>
    <x v="23"/>
    <x v="0"/>
    <x v="3"/>
    <x v="8"/>
    <n v="30"/>
    <n v="107"/>
    <n v="1233"/>
    <n v="11.523364485981308"/>
    <n v="3.5666666666666669"/>
    <x v="0"/>
    <x v="0"/>
  </r>
  <r>
    <x v="23"/>
    <x v="0"/>
    <x v="3"/>
    <x v="3"/>
    <n v="14"/>
    <n v="54"/>
    <n v="499"/>
    <n v="9.2407407407407405"/>
    <n v="3.8571428571428572"/>
    <x v="0"/>
    <x v="0"/>
  </r>
  <r>
    <x v="23"/>
    <x v="0"/>
    <x v="3"/>
    <x v="6"/>
    <n v="1"/>
    <n v="3"/>
    <n v="6"/>
    <n v="2"/>
    <n v="3"/>
    <x v="0"/>
    <x v="0"/>
  </r>
  <r>
    <x v="24"/>
    <x v="0"/>
    <x v="3"/>
    <x v="5"/>
    <n v="1"/>
    <n v="2"/>
    <n v="2"/>
    <n v="1"/>
    <n v="2"/>
    <x v="0"/>
    <x v="0"/>
  </r>
  <r>
    <x v="24"/>
    <x v="0"/>
    <x v="3"/>
    <x v="7"/>
    <n v="4"/>
    <n v="63"/>
    <n v="1018"/>
    <n v="16.158730158730158"/>
    <n v="15.75"/>
    <x v="0"/>
    <x v="0"/>
  </r>
  <r>
    <x v="24"/>
    <x v="0"/>
    <x v="3"/>
    <x v="1"/>
    <n v="32"/>
    <n v="239"/>
    <n v="1006"/>
    <n v="4.2092050209205025"/>
    <n v="7.46875"/>
    <x v="0"/>
    <x v="0"/>
  </r>
  <r>
    <x v="24"/>
    <x v="0"/>
    <x v="3"/>
    <x v="3"/>
    <n v="2"/>
    <n v="6"/>
    <n v="9"/>
    <n v="1.5"/>
    <n v="3"/>
    <x v="0"/>
    <x v="0"/>
  </r>
  <r>
    <x v="25"/>
    <x v="1"/>
    <x v="0"/>
    <x v="5"/>
    <n v="35"/>
    <n v="162"/>
    <n v="993"/>
    <n v="6.1296296296296298"/>
    <n v="4.628571428571429"/>
    <x v="0"/>
    <x v="0"/>
  </r>
  <r>
    <x v="25"/>
    <x v="1"/>
    <x v="0"/>
    <x v="7"/>
    <n v="22"/>
    <n v="83"/>
    <n v="451"/>
    <n v="5.4337349397590362"/>
    <n v="3.7727272727272729"/>
    <x v="0"/>
    <x v="0"/>
  </r>
  <r>
    <x v="25"/>
    <x v="1"/>
    <x v="0"/>
    <x v="1"/>
    <n v="22"/>
    <n v="105"/>
    <n v="587"/>
    <n v="5.5904761904761902"/>
    <n v="4.7727272727272725"/>
    <x v="0"/>
    <x v="0"/>
  </r>
  <r>
    <x v="25"/>
    <x v="1"/>
    <x v="0"/>
    <x v="4"/>
    <n v="8"/>
    <n v="35"/>
    <n v="157"/>
    <n v="4.4857142857142858"/>
    <n v="4.375"/>
    <x v="0"/>
    <x v="0"/>
  </r>
  <r>
    <x v="25"/>
    <x v="1"/>
    <x v="0"/>
    <x v="8"/>
    <n v="5"/>
    <n v="14"/>
    <n v="67"/>
    <n v="4.7857142857142856"/>
    <n v="2.8"/>
    <x v="0"/>
    <x v="0"/>
  </r>
  <r>
    <x v="25"/>
    <x v="1"/>
    <x v="0"/>
    <x v="3"/>
    <n v="14"/>
    <n v="78"/>
    <n v="384"/>
    <n v="4.9230769230769234"/>
    <n v="5.5714285714285712"/>
    <x v="0"/>
    <x v="0"/>
  </r>
  <r>
    <x v="25"/>
    <x v="1"/>
    <x v="0"/>
    <x v="6"/>
    <n v="1"/>
    <n v="1"/>
    <n v="12"/>
    <n v="12"/>
    <n v="1"/>
    <x v="0"/>
    <x v="0"/>
  </r>
  <r>
    <x v="26"/>
    <x v="1"/>
    <x v="0"/>
    <x v="5"/>
    <n v="21"/>
    <n v="152"/>
    <n v="861"/>
    <n v="5.6644736842105265"/>
    <n v="7.2380952380952381"/>
    <x v="0"/>
    <x v="0"/>
  </r>
  <r>
    <x v="26"/>
    <x v="1"/>
    <x v="0"/>
    <x v="7"/>
    <n v="19"/>
    <n v="77"/>
    <n v="335"/>
    <n v="4.3506493506493502"/>
    <n v="4.0526315789473681"/>
    <x v="0"/>
    <x v="0"/>
  </r>
  <r>
    <x v="26"/>
    <x v="1"/>
    <x v="0"/>
    <x v="1"/>
    <n v="66"/>
    <n v="333"/>
    <n v="1805"/>
    <n v="5.4204204204204203"/>
    <n v="5.0454545454545459"/>
    <x v="0"/>
    <x v="0"/>
  </r>
  <r>
    <x v="26"/>
    <x v="1"/>
    <x v="0"/>
    <x v="4"/>
    <n v="10"/>
    <n v="72"/>
    <n v="136"/>
    <n v="1.8888888888888888"/>
    <n v="7.2"/>
    <x v="0"/>
    <x v="0"/>
  </r>
  <r>
    <x v="26"/>
    <x v="1"/>
    <x v="0"/>
    <x v="8"/>
    <n v="55"/>
    <n v="381"/>
    <n v="1532"/>
    <n v="4.0209973753280837"/>
    <n v="6.9272727272727277"/>
    <x v="0"/>
    <x v="0"/>
  </r>
  <r>
    <x v="27"/>
    <x v="1"/>
    <x v="0"/>
    <x v="5"/>
    <n v="16"/>
    <n v="105"/>
    <n v="501"/>
    <n v="4.7714285714285714"/>
    <n v="6.5625"/>
    <x v="0"/>
    <x v="0"/>
  </r>
  <r>
    <x v="27"/>
    <x v="1"/>
    <x v="0"/>
    <x v="7"/>
    <n v="13"/>
    <n v="53"/>
    <n v="286"/>
    <n v="5.3962264150943398"/>
    <n v="4.0769230769230766"/>
    <x v="0"/>
    <x v="0"/>
  </r>
  <r>
    <x v="27"/>
    <x v="1"/>
    <x v="0"/>
    <x v="1"/>
    <n v="32"/>
    <n v="212"/>
    <n v="1349"/>
    <n v="6.3632075471698117"/>
    <n v="6.625"/>
    <x v="0"/>
    <x v="0"/>
  </r>
  <r>
    <x v="27"/>
    <x v="1"/>
    <x v="0"/>
    <x v="4"/>
    <n v="6"/>
    <n v="35"/>
    <n v="189"/>
    <n v="5.4"/>
    <n v="5.833333333333333"/>
    <x v="0"/>
    <x v="0"/>
  </r>
  <r>
    <x v="27"/>
    <x v="1"/>
    <x v="0"/>
    <x v="3"/>
    <n v="6"/>
    <n v="12"/>
    <n v="159"/>
    <n v="13.25"/>
    <n v="2"/>
    <x v="0"/>
    <x v="0"/>
  </r>
  <r>
    <x v="27"/>
    <x v="1"/>
    <x v="0"/>
    <x v="0"/>
    <n v="44"/>
    <n v="224"/>
    <n v="1165"/>
    <n v="5.2008928571428568"/>
    <n v="5.0909090909090908"/>
    <x v="0"/>
    <x v="0"/>
  </r>
  <r>
    <x v="28"/>
    <x v="1"/>
    <x v="0"/>
    <x v="5"/>
    <n v="26"/>
    <n v="152"/>
    <n v="825"/>
    <n v="5.4276315789473681"/>
    <n v="5.8461538461538458"/>
    <x v="0"/>
    <x v="0"/>
  </r>
  <r>
    <x v="28"/>
    <x v="1"/>
    <x v="0"/>
    <x v="7"/>
    <n v="19"/>
    <n v="44"/>
    <n v="612"/>
    <n v="13.909090909090908"/>
    <n v="2.3157894736842106"/>
    <x v="0"/>
    <x v="0"/>
  </r>
  <r>
    <x v="28"/>
    <x v="1"/>
    <x v="0"/>
    <x v="1"/>
    <n v="22"/>
    <n v="76"/>
    <n v="1103"/>
    <n v="14.513157894736842"/>
    <n v="3.4545454545454546"/>
    <x v="0"/>
    <x v="0"/>
  </r>
  <r>
    <x v="28"/>
    <x v="1"/>
    <x v="0"/>
    <x v="4"/>
    <n v="11"/>
    <n v="26"/>
    <n v="458"/>
    <n v="17.615384615384617"/>
    <n v="2.3636363636363638"/>
    <x v="0"/>
    <x v="0"/>
  </r>
  <r>
    <x v="28"/>
    <x v="1"/>
    <x v="0"/>
    <x v="0"/>
    <n v="51"/>
    <n v="272"/>
    <n v="1509"/>
    <n v="5.5477941176470589"/>
    <n v="5.333333333333333"/>
    <x v="0"/>
    <x v="0"/>
  </r>
  <r>
    <x v="28"/>
    <x v="1"/>
    <x v="0"/>
    <x v="3"/>
    <n v="2"/>
    <n v="3"/>
    <n v="6"/>
    <n v="2"/>
    <n v="1.5"/>
    <x v="0"/>
    <x v="0"/>
  </r>
  <r>
    <x v="28"/>
    <x v="1"/>
    <x v="0"/>
    <x v="6"/>
    <n v="6"/>
    <n v="7"/>
    <n v="42"/>
    <n v="6"/>
    <n v="1.1666666666666667"/>
    <x v="0"/>
    <x v="0"/>
  </r>
  <r>
    <x v="28"/>
    <x v="1"/>
    <x v="0"/>
    <x v="8"/>
    <n v="5"/>
    <n v="32"/>
    <n v="148"/>
    <n v="4.625"/>
    <n v="6.4"/>
    <x v="0"/>
    <x v="0"/>
  </r>
  <r>
    <x v="29"/>
    <x v="1"/>
    <x v="0"/>
    <x v="5"/>
    <n v="48"/>
    <n v="276"/>
    <n v="1975"/>
    <n v="7.1557971014492754"/>
    <n v="5.75"/>
    <x v="0"/>
    <x v="0"/>
  </r>
  <r>
    <x v="29"/>
    <x v="1"/>
    <x v="0"/>
    <x v="7"/>
    <n v="9"/>
    <n v="55"/>
    <n v="202"/>
    <n v="3.6727272727272728"/>
    <n v="6.1111111111111107"/>
    <x v="0"/>
    <x v="0"/>
  </r>
  <r>
    <x v="29"/>
    <x v="1"/>
    <x v="0"/>
    <x v="0"/>
    <n v="2"/>
    <n v="6"/>
    <n v="17"/>
    <n v="2.8333333333333335"/>
    <n v="3"/>
    <x v="0"/>
    <x v="0"/>
  </r>
  <r>
    <x v="29"/>
    <x v="1"/>
    <x v="0"/>
    <x v="3"/>
    <n v="58"/>
    <n v="253"/>
    <n v="1775"/>
    <n v="7.0158102766798418"/>
    <n v="4.3620689655172411"/>
    <x v="0"/>
    <x v="0"/>
  </r>
  <r>
    <x v="29"/>
    <x v="1"/>
    <x v="0"/>
    <x v="8"/>
    <n v="43"/>
    <n v="229"/>
    <n v="1604"/>
    <n v="7.0043668122270741"/>
    <n v="5.3255813953488369"/>
    <x v="0"/>
    <x v="0"/>
  </r>
  <r>
    <x v="30"/>
    <x v="1"/>
    <x v="0"/>
    <x v="5"/>
    <n v="2"/>
    <n v="11"/>
    <n v="128"/>
    <n v="11.636363636363637"/>
    <n v="5.5"/>
    <x v="0"/>
    <x v="0"/>
  </r>
  <r>
    <x v="30"/>
    <x v="1"/>
    <x v="0"/>
    <x v="7"/>
    <n v="17"/>
    <n v="86"/>
    <n v="722"/>
    <n v="8.395348837209303"/>
    <n v="5.0588235294117645"/>
    <x v="0"/>
    <x v="0"/>
  </r>
  <r>
    <x v="30"/>
    <x v="1"/>
    <x v="0"/>
    <x v="0"/>
    <n v="1"/>
    <n v="3"/>
    <n v="3"/>
    <n v="1"/>
    <n v="3"/>
    <x v="0"/>
    <x v="0"/>
  </r>
  <r>
    <x v="30"/>
    <x v="1"/>
    <x v="0"/>
    <x v="3"/>
    <n v="23"/>
    <n v="218"/>
    <n v="892"/>
    <n v="4.0917431192660549"/>
    <n v="9.4782608695652169"/>
    <x v="0"/>
    <x v="0"/>
  </r>
  <r>
    <x v="30"/>
    <x v="1"/>
    <x v="0"/>
    <x v="6"/>
    <n v="4"/>
    <n v="24"/>
    <n v="59"/>
    <n v="2.4583333333333335"/>
    <n v="6"/>
    <x v="0"/>
    <x v="0"/>
  </r>
  <r>
    <x v="30"/>
    <x v="1"/>
    <x v="0"/>
    <x v="8"/>
    <n v="6"/>
    <n v="41"/>
    <n v="173"/>
    <n v="4.2195121951219514"/>
    <n v="6.833333333333333"/>
    <x v="0"/>
    <x v="0"/>
  </r>
  <r>
    <x v="31"/>
    <x v="1"/>
    <x v="1"/>
    <x v="7"/>
    <n v="16"/>
    <n v="77"/>
    <n v="554"/>
    <n v="7.1948051948051948"/>
    <n v="4.8125"/>
    <x v="0"/>
    <x v="0"/>
  </r>
  <r>
    <x v="31"/>
    <x v="1"/>
    <x v="1"/>
    <x v="0"/>
    <n v="10"/>
    <n v="73"/>
    <n v="668"/>
    <n v="9.1506849315068486"/>
    <n v="7.3"/>
    <x v="0"/>
    <x v="0"/>
  </r>
  <r>
    <x v="31"/>
    <x v="1"/>
    <x v="1"/>
    <x v="3"/>
    <n v="66"/>
    <n v="408"/>
    <n v="1999"/>
    <n v="4.8995098039215685"/>
    <n v="6.1818181818181817"/>
    <x v="0"/>
    <x v="0"/>
  </r>
  <r>
    <x v="31"/>
    <x v="1"/>
    <x v="1"/>
    <x v="6"/>
    <n v="1"/>
    <n v="1"/>
    <n v="1"/>
    <n v="1"/>
    <n v="1"/>
    <x v="0"/>
    <x v="0"/>
  </r>
  <r>
    <x v="31"/>
    <x v="1"/>
    <x v="1"/>
    <x v="8"/>
    <n v="36"/>
    <n v="254"/>
    <n v="1279"/>
    <n v="5.0354330708661417"/>
    <n v="7.0555555555555554"/>
    <x v="0"/>
    <x v="0"/>
  </r>
  <r>
    <x v="32"/>
    <x v="1"/>
    <x v="1"/>
    <x v="5"/>
    <n v="16"/>
    <n v="97"/>
    <n v="512"/>
    <n v="5.2783505154639174"/>
    <n v="6.0625"/>
    <x v="0"/>
    <x v="0"/>
  </r>
  <r>
    <x v="32"/>
    <x v="1"/>
    <x v="1"/>
    <x v="7"/>
    <n v="44"/>
    <n v="253"/>
    <n v="1433"/>
    <n v="5.6640316205533594"/>
    <n v="5.75"/>
    <x v="0"/>
    <x v="0"/>
  </r>
  <r>
    <x v="32"/>
    <x v="1"/>
    <x v="1"/>
    <x v="4"/>
    <n v="4"/>
    <n v="16"/>
    <n v="109"/>
    <n v="6.8125"/>
    <n v="4"/>
    <x v="0"/>
    <x v="0"/>
  </r>
  <r>
    <x v="32"/>
    <x v="1"/>
    <x v="1"/>
    <x v="0"/>
    <n v="7"/>
    <n v="20"/>
    <n v="71"/>
    <n v="3.55"/>
    <n v="2.8571428571428572"/>
    <x v="0"/>
    <x v="0"/>
  </r>
  <r>
    <x v="32"/>
    <x v="1"/>
    <x v="1"/>
    <x v="6"/>
    <n v="3"/>
    <n v="8"/>
    <n v="26"/>
    <n v="3.25"/>
    <n v="2.6666666666666665"/>
    <x v="0"/>
    <x v="0"/>
  </r>
  <r>
    <x v="32"/>
    <x v="1"/>
    <x v="1"/>
    <x v="9"/>
    <n v="5"/>
    <n v="40"/>
    <n v="114"/>
    <n v="2.85"/>
    <n v="8"/>
    <x v="0"/>
    <x v="0"/>
  </r>
  <r>
    <x v="32"/>
    <x v="1"/>
    <x v="1"/>
    <x v="8"/>
    <n v="52"/>
    <n v="259"/>
    <n v="1383"/>
    <n v="5.33976833976834"/>
    <n v="4.9807692307692308"/>
    <x v="0"/>
    <x v="0"/>
  </r>
  <r>
    <x v="33"/>
    <x v="1"/>
    <x v="1"/>
    <x v="5"/>
    <n v="3"/>
    <n v="13"/>
    <n v="17"/>
    <n v="1.3076923076923077"/>
    <n v="4.333333333333333"/>
    <x v="0"/>
    <x v="0"/>
  </r>
  <r>
    <x v="33"/>
    <x v="1"/>
    <x v="1"/>
    <x v="7"/>
    <n v="44"/>
    <n v="172"/>
    <n v="969"/>
    <n v="5.6337209302325579"/>
    <n v="3.9090909090909092"/>
    <x v="0"/>
    <x v="0"/>
  </r>
  <r>
    <x v="33"/>
    <x v="1"/>
    <x v="1"/>
    <x v="1"/>
    <n v="43"/>
    <n v="255"/>
    <n v="946"/>
    <n v="3.7098039215686276"/>
    <n v="5.9302325581395348"/>
    <x v="0"/>
    <x v="0"/>
  </r>
  <r>
    <x v="33"/>
    <x v="1"/>
    <x v="1"/>
    <x v="0"/>
    <n v="7"/>
    <n v="14"/>
    <n v="124"/>
    <n v="8.8571428571428577"/>
    <n v="2"/>
    <x v="0"/>
    <x v="0"/>
  </r>
  <r>
    <x v="33"/>
    <x v="1"/>
    <x v="1"/>
    <x v="3"/>
    <n v="1"/>
    <n v="1"/>
    <n v="2"/>
    <n v="2"/>
    <n v="1"/>
    <x v="0"/>
    <x v="0"/>
  </r>
  <r>
    <x v="33"/>
    <x v="1"/>
    <x v="1"/>
    <x v="6"/>
    <n v="5"/>
    <n v="24"/>
    <n v="56"/>
    <n v="2.3333333333333335"/>
    <n v="4.8"/>
    <x v="0"/>
    <x v="0"/>
  </r>
  <r>
    <x v="33"/>
    <x v="1"/>
    <x v="1"/>
    <x v="8"/>
    <n v="35"/>
    <n v="186"/>
    <n v="1141"/>
    <n v="6.134408602150538"/>
    <n v="5.3142857142857141"/>
    <x v="0"/>
    <x v="0"/>
  </r>
  <r>
    <x v="34"/>
    <x v="1"/>
    <x v="1"/>
    <x v="5"/>
    <n v="7"/>
    <n v="48"/>
    <n v="150"/>
    <n v="3.125"/>
    <n v="6.8571428571428568"/>
    <x v="0"/>
    <x v="0"/>
  </r>
  <r>
    <x v="34"/>
    <x v="1"/>
    <x v="1"/>
    <x v="7"/>
    <n v="33"/>
    <n v="194"/>
    <n v="1485"/>
    <n v="7.6546391752577323"/>
    <n v="5.8787878787878789"/>
    <x v="0"/>
    <x v="0"/>
  </r>
  <r>
    <x v="34"/>
    <x v="1"/>
    <x v="1"/>
    <x v="1"/>
    <n v="36"/>
    <n v="204"/>
    <n v="937"/>
    <n v="4.5931372549019605"/>
    <n v="5.666666666666667"/>
    <x v="0"/>
    <x v="0"/>
  </r>
  <r>
    <x v="34"/>
    <x v="1"/>
    <x v="1"/>
    <x v="0"/>
    <n v="7"/>
    <n v="37"/>
    <n v="214"/>
    <n v="5.7837837837837842"/>
    <n v="5.2857142857142856"/>
    <x v="0"/>
    <x v="0"/>
  </r>
  <r>
    <x v="34"/>
    <x v="1"/>
    <x v="1"/>
    <x v="3"/>
    <n v="1"/>
    <n v="1"/>
    <n v="2"/>
    <n v="2"/>
    <n v="1"/>
    <x v="0"/>
    <x v="0"/>
  </r>
  <r>
    <x v="34"/>
    <x v="1"/>
    <x v="1"/>
    <x v="6"/>
    <n v="2"/>
    <n v="3"/>
    <n v="16"/>
    <n v="5.333333333333333"/>
    <n v="1.5"/>
    <x v="0"/>
    <x v="0"/>
  </r>
  <r>
    <x v="34"/>
    <x v="1"/>
    <x v="1"/>
    <x v="9"/>
    <n v="1"/>
    <n v="13"/>
    <n v="79"/>
    <n v="6.0769230769230766"/>
    <n v="13"/>
    <x v="0"/>
    <x v="0"/>
  </r>
  <r>
    <x v="34"/>
    <x v="1"/>
    <x v="1"/>
    <x v="8"/>
    <n v="39"/>
    <n v="173"/>
    <n v="1847"/>
    <n v="10.676300578034683"/>
    <n v="4.4358974358974361"/>
    <x v="0"/>
    <x v="0"/>
  </r>
  <r>
    <x v="35"/>
    <x v="1"/>
    <x v="1"/>
    <x v="5"/>
    <n v="7"/>
    <n v="30"/>
    <n v="191"/>
    <n v="6.3666666666666663"/>
    <n v="4.2857142857142856"/>
    <x v="0"/>
    <x v="0"/>
  </r>
  <r>
    <x v="35"/>
    <x v="1"/>
    <x v="1"/>
    <x v="7"/>
    <n v="25"/>
    <n v="166"/>
    <n v="938"/>
    <n v="5.6506024096385543"/>
    <n v="6.64"/>
    <x v="0"/>
    <x v="0"/>
  </r>
  <r>
    <x v="35"/>
    <x v="1"/>
    <x v="1"/>
    <x v="1"/>
    <n v="39"/>
    <n v="243"/>
    <n v="1424"/>
    <n v="5.8600823045267489"/>
    <n v="6.2307692307692308"/>
    <x v="0"/>
    <x v="0"/>
  </r>
  <r>
    <x v="35"/>
    <x v="1"/>
    <x v="1"/>
    <x v="4"/>
    <n v="3"/>
    <n v="7"/>
    <n v="141"/>
    <n v="20.142857142857142"/>
    <n v="2.3333333333333335"/>
    <x v="0"/>
    <x v="0"/>
  </r>
  <r>
    <x v="35"/>
    <x v="1"/>
    <x v="1"/>
    <x v="0"/>
    <n v="12"/>
    <n v="43"/>
    <n v="250"/>
    <n v="5.8139534883720927"/>
    <n v="3.5833333333333335"/>
    <x v="0"/>
    <x v="0"/>
  </r>
  <r>
    <x v="35"/>
    <x v="1"/>
    <x v="1"/>
    <x v="3"/>
    <n v="1"/>
    <n v="4"/>
    <n v="108"/>
    <n v="27"/>
    <n v="4"/>
    <x v="0"/>
    <x v="0"/>
  </r>
  <r>
    <x v="35"/>
    <x v="1"/>
    <x v="1"/>
    <x v="6"/>
    <n v="3"/>
    <n v="15"/>
    <n v="41"/>
    <n v="2.7333333333333334"/>
    <n v="5"/>
    <x v="0"/>
    <x v="0"/>
  </r>
  <r>
    <x v="35"/>
    <x v="1"/>
    <x v="1"/>
    <x v="9"/>
    <n v="4"/>
    <n v="27"/>
    <n v="421"/>
    <n v="15.592592592592593"/>
    <n v="6.75"/>
    <x v="0"/>
    <x v="0"/>
  </r>
  <r>
    <x v="35"/>
    <x v="1"/>
    <x v="1"/>
    <x v="8"/>
    <n v="24"/>
    <n v="200"/>
    <n v="1732"/>
    <n v="8.66"/>
    <n v="8.3333333333333339"/>
    <x v="0"/>
    <x v="0"/>
  </r>
  <r>
    <x v="36"/>
    <x v="1"/>
    <x v="1"/>
    <x v="7"/>
    <n v="18"/>
    <n v="133"/>
    <n v="975"/>
    <n v="7.3308270676691727"/>
    <n v="7.3888888888888893"/>
    <x v="0"/>
    <x v="0"/>
  </r>
  <r>
    <x v="36"/>
    <x v="1"/>
    <x v="1"/>
    <x v="1"/>
    <n v="12"/>
    <n v="165"/>
    <n v="628"/>
    <n v="3.8060606060606061"/>
    <n v="13.75"/>
    <x v="0"/>
    <x v="0"/>
  </r>
  <r>
    <x v="36"/>
    <x v="1"/>
    <x v="1"/>
    <x v="3"/>
    <n v="1"/>
    <n v="3"/>
    <n v="13"/>
    <n v="4.333333333333333"/>
    <n v="3"/>
    <x v="0"/>
    <x v="0"/>
  </r>
  <r>
    <x v="36"/>
    <x v="1"/>
    <x v="1"/>
    <x v="6"/>
    <n v="5"/>
    <n v="29"/>
    <n v="102"/>
    <n v="3.5172413793103448"/>
    <n v="5.8"/>
    <x v="0"/>
    <x v="0"/>
  </r>
  <r>
    <x v="36"/>
    <x v="1"/>
    <x v="1"/>
    <x v="8"/>
    <n v="6"/>
    <n v="23"/>
    <n v="93"/>
    <n v="4.0434782608695654"/>
    <n v="3.8333333333333335"/>
    <x v="0"/>
    <x v="0"/>
  </r>
  <r>
    <x v="37"/>
    <x v="1"/>
    <x v="2"/>
    <x v="5"/>
    <n v="19"/>
    <n v="183"/>
    <n v="853"/>
    <n v="4.6612021857923498"/>
    <n v="9.6315789473684212"/>
    <x v="0"/>
    <x v="0"/>
  </r>
  <r>
    <x v="37"/>
    <x v="1"/>
    <x v="2"/>
    <x v="7"/>
    <n v="3"/>
    <n v="38"/>
    <n v="131"/>
    <n v="3.4473684210526314"/>
    <n v="12.666666666666666"/>
    <x v="0"/>
    <x v="0"/>
  </r>
  <r>
    <x v="37"/>
    <x v="1"/>
    <x v="2"/>
    <x v="1"/>
    <n v="38"/>
    <n v="196"/>
    <n v="1339"/>
    <n v="6.8316326530612246"/>
    <n v="5.1578947368421053"/>
    <x v="0"/>
    <x v="0"/>
  </r>
  <r>
    <x v="37"/>
    <x v="1"/>
    <x v="2"/>
    <x v="0"/>
    <n v="2"/>
    <n v="6"/>
    <n v="49"/>
    <n v="8.1666666666666661"/>
    <n v="3"/>
    <x v="0"/>
    <x v="0"/>
  </r>
  <r>
    <x v="37"/>
    <x v="1"/>
    <x v="2"/>
    <x v="3"/>
    <n v="4"/>
    <n v="13"/>
    <n v="22"/>
    <n v="1.6923076923076923"/>
    <n v="3.25"/>
    <x v="0"/>
    <x v="0"/>
  </r>
  <r>
    <x v="37"/>
    <x v="1"/>
    <x v="2"/>
    <x v="9"/>
    <n v="11"/>
    <n v="91"/>
    <n v="244"/>
    <n v="2.6813186813186811"/>
    <n v="8.2727272727272734"/>
    <x v="0"/>
    <x v="0"/>
  </r>
  <r>
    <x v="37"/>
    <x v="1"/>
    <x v="2"/>
    <x v="8"/>
    <n v="7"/>
    <n v="74"/>
    <n v="309"/>
    <n v="4.1756756756756754"/>
    <n v="10.571428571428571"/>
    <x v="0"/>
    <x v="0"/>
  </r>
  <r>
    <x v="38"/>
    <x v="1"/>
    <x v="2"/>
    <x v="5"/>
    <n v="10"/>
    <n v="54"/>
    <n v="198"/>
    <n v="3.6666666666666665"/>
    <n v="5.4"/>
    <x v="0"/>
    <x v="0"/>
  </r>
  <r>
    <x v="38"/>
    <x v="1"/>
    <x v="2"/>
    <x v="7"/>
    <n v="13"/>
    <n v="172"/>
    <n v="916"/>
    <n v="5.3255813953488369"/>
    <n v="13.23076923076923"/>
    <x v="0"/>
    <x v="0"/>
  </r>
  <r>
    <x v="38"/>
    <x v="1"/>
    <x v="2"/>
    <x v="3"/>
    <n v="1"/>
    <n v="2"/>
    <n v="8"/>
    <n v="4"/>
    <n v="2"/>
    <x v="0"/>
    <x v="0"/>
  </r>
  <r>
    <x v="38"/>
    <x v="1"/>
    <x v="2"/>
    <x v="9"/>
    <n v="5"/>
    <n v="19"/>
    <n v="78"/>
    <n v="4.1052631578947372"/>
    <n v="3.8"/>
    <x v="0"/>
    <x v="0"/>
  </r>
  <r>
    <x v="38"/>
    <x v="1"/>
    <x v="2"/>
    <x v="8"/>
    <n v="4"/>
    <n v="37"/>
    <n v="159"/>
    <n v="4.2972972972972974"/>
    <n v="9.25"/>
    <x v="0"/>
    <x v="0"/>
  </r>
  <r>
    <x v="39"/>
    <x v="1"/>
    <x v="2"/>
    <x v="5"/>
    <n v="21"/>
    <n v="126"/>
    <n v="453"/>
    <n v="3.5952380952380953"/>
    <n v="6"/>
    <x v="0"/>
    <x v="0"/>
  </r>
  <r>
    <x v="39"/>
    <x v="1"/>
    <x v="2"/>
    <x v="7"/>
    <n v="19"/>
    <n v="94"/>
    <n v="640"/>
    <n v="6.8085106382978724"/>
    <n v="4.9473684210526319"/>
    <x v="0"/>
    <x v="0"/>
  </r>
  <r>
    <x v="39"/>
    <x v="1"/>
    <x v="2"/>
    <x v="1"/>
    <n v="11"/>
    <n v="52"/>
    <n v="937"/>
    <n v="18.01923076923077"/>
    <n v="4.7272727272727275"/>
    <x v="0"/>
    <x v="0"/>
  </r>
  <r>
    <x v="39"/>
    <x v="1"/>
    <x v="2"/>
    <x v="4"/>
    <n v="9"/>
    <n v="43"/>
    <n v="189"/>
    <n v="4.3953488372093021"/>
    <n v="4.7777777777777777"/>
    <x v="0"/>
    <x v="0"/>
  </r>
  <r>
    <x v="39"/>
    <x v="1"/>
    <x v="2"/>
    <x v="0"/>
    <n v="3"/>
    <n v="15"/>
    <n v="32"/>
    <n v="2.1333333333333333"/>
    <n v="5"/>
    <x v="0"/>
    <x v="0"/>
  </r>
  <r>
    <x v="39"/>
    <x v="1"/>
    <x v="2"/>
    <x v="6"/>
    <n v="8"/>
    <n v="17"/>
    <n v="75"/>
    <n v="4.4117647058823533"/>
    <n v="2.125"/>
    <x v="0"/>
    <x v="0"/>
  </r>
  <r>
    <x v="39"/>
    <x v="1"/>
    <x v="2"/>
    <x v="9"/>
    <n v="12"/>
    <n v="41"/>
    <n v="230"/>
    <n v="5.6097560975609753"/>
    <n v="3.4166666666666665"/>
    <x v="0"/>
    <x v="0"/>
  </r>
  <r>
    <x v="39"/>
    <x v="1"/>
    <x v="2"/>
    <x v="8"/>
    <n v="32"/>
    <n v="244"/>
    <n v="1662"/>
    <n v="6.8114754098360653"/>
    <n v="7.625"/>
    <x v="0"/>
    <x v="0"/>
  </r>
  <r>
    <x v="40"/>
    <x v="1"/>
    <x v="2"/>
    <x v="5"/>
    <n v="2"/>
    <n v="6"/>
    <n v="147"/>
    <n v="24.5"/>
    <n v="3"/>
    <x v="0"/>
    <x v="0"/>
  </r>
  <r>
    <x v="40"/>
    <x v="1"/>
    <x v="2"/>
    <x v="7"/>
    <n v="53"/>
    <n v="313"/>
    <n v="2691"/>
    <n v="8.5974440894568698"/>
    <n v="5.9056603773584904"/>
    <x v="0"/>
    <x v="0"/>
  </r>
  <r>
    <x v="40"/>
    <x v="1"/>
    <x v="2"/>
    <x v="4"/>
    <n v="3"/>
    <n v="15"/>
    <n v="34"/>
    <n v="2.2666666666666666"/>
    <n v="5"/>
    <x v="0"/>
    <x v="0"/>
  </r>
  <r>
    <x v="40"/>
    <x v="1"/>
    <x v="2"/>
    <x v="6"/>
    <n v="1"/>
    <n v="2"/>
    <n v="2"/>
    <n v="1"/>
    <n v="2"/>
    <x v="0"/>
    <x v="0"/>
  </r>
  <r>
    <x v="40"/>
    <x v="1"/>
    <x v="2"/>
    <x v="9"/>
    <n v="14"/>
    <n v="73"/>
    <n v="289"/>
    <n v="3.9589041095890409"/>
    <n v="5.2142857142857144"/>
    <x v="0"/>
    <x v="0"/>
  </r>
  <r>
    <x v="40"/>
    <x v="1"/>
    <x v="2"/>
    <x v="8"/>
    <n v="67"/>
    <n v="243"/>
    <n v="1352"/>
    <n v="5.5637860082304531"/>
    <n v="3.6268656716417911"/>
    <x v="0"/>
    <x v="0"/>
  </r>
  <r>
    <x v="41"/>
    <x v="1"/>
    <x v="2"/>
    <x v="5"/>
    <n v="64"/>
    <n v="64"/>
    <n v="618"/>
    <n v="9.65625"/>
    <n v="1"/>
    <x v="0"/>
    <x v="0"/>
  </r>
  <r>
    <x v="41"/>
    <x v="1"/>
    <x v="2"/>
    <x v="7"/>
    <n v="38"/>
    <n v="345"/>
    <n v="2108"/>
    <n v="6.1101449275362318"/>
    <n v="9.0789473684210531"/>
    <x v="0"/>
    <x v="0"/>
  </r>
  <r>
    <x v="41"/>
    <x v="1"/>
    <x v="2"/>
    <x v="4"/>
    <n v="10"/>
    <n v="18"/>
    <n v="283"/>
    <n v="15.722222222222221"/>
    <n v="1.8"/>
    <x v="0"/>
    <x v="0"/>
  </r>
  <r>
    <x v="41"/>
    <x v="1"/>
    <x v="2"/>
    <x v="0"/>
    <n v="14"/>
    <n v="76"/>
    <n v="476"/>
    <n v="6.2631578947368425"/>
    <n v="5.4285714285714288"/>
    <x v="0"/>
    <x v="0"/>
  </r>
  <r>
    <x v="41"/>
    <x v="1"/>
    <x v="2"/>
    <x v="6"/>
    <n v="6"/>
    <n v="24"/>
    <n v="49"/>
    <n v="2.0416666666666665"/>
    <n v="4"/>
    <x v="0"/>
    <x v="0"/>
  </r>
  <r>
    <x v="41"/>
    <x v="1"/>
    <x v="2"/>
    <x v="9"/>
    <n v="10"/>
    <n v="90"/>
    <n v="526"/>
    <n v="5.8444444444444441"/>
    <n v="9"/>
    <x v="0"/>
    <x v="0"/>
  </r>
  <r>
    <x v="41"/>
    <x v="1"/>
    <x v="2"/>
    <x v="8"/>
    <n v="65"/>
    <n v="346"/>
    <n v="2174"/>
    <n v="6.2832369942196529"/>
    <n v="5.3230769230769228"/>
    <x v="0"/>
    <x v="0"/>
  </r>
  <r>
    <x v="42"/>
    <x v="1"/>
    <x v="2"/>
    <x v="7"/>
    <n v="25"/>
    <n v="231"/>
    <n v="761"/>
    <n v="3.2943722943722942"/>
    <n v="9.24"/>
    <x v="0"/>
    <x v="0"/>
  </r>
  <r>
    <x v="42"/>
    <x v="1"/>
    <x v="2"/>
    <x v="3"/>
    <n v="1"/>
    <n v="8"/>
    <n v="62"/>
    <n v="7.75"/>
    <n v="8"/>
    <x v="0"/>
    <x v="0"/>
  </r>
  <r>
    <x v="42"/>
    <x v="1"/>
    <x v="2"/>
    <x v="6"/>
    <n v="10"/>
    <n v="37"/>
    <n v="198"/>
    <n v="5.3513513513513518"/>
    <n v="3.7"/>
    <x v="0"/>
    <x v="0"/>
  </r>
  <r>
    <x v="42"/>
    <x v="1"/>
    <x v="2"/>
    <x v="9"/>
    <n v="3"/>
    <n v="25"/>
    <n v="56"/>
    <n v="2.2400000000000002"/>
    <n v="8.3333333333333339"/>
    <x v="0"/>
    <x v="0"/>
  </r>
  <r>
    <x v="42"/>
    <x v="1"/>
    <x v="2"/>
    <x v="8"/>
    <n v="8"/>
    <n v="63"/>
    <n v="265"/>
    <n v="4.2063492063492065"/>
    <n v="7.875"/>
    <x v="0"/>
    <x v="0"/>
  </r>
  <r>
    <x v="43"/>
    <x v="1"/>
    <x v="3"/>
    <x v="5"/>
    <n v="13"/>
    <n v="77"/>
    <n v="1383"/>
    <n v="17.961038961038962"/>
    <n v="5.9230769230769234"/>
    <x v="0"/>
    <x v="0"/>
  </r>
  <r>
    <x v="43"/>
    <x v="1"/>
    <x v="3"/>
    <x v="7"/>
    <n v="47"/>
    <n v="259"/>
    <n v="4294"/>
    <n v="16.579150579150578"/>
    <n v="5.5106382978723403"/>
    <x v="0"/>
    <x v="0"/>
  </r>
  <r>
    <x v="43"/>
    <x v="1"/>
    <x v="3"/>
    <x v="4"/>
    <n v="6"/>
    <n v="11"/>
    <n v="119"/>
    <n v="10.818181818181818"/>
    <n v="1.8333333333333333"/>
    <x v="0"/>
    <x v="0"/>
  </r>
  <r>
    <x v="43"/>
    <x v="1"/>
    <x v="3"/>
    <x v="0"/>
    <n v="1"/>
    <n v="2"/>
    <n v="5"/>
    <n v="2.5"/>
    <n v="2"/>
    <x v="0"/>
    <x v="0"/>
  </r>
  <r>
    <x v="43"/>
    <x v="1"/>
    <x v="3"/>
    <x v="6"/>
    <n v="27"/>
    <n v="86"/>
    <n v="1329"/>
    <n v="15.453488372093023"/>
    <n v="3.1851851851851851"/>
    <x v="0"/>
    <x v="0"/>
  </r>
  <r>
    <x v="43"/>
    <x v="1"/>
    <x v="3"/>
    <x v="9"/>
    <n v="12"/>
    <n v="74"/>
    <n v="625"/>
    <n v="8.4459459459459456"/>
    <n v="6.166666666666667"/>
    <x v="0"/>
    <x v="0"/>
  </r>
  <r>
    <x v="43"/>
    <x v="1"/>
    <x v="3"/>
    <x v="8"/>
    <n v="27"/>
    <n v="122"/>
    <n v="450"/>
    <n v="3.6885245901639343"/>
    <n v="4.5185185185185182"/>
    <x v="0"/>
    <x v="0"/>
  </r>
  <r>
    <x v="44"/>
    <x v="1"/>
    <x v="3"/>
    <x v="7"/>
    <n v="66"/>
    <n v="371"/>
    <n v="1943"/>
    <n v="5.237196765498652"/>
    <n v="5.6212121212121211"/>
    <x v="0"/>
    <x v="0"/>
  </r>
  <r>
    <x v="44"/>
    <x v="1"/>
    <x v="3"/>
    <x v="4"/>
    <n v="18"/>
    <n v="73"/>
    <n v="374"/>
    <n v="5.1232876712328768"/>
    <n v="4.0555555555555554"/>
    <x v="0"/>
    <x v="0"/>
  </r>
  <r>
    <x v="44"/>
    <x v="1"/>
    <x v="3"/>
    <x v="0"/>
    <n v="7"/>
    <n v="45"/>
    <n v="421"/>
    <n v="9.3555555555555561"/>
    <n v="6.4285714285714288"/>
    <x v="0"/>
    <x v="0"/>
  </r>
  <r>
    <x v="44"/>
    <x v="1"/>
    <x v="3"/>
    <x v="6"/>
    <n v="20"/>
    <n v="124"/>
    <n v="581"/>
    <n v="4.685483870967742"/>
    <n v="6.2"/>
    <x v="0"/>
    <x v="0"/>
  </r>
  <r>
    <x v="44"/>
    <x v="1"/>
    <x v="3"/>
    <x v="9"/>
    <n v="7"/>
    <n v="51"/>
    <n v="775"/>
    <n v="15.196078431372548"/>
    <n v="7.2857142857142856"/>
    <x v="0"/>
    <x v="0"/>
  </r>
  <r>
    <x v="44"/>
    <x v="1"/>
    <x v="3"/>
    <x v="8"/>
    <n v="19"/>
    <n v="103"/>
    <n v="537"/>
    <n v="5.2135922330097086"/>
    <n v="5.4210526315789478"/>
    <x v="0"/>
    <x v="0"/>
  </r>
  <r>
    <x v="45"/>
    <x v="1"/>
    <x v="3"/>
    <x v="5"/>
    <n v="21"/>
    <n v="91"/>
    <n v="503"/>
    <n v="5.5274725274725274"/>
    <n v="4.333333333333333"/>
    <x v="0"/>
    <x v="0"/>
  </r>
  <r>
    <x v="45"/>
    <x v="1"/>
    <x v="3"/>
    <x v="7"/>
    <n v="50"/>
    <n v="308"/>
    <n v="1618"/>
    <n v="5.2532467532467528"/>
    <n v="6.16"/>
    <x v="0"/>
    <x v="0"/>
  </r>
  <r>
    <x v="45"/>
    <x v="1"/>
    <x v="3"/>
    <x v="4"/>
    <n v="4"/>
    <n v="21"/>
    <n v="105"/>
    <n v="5"/>
    <n v="5.25"/>
    <x v="0"/>
    <x v="0"/>
  </r>
  <r>
    <x v="45"/>
    <x v="1"/>
    <x v="3"/>
    <x v="6"/>
    <n v="2"/>
    <n v="5"/>
    <n v="9"/>
    <n v="1.8"/>
    <n v="2.5"/>
    <x v="0"/>
    <x v="0"/>
  </r>
  <r>
    <x v="45"/>
    <x v="1"/>
    <x v="3"/>
    <x v="9"/>
    <n v="8"/>
    <n v="44"/>
    <n v="211"/>
    <n v="4.7954545454545459"/>
    <n v="5.5"/>
    <x v="0"/>
    <x v="0"/>
  </r>
  <r>
    <x v="45"/>
    <x v="1"/>
    <x v="3"/>
    <x v="8"/>
    <n v="35"/>
    <n v="193"/>
    <n v="3372"/>
    <n v="17.471502590673577"/>
    <n v="5.5142857142857142"/>
    <x v="0"/>
    <x v="0"/>
  </r>
  <r>
    <x v="46"/>
    <x v="1"/>
    <x v="3"/>
    <x v="5"/>
    <n v="9"/>
    <n v="47"/>
    <n v="734"/>
    <n v="15.617021276595745"/>
    <n v="5.2222222222222223"/>
    <x v="0"/>
    <x v="0"/>
  </r>
  <r>
    <x v="46"/>
    <x v="1"/>
    <x v="3"/>
    <x v="7"/>
    <n v="37"/>
    <n v="209"/>
    <n v="1284"/>
    <n v="6.143540669856459"/>
    <n v="5.6486486486486482"/>
    <x v="0"/>
    <x v="0"/>
  </r>
  <r>
    <x v="46"/>
    <x v="1"/>
    <x v="3"/>
    <x v="4"/>
    <n v="2"/>
    <n v="28"/>
    <n v="130"/>
    <n v="4.6428571428571432"/>
    <n v="14"/>
    <x v="0"/>
    <x v="0"/>
  </r>
  <r>
    <x v="46"/>
    <x v="1"/>
    <x v="3"/>
    <x v="0"/>
    <n v="2"/>
    <n v="7"/>
    <n v="41"/>
    <n v="5.8571428571428568"/>
    <n v="3.5"/>
    <x v="0"/>
    <x v="0"/>
  </r>
  <r>
    <x v="46"/>
    <x v="1"/>
    <x v="3"/>
    <x v="6"/>
    <n v="29"/>
    <n v="123"/>
    <n v="714"/>
    <n v="5.8048780487804876"/>
    <n v="4.2413793103448274"/>
    <x v="0"/>
    <x v="0"/>
  </r>
  <r>
    <x v="46"/>
    <x v="1"/>
    <x v="3"/>
    <x v="9"/>
    <n v="9"/>
    <n v="35"/>
    <n v="263"/>
    <n v="7.5142857142857142"/>
    <n v="3.8888888888888888"/>
    <x v="0"/>
    <x v="0"/>
  </r>
  <r>
    <x v="46"/>
    <x v="1"/>
    <x v="3"/>
    <x v="8"/>
    <n v="16"/>
    <n v="106"/>
    <n v="522"/>
    <n v="4.9245283018867925"/>
    <n v="6.625"/>
    <x v="0"/>
    <x v="0"/>
  </r>
  <r>
    <x v="47"/>
    <x v="1"/>
    <x v="3"/>
    <x v="0"/>
    <n v="10"/>
    <n v="59"/>
    <n v="911"/>
    <n v="15.440677966101696"/>
    <n v="5.9"/>
    <x v="0"/>
    <x v="0"/>
  </r>
  <r>
    <x v="47"/>
    <x v="1"/>
    <x v="3"/>
    <x v="10"/>
    <n v="29"/>
    <n v="114"/>
    <n v="619"/>
    <n v="5.4298245614035086"/>
    <n v="3.9310344827586206"/>
    <x v="0"/>
    <x v="0"/>
  </r>
  <r>
    <x v="47"/>
    <x v="1"/>
    <x v="3"/>
    <x v="8"/>
    <n v="11"/>
    <n v="32"/>
    <n v="330"/>
    <n v="10.3125"/>
    <n v="2.9090909090909092"/>
    <x v="0"/>
    <x v="0"/>
  </r>
  <r>
    <x v="47"/>
    <x v="1"/>
    <x v="3"/>
    <x v="9"/>
    <n v="9"/>
    <n v="59"/>
    <n v="911"/>
    <n v="15.440677966101696"/>
    <n v="6.5555555555555554"/>
    <x v="0"/>
    <x v="0"/>
  </r>
  <r>
    <x v="47"/>
    <x v="1"/>
    <x v="3"/>
    <x v="7"/>
    <n v="56"/>
    <n v="278"/>
    <n v="2366"/>
    <n v="8.5107913669064743"/>
    <n v="4.9642857142857144"/>
    <x v="0"/>
    <x v="0"/>
  </r>
  <r>
    <x v="47"/>
    <x v="1"/>
    <x v="3"/>
    <x v="4"/>
    <n v="1"/>
    <n v="1"/>
    <n v="6"/>
    <n v="6"/>
    <n v="1"/>
    <x v="0"/>
    <x v="0"/>
  </r>
  <r>
    <x v="47"/>
    <x v="1"/>
    <x v="3"/>
    <x v="6"/>
    <n v="24"/>
    <n v="127"/>
    <n v="748"/>
    <n v="5.8897637795275593"/>
    <n v="5.291666666666667"/>
    <x v="0"/>
    <x v="0"/>
  </r>
  <r>
    <x v="48"/>
    <x v="1"/>
    <x v="3"/>
    <x v="10"/>
    <n v="23"/>
    <n v="182"/>
    <n v="683"/>
    <n v="3.7527472527472527"/>
    <n v="7.9130434782608692"/>
    <x v="0"/>
    <x v="0"/>
  </r>
  <r>
    <x v="48"/>
    <x v="1"/>
    <x v="3"/>
    <x v="8"/>
    <n v="4"/>
    <n v="25"/>
    <n v="123"/>
    <n v="4.92"/>
    <n v="6.25"/>
    <x v="0"/>
    <x v="0"/>
  </r>
  <r>
    <x v="48"/>
    <x v="1"/>
    <x v="3"/>
    <x v="9"/>
    <n v="4"/>
    <n v="26"/>
    <n v="482"/>
    <n v="18.53846153846154"/>
    <n v="6.5"/>
    <x v="0"/>
    <x v="0"/>
  </r>
  <r>
    <x v="48"/>
    <x v="1"/>
    <x v="3"/>
    <x v="7"/>
    <n v="18"/>
    <n v="175"/>
    <n v="736"/>
    <n v="4.2057142857142855"/>
    <n v="9.7222222222222214"/>
    <x v="0"/>
    <x v="0"/>
  </r>
  <r>
    <x v="48"/>
    <x v="1"/>
    <x v="3"/>
    <x v="6"/>
    <n v="13"/>
    <n v="28"/>
    <n v="232"/>
    <n v="8.2857142857142865"/>
    <n v="2.1538461538461537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x v="0"/>
    <x v="0"/>
    <n v="19"/>
    <n v="100"/>
    <n v="2265"/>
    <n v="22.65"/>
    <n v="5.2631578947368425"/>
    <x v="0"/>
    <x v="0"/>
  </r>
  <r>
    <x v="0"/>
    <x v="0"/>
    <x v="0"/>
    <x v="1"/>
    <n v="15"/>
    <n v="92"/>
    <n v="343"/>
    <n v="3.7282608695652173"/>
    <n v="6.1333333333333337"/>
    <x v="0"/>
    <x v="0"/>
  </r>
  <r>
    <x v="0"/>
    <x v="0"/>
    <x v="0"/>
    <x v="2"/>
    <n v="56"/>
    <n v="386"/>
    <n v="1855"/>
    <n v="4.8056994818652852"/>
    <n v="6.8928571428571432"/>
    <x v="0"/>
    <x v="0"/>
  </r>
  <r>
    <x v="0"/>
    <x v="0"/>
    <x v="0"/>
    <x v="3"/>
    <n v="14"/>
    <n v="149"/>
    <n v="792"/>
    <n v="5.3154362416107386"/>
    <n v="10.642857142857142"/>
    <x v="0"/>
    <x v="0"/>
  </r>
  <r>
    <x v="1"/>
    <x v="0"/>
    <x v="0"/>
    <x v="0"/>
    <n v="19"/>
    <n v="58"/>
    <n v="717"/>
    <n v="12.362068965517242"/>
    <n v="3.0526315789473686"/>
    <x v="0"/>
    <x v="0"/>
  </r>
  <r>
    <x v="1"/>
    <x v="0"/>
    <x v="0"/>
    <x v="1"/>
    <n v="57"/>
    <n v="305"/>
    <n v="1204"/>
    <n v="3.9475409836065576"/>
    <n v="5.3508771929824563"/>
    <x v="0"/>
    <x v="0"/>
  </r>
  <r>
    <x v="1"/>
    <x v="0"/>
    <x v="0"/>
    <x v="4"/>
    <n v="29"/>
    <n v="179"/>
    <n v="832"/>
    <n v="4.6480446927374306"/>
    <n v="6.1724137931034484"/>
    <x v="0"/>
    <x v="0"/>
  </r>
  <r>
    <x v="1"/>
    <x v="0"/>
    <x v="0"/>
    <x v="2"/>
    <n v="1"/>
    <n v="2"/>
    <n v="32"/>
    <n v="16"/>
    <n v="2"/>
    <x v="0"/>
    <x v="0"/>
  </r>
  <r>
    <x v="1"/>
    <x v="0"/>
    <x v="0"/>
    <x v="3"/>
    <n v="9"/>
    <n v="148"/>
    <n v="799"/>
    <n v="5.3986486486486482"/>
    <n v="16.444444444444443"/>
    <x v="0"/>
    <x v="0"/>
  </r>
  <r>
    <x v="1"/>
    <x v="0"/>
    <x v="0"/>
    <x v="5"/>
    <n v="5"/>
    <n v="47"/>
    <n v="135"/>
    <n v="2.8723404255319149"/>
    <n v="9.4"/>
    <x v="0"/>
    <x v="0"/>
  </r>
  <r>
    <x v="2"/>
    <x v="0"/>
    <x v="0"/>
    <x v="0"/>
    <n v="37"/>
    <n v="199"/>
    <n v="752"/>
    <n v="3.778894472361809"/>
    <n v="5.3783783783783781"/>
    <x v="0"/>
    <x v="0"/>
  </r>
  <r>
    <x v="2"/>
    <x v="0"/>
    <x v="0"/>
    <x v="1"/>
    <n v="44"/>
    <n v="177"/>
    <n v="1109"/>
    <n v="6.2655367231638417"/>
    <n v="4.0227272727272725"/>
    <x v="0"/>
    <x v="0"/>
  </r>
  <r>
    <x v="2"/>
    <x v="0"/>
    <x v="0"/>
    <x v="4"/>
    <n v="17"/>
    <n v="110"/>
    <n v="473"/>
    <n v="4.3"/>
    <n v="6.4705882352941178"/>
    <x v="0"/>
    <x v="0"/>
  </r>
  <r>
    <x v="2"/>
    <x v="0"/>
    <x v="0"/>
    <x v="2"/>
    <n v="3"/>
    <n v="23"/>
    <n v="74"/>
    <n v="3.2173913043478262"/>
    <n v="7.666666666666667"/>
    <x v="0"/>
    <x v="0"/>
  </r>
  <r>
    <x v="2"/>
    <x v="0"/>
    <x v="0"/>
    <x v="6"/>
    <n v="46"/>
    <n v="216"/>
    <n v="1665"/>
    <n v="7.708333333333333"/>
    <n v="4.6956521739130439"/>
    <x v="0"/>
    <x v="0"/>
  </r>
  <r>
    <x v="2"/>
    <x v="0"/>
    <x v="0"/>
    <x v="5"/>
    <n v="5"/>
    <n v="12"/>
    <n v="16"/>
    <n v="1.3333333333333333"/>
    <n v="2.4"/>
    <x v="0"/>
    <x v="0"/>
  </r>
  <r>
    <x v="3"/>
    <x v="0"/>
    <x v="0"/>
    <x v="0"/>
    <n v="15"/>
    <n v="78"/>
    <n v="314"/>
    <n v="4.0256410256410255"/>
    <n v="5.2"/>
    <x v="0"/>
    <x v="0"/>
  </r>
  <r>
    <x v="3"/>
    <x v="0"/>
    <x v="0"/>
    <x v="1"/>
    <n v="28"/>
    <n v="139"/>
    <n v="911"/>
    <n v="6.5539568345323742"/>
    <n v="4.9642857142857144"/>
    <x v="0"/>
    <x v="0"/>
  </r>
  <r>
    <x v="3"/>
    <x v="0"/>
    <x v="0"/>
    <x v="4"/>
    <n v="21"/>
    <n v="200"/>
    <n v="768"/>
    <n v="3.84"/>
    <n v="9.5238095238095237"/>
    <x v="0"/>
    <x v="0"/>
  </r>
  <r>
    <x v="3"/>
    <x v="0"/>
    <x v="0"/>
    <x v="3"/>
    <n v="1"/>
    <n v="3"/>
    <n v="3"/>
    <n v="1"/>
    <n v="3"/>
    <x v="0"/>
    <x v="0"/>
  </r>
  <r>
    <x v="3"/>
    <x v="0"/>
    <x v="0"/>
    <x v="6"/>
    <n v="30"/>
    <n v="194"/>
    <n v="1097"/>
    <n v="5.6546391752577323"/>
    <n v="6.4666666666666668"/>
    <x v="0"/>
    <x v="0"/>
  </r>
  <r>
    <x v="3"/>
    <x v="0"/>
    <x v="0"/>
    <x v="5"/>
    <n v="4"/>
    <n v="11"/>
    <n v="11"/>
    <n v="1"/>
    <n v="2.75"/>
    <x v="0"/>
    <x v="0"/>
  </r>
  <r>
    <x v="4"/>
    <x v="0"/>
    <x v="0"/>
    <x v="0"/>
    <n v="8"/>
    <n v="20"/>
    <n v="93"/>
    <n v="4.6500000000000004"/>
    <n v="2.5"/>
    <x v="0"/>
    <x v="0"/>
  </r>
  <r>
    <x v="4"/>
    <x v="0"/>
    <x v="0"/>
    <x v="1"/>
    <n v="18"/>
    <n v="182"/>
    <n v="1201"/>
    <n v="6.5989010989010985"/>
    <n v="10.111111111111111"/>
    <x v="0"/>
    <x v="0"/>
  </r>
  <r>
    <x v="4"/>
    <x v="0"/>
    <x v="0"/>
    <x v="4"/>
    <n v="34"/>
    <n v="159"/>
    <n v="1185"/>
    <n v="7.4528301886792452"/>
    <n v="4.6764705882352944"/>
    <x v="0"/>
    <x v="0"/>
  </r>
  <r>
    <x v="4"/>
    <x v="0"/>
    <x v="0"/>
    <x v="2"/>
    <n v="10"/>
    <n v="54"/>
    <n v="340"/>
    <n v="6.2962962962962967"/>
    <n v="5.4"/>
    <x v="0"/>
    <x v="0"/>
  </r>
  <r>
    <x v="4"/>
    <x v="0"/>
    <x v="0"/>
    <x v="6"/>
    <n v="34"/>
    <n v="187"/>
    <n v="1266"/>
    <n v="6.7700534759358293"/>
    <n v="5.5"/>
    <x v="0"/>
    <x v="0"/>
  </r>
  <r>
    <x v="4"/>
    <x v="0"/>
    <x v="0"/>
    <x v="5"/>
    <n v="1"/>
    <n v="1"/>
    <n v="1"/>
    <n v="1"/>
    <n v="1"/>
    <x v="0"/>
    <x v="0"/>
  </r>
  <r>
    <x v="5"/>
    <x v="0"/>
    <x v="0"/>
    <x v="0"/>
    <n v="11"/>
    <n v="35"/>
    <n v="161"/>
    <n v="4.5999999999999996"/>
    <n v="3.1818181818181817"/>
    <x v="0"/>
    <x v="0"/>
  </r>
  <r>
    <x v="5"/>
    <x v="0"/>
    <x v="0"/>
    <x v="1"/>
    <n v="29"/>
    <n v="166"/>
    <n v="673"/>
    <n v="4.0542168674698793"/>
    <n v="5.7241379310344831"/>
    <x v="0"/>
    <x v="0"/>
  </r>
  <r>
    <x v="5"/>
    <x v="0"/>
    <x v="0"/>
    <x v="4"/>
    <n v="51"/>
    <n v="260"/>
    <n v="1446"/>
    <n v="5.5615384615384613"/>
    <n v="5.0980392156862742"/>
    <x v="0"/>
    <x v="0"/>
  </r>
  <r>
    <x v="5"/>
    <x v="0"/>
    <x v="0"/>
    <x v="6"/>
    <n v="26"/>
    <n v="199"/>
    <n v="869"/>
    <n v="4.3668341708542711"/>
    <n v="7.6538461538461542"/>
    <x v="0"/>
    <x v="0"/>
  </r>
  <r>
    <x v="5"/>
    <x v="0"/>
    <x v="0"/>
    <x v="5"/>
    <n v="1"/>
    <n v="2"/>
    <n v="2"/>
    <n v="1"/>
    <n v="2"/>
    <x v="0"/>
    <x v="0"/>
  </r>
  <r>
    <x v="6"/>
    <x v="0"/>
    <x v="0"/>
    <x v="1"/>
    <n v="22"/>
    <n v="114"/>
    <n v="635"/>
    <n v="5.5701754385964914"/>
    <n v="5.1818181818181817"/>
    <x v="0"/>
    <x v="0"/>
  </r>
  <r>
    <x v="6"/>
    <x v="0"/>
    <x v="0"/>
    <x v="6"/>
    <n v="28"/>
    <n v="304"/>
    <n v="1023"/>
    <n v="3.3651315789473686"/>
    <n v="10.857142857142858"/>
    <x v="0"/>
    <x v="0"/>
  </r>
  <r>
    <x v="6"/>
    <x v="0"/>
    <x v="0"/>
    <x v="5"/>
    <n v="1"/>
    <n v="1"/>
    <n v="1"/>
    <n v="1"/>
    <n v="1"/>
    <x v="0"/>
    <x v="0"/>
  </r>
  <r>
    <x v="7"/>
    <x v="0"/>
    <x v="1"/>
    <x v="0"/>
    <n v="14"/>
    <n v="181"/>
    <n v="676"/>
    <n v="3.7348066298342539"/>
    <n v="12.928571428571429"/>
    <x v="0"/>
    <x v="0"/>
  </r>
  <r>
    <x v="7"/>
    <x v="0"/>
    <x v="1"/>
    <x v="1"/>
    <n v="37"/>
    <n v="170"/>
    <n v="1275"/>
    <n v="7.5"/>
    <n v="4.5945945945945947"/>
    <x v="0"/>
    <x v="0"/>
  </r>
  <r>
    <x v="7"/>
    <x v="0"/>
    <x v="1"/>
    <x v="4"/>
    <n v="18"/>
    <n v="91"/>
    <n v="358"/>
    <n v="3.9340659340659339"/>
    <n v="5.0555555555555554"/>
    <x v="0"/>
    <x v="0"/>
  </r>
  <r>
    <x v="7"/>
    <x v="0"/>
    <x v="1"/>
    <x v="6"/>
    <n v="39"/>
    <n v="186"/>
    <n v="1772"/>
    <n v="9.5268817204301079"/>
    <n v="4.7692307692307692"/>
    <x v="0"/>
    <x v="0"/>
  </r>
  <r>
    <x v="7"/>
    <x v="0"/>
    <x v="1"/>
    <x v="5"/>
    <n v="2"/>
    <n v="3"/>
    <n v="5"/>
    <n v="1.6666666666666667"/>
    <n v="1.5"/>
    <x v="0"/>
    <x v="0"/>
  </r>
  <r>
    <x v="8"/>
    <x v="0"/>
    <x v="1"/>
    <x v="0"/>
    <n v="21"/>
    <n v="127"/>
    <n v="902"/>
    <n v="7.1023622047244093"/>
    <n v="6.0476190476190474"/>
    <x v="0"/>
    <x v="0"/>
  </r>
  <r>
    <x v="8"/>
    <x v="0"/>
    <x v="1"/>
    <x v="1"/>
    <n v="31"/>
    <n v="164"/>
    <n v="2043"/>
    <n v="12.457317073170731"/>
    <n v="5.290322580645161"/>
    <x v="0"/>
    <x v="0"/>
  </r>
  <r>
    <x v="8"/>
    <x v="0"/>
    <x v="1"/>
    <x v="4"/>
    <n v="38"/>
    <n v="130"/>
    <n v="655"/>
    <n v="5.0384615384615383"/>
    <n v="3.4210526315789473"/>
    <x v="0"/>
    <x v="0"/>
  </r>
  <r>
    <x v="8"/>
    <x v="0"/>
    <x v="1"/>
    <x v="3"/>
    <n v="66"/>
    <n v="299"/>
    <n v="2078"/>
    <n v="6.9498327759197327"/>
    <n v="4.5303030303030303"/>
    <x v="0"/>
    <x v="0"/>
  </r>
  <r>
    <x v="8"/>
    <x v="0"/>
    <x v="1"/>
    <x v="5"/>
    <n v="4"/>
    <n v="22"/>
    <n v="290"/>
    <n v="13.181818181818182"/>
    <n v="5.5"/>
    <x v="0"/>
    <x v="0"/>
  </r>
  <r>
    <x v="9"/>
    <x v="0"/>
    <x v="1"/>
    <x v="0"/>
    <n v="37"/>
    <n v="148"/>
    <n v="1558"/>
    <n v="10.527027027027026"/>
    <n v="4"/>
    <x v="0"/>
    <x v="0"/>
  </r>
  <r>
    <x v="9"/>
    <x v="0"/>
    <x v="1"/>
    <x v="1"/>
    <n v="47"/>
    <n v="294"/>
    <n v="1177"/>
    <n v="4.0034013605442178"/>
    <n v="6.2553191489361701"/>
    <x v="0"/>
    <x v="0"/>
  </r>
  <r>
    <x v="9"/>
    <x v="0"/>
    <x v="1"/>
    <x v="4"/>
    <n v="24"/>
    <n v="238"/>
    <n v="880"/>
    <n v="3.6974789915966388"/>
    <n v="9.9166666666666661"/>
    <x v="0"/>
    <x v="0"/>
  </r>
  <r>
    <x v="9"/>
    <x v="0"/>
    <x v="1"/>
    <x v="3"/>
    <n v="4"/>
    <n v="31"/>
    <n v="123"/>
    <n v="3.967741935483871"/>
    <n v="7.75"/>
    <x v="0"/>
    <x v="0"/>
  </r>
  <r>
    <x v="9"/>
    <x v="0"/>
    <x v="1"/>
    <x v="6"/>
    <n v="5"/>
    <n v="19"/>
    <n v="46"/>
    <n v="2.4210526315789473"/>
    <n v="3.8"/>
    <x v="0"/>
    <x v="0"/>
  </r>
  <r>
    <x v="10"/>
    <x v="0"/>
    <x v="1"/>
    <x v="0"/>
    <n v="31"/>
    <n v="125"/>
    <n v="2384"/>
    <n v="19.071999999999999"/>
    <n v="4.032258064516129"/>
    <x v="0"/>
    <x v="0"/>
  </r>
  <r>
    <x v="10"/>
    <x v="0"/>
    <x v="1"/>
    <x v="1"/>
    <n v="17"/>
    <n v="59"/>
    <n v="896"/>
    <n v="15.186440677966102"/>
    <n v="3.4705882352941178"/>
    <x v="0"/>
    <x v="0"/>
  </r>
  <r>
    <x v="10"/>
    <x v="0"/>
    <x v="1"/>
    <x v="4"/>
    <n v="23"/>
    <n v="77"/>
    <n v="1223"/>
    <n v="15.883116883116884"/>
    <n v="3.347826086956522"/>
    <x v="0"/>
    <x v="0"/>
  </r>
  <r>
    <x v="10"/>
    <x v="0"/>
    <x v="1"/>
    <x v="3"/>
    <n v="11"/>
    <n v="92"/>
    <n v="357"/>
    <n v="3.8804347826086958"/>
    <n v="8.3636363636363633"/>
    <x v="0"/>
    <x v="0"/>
  </r>
  <r>
    <x v="10"/>
    <x v="0"/>
    <x v="1"/>
    <x v="6"/>
    <n v="40"/>
    <n v="230"/>
    <n v="3657"/>
    <n v="15.9"/>
    <n v="5.75"/>
    <x v="0"/>
    <x v="0"/>
  </r>
  <r>
    <x v="11"/>
    <x v="0"/>
    <x v="1"/>
    <x v="0"/>
    <n v="1"/>
    <n v="3"/>
    <n v="3"/>
    <n v="1"/>
    <n v="3"/>
    <x v="0"/>
    <x v="0"/>
  </r>
  <r>
    <x v="11"/>
    <x v="0"/>
    <x v="1"/>
    <x v="1"/>
    <n v="17"/>
    <n v="79"/>
    <n v="272"/>
    <n v="3.4430379746835444"/>
    <n v="4.6470588235294121"/>
    <x v="0"/>
    <x v="0"/>
  </r>
  <r>
    <x v="11"/>
    <x v="0"/>
    <x v="1"/>
    <x v="4"/>
    <n v="14"/>
    <n v="91"/>
    <n v="506"/>
    <n v="5.5604395604395602"/>
    <n v="6.5"/>
    <x v="0"/>
    <x v="0"/>
  </r>
  <r>
    <x v="11"/>
    <x v="0"/>
    <x v="1"/>
    <x v="6"/>
    <n v="39"/>
    <n v="257"/>
    <n v="1015"/>
    <n v="3.9494163424124515"/>
    <n v="6.5897435897435894"/>
    <x v="0"/>
    <x v="0"/>
  </r>
  <r>
    <x v="11"/>
    <x v="0"/>
    <x v="1"/>
    <x v="5"/>
    <n v="1"/>
    <n v="1"/>
    <n v="1"/>
    <n v="1"/>
    <n v="1"/>
    <x v="0"/>
    <x v="0"/>
  </r>
  <r>
    <x v="12"/>
    <x v="0"/>
    <x v="1"/>
    <x v="3"/>
    <n v="27"/>
    <n v="179"/>
    <n v="719"/>
    <n v="4.016759776536313"/>
    <n v="6.6296296296296298"/>
    <x v="0"/>
    <x v="0"/>
  </r>
  <r>
    <x v="12"/>
    <x v="0"/>
    <x v="1"/>
    <x v="6"/>
    <n v="9"/>
    <n v="40"/>
    <n v="160"/>
    <n v="4"/>
    <n v="4.4444444444444446"/>
    <x v="0"/>
    <x v="0"/>
  </r>
  <r>
    <x v="12"/>
    <x v="0"/>
    <x v="1"/>
    <x v="5"/>
    <n v="13"/>
    <n v="172"/>
    <n v="596"/>
    <n v="3.4651162790697674"/>
    <n v="13.23076923076923"/>
    <x v="0"/>
    <x v="0"/>
  </r>
  <r>
    <x v="13"/>
    <x v="0"/>
    <x v="2"/>
    <x v="0"/>
    <n v="26"/>
    <n v="124"/>
    <n v="790"/>
    <n v="6.370967741935484"/>
    <n v="4.7692307692307692"/>
    <x v="0"/>
    <x v="0"/>
  </r>
  <r>
    <x v="13"/>
    <x v="0"/>
    <x v="2"/>
    <x v="1"/>
    <n v="9"/>
    <n v="36"/>
    <n v="162"/>
    <n v="4.5"/>
    <n v="4"/>
    <x v="0"/>
    <x v="0"/>
  </r>
  <r>
    <x v="13"/>
    <x v="0"/>
    <x v="2"/>
    <x v="4"/>
    <n v="20"/>
    <n v="114"/>
    <n v="558"/>
    <n v="4.8947368421052628"/>
    <n v="5.7"/>
    <x v="0"/>
    <x v="0"/>
  </r>
  <r>
    <x v="13"/>
    <x v="0"/>
    <x v="2"/>
    <x v="3"/>
    <n v="2"/>
    <n v="7"/>
    <n v="13"/>
    <n v="1.8571428571428572"/>
    <n v="3.5"/>
    <x v="0"/>
    <x v="0"/>
  </r>
  <r>
    <x v="13"/>
    <x v="0"/>
    <x v="2"/>
    <x v="6"/>
    <n v="46"/>
    <n v="285"/>
    <n v="1255"/>
    <n v="4.4035087719298245"/>
    <n v="6.1956521739130439"/>
    <x v="0"/>
    <x v="0"/>
  </r>
  <r>
    <x v="13"/>
    <x v="0"/>
    <x v="2"/>
    <x v="5"/>
    <n v="2"/>
    <n v="5"/>
    <n v="5"/>
    <n v="1"/>
    <n v="2.5"/>
    <x v="0"/>
    <x v="0"/>
  </r>
  <r>
    <x v="14"/>
    <x v="0"/>
    <x v="2"/>
    <x v="0"/>
    <n v="52"/>
    <n v="267"/>
    <n v="1074"/>
    <n v="4.0224719101123592"/>
    <n v="5.134615384615385"/>
    <x v="0"/>
    <x v="0"/>
  </r>
  <r>
    <x v="14"/>
    <x v="0"/>
    <x v="2"/>
    <x v="1"/>
    <n v="1"/>
    <n v="5"/>
    <n v="209"/>
    <n v="41.8"/>
    <n v="5"/>
    <x v="0"/>
    <x v="0"/>
  </r>
  <r>
    <x v="14"/>
    <x v="0"/>
    <x v="2"/>
    <x v="4"/>
    <n v="54"/>
    <n v="264"/>
    <n v="1640"/>
    <n v="6.2121212121212119"/>
    <n v="4.8888888888888893"/>
    <x v="0"/>
    <x v="0"/>
  </r>
  <r>
    <x v="14"/>
    <x v="0"/>
    <x v="2"/>
    <x v="3"/>
    <n v="57"/>
    <n v="252"/>
    <n v="2970"/>
    <n v="11.785714285714286"/>
    <n v="4.4210526315789478"/>
    <x v="0"/>
    <x v="0"/>
  </r>
  <r>
    <x v="15"/>
    <x v="0"/>
    <x v="2"/>
    <x v="0"/>
    <n v="18"/>
    <n v="66"/>
    <n v="2186"/>
    <n v="33.121212121212125"/>
    <n v="3.6666666666666665"/>
    <x v="0"/>
    <x v="0"/>
  </r>
  <r>
    <x v="15"/>
    <x v="0"/>
    <x v="2"/>
    <x v="1"/>
    <n v="32"/>
    <n v="190"/>
    <n v="898"/>
    <n v="4.7263157894736842"/>
    <n v="5.9375"/>
    <x v="0"/>
    <x v="0"/>
  </r>
  <r>
    <x v="15"/>
    <x v="0"/>
    <x v="2"/>
    <x v="4"/>
    <n v="34"/>
    <n v="215"/>
    <n v="1676"/>
    <n v="7.7953488372093025"/>
    <n v="6.3235294117647056"/>
    <x v="0"/>
    <x v="0"/>
  </r>
  <r>
    <x v="15"/>
    <x v="0"/>
    <x v="2"/>
    <x v="3"/>
    <n v="39"/>
    <n v="195"/>
    <n v="718"/>
    <n v="3.6820512820512818"/>
    <n v="5"/>
    <x v="0"/>
    <x v="0"/>
  </r>
  <r>
    <x v="15"/>
    <x v="0"/>
    <x v="2"/>
    <x v="5"/>
    <n v="1"/>
    <n v="4"/>
    <n v="12"/>
    <n v="3"/>
    <n v="4"/>
    <x v="0"/>
    <x v="0"/>
  </r>
  <r>
    <x v="16"/>
    <x v="0"/>
    <x v="2"/>
    <x v="4"/>
    <n v="22"/>
    <n v="157"/>
    <n v="810"/>
    <n v="5.1592356687898091"/>
    <n v="7.1363636363636367"/>
    <x v="0"/>
    <x v="0"/>
  </r>
  <r>
    <x v="16"/>
    <x v="0"/>
    <x v="2"/>
    <x v="6"/>
    <n v="4"/>
    <n v="13"/>
    <n v="80"/>
    <n v="6.1538461538461542"/>
    <n v="3.25"/>
    <x v="0"/>
    <x v="0"/>
  </r>
  <r>
    <x v="16"/>
    <x v="0"/>
    <x v="2"/>
    <x v="1"/>
    <n v="22"/>
    <n v="105"/>
    <n v="3316"/>
    <n v="31.580952380952382"/>
    <n v="4.7727272727272725"/>
    <x v="0"/>
    <x v="0"/>
  </r>
  <r>
    <x v="16"/>
    <x v="0"/>
    <x v="2"/>
    <x v="0"/>
    <n v="24"/>
    <n v="129"/>
    <n v="563"/>
    <n v="4.3643410852713176"/>
    <n v="5.375"/>
    <x v="0"/>
    <x v="0"/>
  </r>
  <r>
    <x v="16"/>
    <x v="0"/>
    <x v="2"/>
    <x v="3"/>
    <n v="18"/>
    <n v="103"/>
    <n v="335"/>
    <n v="3.2524271844660193"/>
    <n v="5.7222222222222223"/>
    <x v="0"/>
    <x v="0"/>
  </r>
  <r>
    <x v="17"/>
    <x v="0"/>
    <x v="2"/>
    <x v="4"/>
    <n v="58"/>
    <n v="295"/>
    <n v="1486"/>
    <n v="5.0372881355932204"/>
    <n v="5.0862068965517242"/>
    <x v="1"/>
    <x v="1"/>
  </r>
  <r>
    <x v="17"/>
    <x v="0"/>
    <x v="2"/>
    <x v="6"/>
    <n v="12"/>
    <n v="51"/>
    <n v="359"/>
    <n v="7.0392156862745097"/>
    <n v="4.25"/>
    <x v="0"/>
    <x v="0"/>
  </r>
  <r>
    <x v="17"/>
    <x v="0"/>
    <x v="2"/>
    <x v="1"/>
    <n v="18"/>
    <n v="79"/>
    <n v="323"/>
    <n v="4.0886075949367084"/>
    <n v="4.3888888888888893"/>
    <x v="0"/>
    <x v="0"/>
  </r>
  <r>
    <x v="17"/>
    <x v="0"/>
    <x v="2"/>
    <x v="0"/>
    <n v="9"/>
    <n v="57"/>
    <n v="311"/>
    <n v="5.4561403508771926"/>
    <n v="6.333333333333333"/>
    <x v="0"/>
    <x v="0"/>
  </r>
  <r>
    <x v="17"/>
    <x v="0"/>
    <x v="2"/>
    <x v="3"/>
    <n v="13"/>
    <n v="83"/>
    <n v="284"/>
    <n v="3.4216867469879517"/>
    <n v="6.384615384615385"/>
    <x v="0"/>
    <x v="0"/>
  </r>
  <r>
    <x v="18"/>
    <x v="0"/>
    <x v="2"/>
    <x v="6"/>
    <n v="22"/>
    <n v="156"/>
    <n v="582"/>
    <n v="3.7307692307692308"/>
    <n v="7.0909090909090908"/>
    <x v="2"/>
    <x v="0"/>
  </r>
  <r>
    <x v="18"/>
    <x v="0"/>
    <x v="2"/>
    <x v="3"/>
    <n v="24"/>
    <n v="157"/>
    <n v="731"/>
    <n v="4.6560509554140124"/>
    <n v="6.541666666666667"/>
    <x v="2"/>
    <x v="0"/>
  </r>
  <r>
    <x v="19"/>
    <x v="0"/>
    <x v="3"/>
    <x v="4"/>
    <n v="23"/>
    <n v="142"/>
    <n v="655"/>
    <n v="4.612676056338028"/>
    <n v="6.1739130434782608"/>
    <x v="2"/>
    <x v="0"/>
  </r>
  <r>
    <x v="19"/>
    <x v="0"/>
    <x v="3"/>
    <x v="0"/>
    <n v="27"/>
    <n v="112"/>
    <n v="864"/>
    <n v="7.7142857142857144"/>
    <n v="4.1481481481481479"/>
    <x v="2"/>
    <x v="0"/>
  </r>
  <r>
    <x v="19"/>
    <x v="0"/>
    <x v="3"/>
    <x v="3"/>
    <n v="63"/>
    <n v="277"/>
    <n v="1482"/>
    <n v="5.3501805054151621"/>
    <n v="4.3968253968253972"/>
    <x v="2"/>
    <x v="0"/>
  </r>
  <r>
    <x v="19"/>
    <x v="0"/>
    <x v="3"/>
    <x v="5"/>
    <n v="1"/>
    <n v="1"/>
    <n v="12"/>
    <n v="12"/>
    <n v="1"/>
    <x v="2"/>
    <x v="0"/>
  </r>
  <r>
    <x v="20"/>
    <x v="0"/>
    <x v="3"/>
    <x v="4"/>
    <n v="38"/>
    <n v="153"/>
    <n v="686"/>
    <n v="4.4836601307189543"/>
    <n v="4.0263157894736841"/>
    <x v="2"/>
    <x v="0"/>
  </r>
  <r>
    <x v="20"/>
    <x v="0"/>
    <x v="3"/>
    <x v="6"/>
    <n v="39"/>
    <n v="209"/>
    <n v="780"/>
    <n v="3.7320574162679425"/>
    <n v="5.3589743589743586"/>
    <x v="2"/>
    <x v="0"/>
  </r>
  <r>
    <x v="20"/>
    <x v="0"/>
    <x v="3"/>
    <x v="0"/>
    <n v="9"/>
    <n v="39"/>
    <n v="148"/>
    <n v="3.7948717948717947"/>
    <n v="4.333333333333333"/>
    <x v="2"/>
    <x v="0"/>
  </r>
  <r>
    <x v="20"/>
    <x v="0"/>
    <x v="3"/>
    <x v="3"/>
    <n v="65"/>
    <n v="293"/>
    <n v="1936"/>
    <n v="6.6075085324232079"/>
    <n v="4.5076923076923077"/>
    <x v="2"/>
    <x v="0"/>
  </r>
  <r>
    <x v="20"/>
    <x v="0"/>
    <x v="3"/>
    <x v="5"/>
    <n v="2"/>
    <n v="8"/>
    <n v="29"/>
    <n v="3.625"/>
    <n v="4"/>
    <x v="2"/>
    <x v="0"/>
  </r>
  <r>
    <x v="21"/>
    <x v="0"/>
    <x v="3"/>
    <x v="4"/>
    <n v="28"/>
    <n v="166"/>
    <n v="1719"/>
    <n v="10.355421686746988"/>
    <n v="5.9285714285714288"/>
    <x v="2"/>
    <x v="0"/>
  </r>
  <r>
    <x v="21"/>
    <x v="0"/>
    <x v="3"/>
    <x v="6"/>
    <n v="15"/>
    <n v="96"/>
    <n v="393"/>
    <n v="4.09375"/>
    <n v="6.4"/>
    <x v="2"/>
    <x v="0"/>
  </r>
  <r>
    <x v="21"/>
    <x v="0"/>
    <x v="3"/>
    <x v="1"/>
    <n v="2"/>
    <n v="36"/>
    <n v="205"/>
    <n v="5.6944444444444446"/>
    <n v="18"/>
    <x v="2"/>
    <x v="0"/>
  </r>
  <r>
    <x v="21"/>
    <x v="0"/>
    <x v="3"/>
    <x v="0"/>
    <n v="15"/>
    <n v="58"/>
    <n v="1493"/>
    <n v="25.741379310344829"/>
    <n v="3.8666666666666667"/>
    <x v="2"/>
    <x v="0"/>
  </r>
  <r>
    <x v="21"/>
    <x v="0"/>
    <x v="3"/>
    <x v="3"/>
    <n v="44"/>
    <n v="229"/>
    <n v="1335"/>
    <n v="5.8296943231441052"/>
    <n v="5.2045454545454541"/>
    <x v="2"/>
    <x v="0"/>
  </r>
  <r>
    <x v="21"/>
    <x v="0"/>
    <x v="3"/>
    <x v="5"/>
    <n v="1"/>
    <n v="4"/>
    <n v="13"/>
    <n v="3.25"/>
    <n v="4"/>
    <x v="2"/>
    <x v="0"/>
  </r>
  <r>
    <x v="22"/>
    <x v="0"/>
    <x v="3"/>
    <x v="4"/>
    <n v="50"/>
    <n v="223"/>
    <n v="2106"/>
    <n v="9.4439461883408065"/>
    <n v="4.46"/>
    <x v="1"/>
    <x v="2"/>
  </r>
  <r>
    <x v="22"/>
    <x v="0"/>
    <x v="3"/>
    <x v="6"/>
    <n v="33"/>
    <n v="215"/>
    <n v="936"/>
    <n v="4.3534883720930235"/>
    <n v="6.5151515151515156"/>
    <x v="2"/>
    <x v="0"/>
  </r>
  <r>
    <x v="22"/>
    <x v="0"/>
    <x v="3"/>
    <x v="1"/>
    <n v="5"/>
    <n v="18"/>
    <n v="97"/>
    <n v="5.3888888888888893"/>
    <n v="3.6"/>
    <x v="2"/>
    <x v="0"/>
  </r>
  <r>
    <x v="22"/>
    <x v="0"/>
    <x v="3"/>
    <x v="0"/>
    <n v="41"/>
    <n v="204"/>
    <n v="2182"/>
    <n v="10.696078431372548"/>
    <n v="4.975609756097561"/>
    <x v="2"/>
    <x v="0"/>
  </r>
  <r>
    <x v="23"/>
    <x v="0"/>
    <x v="3"/>
    <x v="4"/>
    <n v="18"/>
    <n v="66"/>
    <n v="322"/>
    <n v="4.8787878787878789"/>
    <n v="3.6666666666666665"/>
    <x v="2"/>
    <x v="0"/>
  </r>
  <r>
    <x v="23"/>
    <x v="0"/>
    <x v="3"/>
    <x v="6"/>
    <n v="30"/>
    <n v="162"/>
    <n v="902"/>
    <n v="5.5679012345679011"/>
    <n v="5.4"/>
    <x v="1"/>
    <x v="3"/>
  </r>
  <r>
    <x v="23"/>
    <x v="0"/>
    <x v="3"/>
    <x v="1"/>
    <n v="16"/>
    <n v="69"/>
    <n v="2893"/>
    <n v="41.927536231884055"/>
    <n v="4.3125"/>
    <x v="2"/>
    <x v="0"/>
  </r>
  <r>
    <x v="23"/>
    <x v="0"/>
    <x v="3"/>
    <x v="0"/>
    <n v="5"/>
    <n v="12"/>
    <n v="658"/>
    <n v="54.833333333333336"/>
    <n v="2.4"/>
    <x v="2"/>
    <x v="0"/>
  </r>
  <r>
    <x v="23"/>
    <x v="0"/>
    <x v="3"/>
    <x v="3"/>
    <n v="65"/>
    <n v="300"/>
    <n v="1597"/>
    <n v="5.3233333333333333"/>
    <n v="4.615384615384615"/>
    <x v="2"/>
    <x v="0"/>
  </r>
  <r>
    <x v="23"/>
    <x v="0"/>
    <x v="3"/>
    <x v="5"/>
    <n v="1"/>
    <n v="3"/>
    <n v="6"/>
    <n v="2"/>
    <n v="3"/>
    <x v="2"/>
    <x v="0"/>
  </r>
  <r>
    <x v="24"/>
    <x v="0"/>
    <x v="3"/>
    <x v="6"/>
    <n v="27"/>
    <n v="145"/>
    <n v="646"/>
    <n v="4.455172413793103"/>
    <n v="5.3703703703703702"/>
    <x v="2"/>
    <x v="0"/>
  </r>
  <r>
    <x v="24"/>
    <x v="0"/>
    <x v="3"/>
    <x v="3"/>
    <n v="13"/>
    <n v="183"/>
    <n v="1495"/>
    <n v="8.169398907103826"/>
    <n v="14.076923076923077"/>
    <x v="2"/>
    <x v="0"/>
  </r>
  <r>
    <x v="25"/>
    <x v="1"/>
    <x v="0"/>
    <x v="4"/>
    <n v="29"/>
    <n v="83"/>
    <n v="538"/>
    <n v="6.4819277108433733"/>
    <n v="2.8620689655172415"/>
    <x v="2"/>
    <x v="0"/>
  </r>
  <r>
    <x v="25"/>
    <x v="1"/>
    <x v="0"/>
    <x v="6"/>
    <n v="9"/>
    <n v="41"/>
    <n v="217"/>
    <n v="5.2926829268292686"/>
    <n v="4.5555555555555554"/>
    <x v="2"/>
    <x v="0"/>
  </r>
  <r>
    <x v="25"/>
    <x v="1"/>
    <x v="0"/>
    <x v="1"/>
    <n v="6"/>
    <n v="25"/>
    <n v="213"/>
    <n v="8.52"/>
    <n v="4.166666666666667"/>
    <x v="2"/>
    <x v="0"/>
  </r>
  <r>
    <x v="25"/>
    <x v="1"/>
    <x v="0"/>
    <x v="0"/>
    <n v="6"/>
    <n v="55"/>
    <n v="168"/>
    <n v="3.0545454545454547"/>
    <n v="9.1666666666666661"/>
    <x v="2"/>
    <x v="0"/>
  </r>
  <r>
    <x v="25"/>
    <x v="1"/>
    <x v="0"/>
    <x v="3"/>
    <n v="56"/>
    <n v="273"/>
    <n v="1503"/>
    <n v="5.5054945054945055"/>
    <n v="4.875"/>
    <x v="2"/>
    <x v="0"/>
  </r>
  <r>
    <x v="25"/>
    <x v="1"/>
    <x v="0"/>
    <x v="5"/>
    <n v="1"/>
    <n v="1"/>
    <n v="12"/>
    <n v="12"/>
    <n v="1"/>
    <x v="2"/>
    <x v="0"/>
  </r>
  <r>
    <x v="26"/>
    <x v="1"/>
    <x v="0"/>
    <x v="4"/>
    <n v="59"/>
    <n v="379"/>
    <n v="1635"/>
    <n v="4.313984168865435"/>
    <n v="6.4237288135593218"/>
    <x v="2"/>
    <x v="0"/>
  </r>
  <r>
    <x v="26"/>
    <x v="1"/>
    <x v="0"/>
    <x v="6"/>
    <n v="24"/>
    <n v="140"/>
    <n v="751"/>
    <n v="5.3642857142857139"/>
    <n v="5.833333333333333"/>
    <x v="2"/>
    <x v="0"/>
  </r>
  <r>
    <x v="26"/>
    <x v="1"/>
    <x v="0"/>
    <x v="0"/>
    <n v="19"/>
    <n v="138"/>
    <n v="625"/>
    <n v="4.5289855072463769"/>
    <n v="7.2631578947368425"/>
    <x v="2"/>
    <x v="0"/>
  </r>
  <r>
    <x v="26"/>
    <x v="1"/>
    <x v="0"/>
    <x v="3"/>
    <n v="69"/>
    <n v="358"/>
    <n v="1658"/>
    <n v="4.6312849162011176"/>
    <n v="5.1884057971014492"/>
    <x v="2"/>
    <x v="0"/>
  </r>
  <r>
    <x v="27"/>
    <x v="1"/>
    <x v="0"/>
    <x v="4"/>
    <n v="59"/>
    <n v="295"/>
    <n v="1867"/>
    <n v="6.3288135593220343"/>
    <n v="5"/>
    <x v="2"/>
    <x v="0"/>
  </r>
  <r>
    <x v="27"/>
    <x v="1"/>
    <x v="0"/>
    <x v="6"/>
    <n v="10"/>
    <n v="38"/>
    <n v="186"/>
    <n v="4.8947368421052628"/>
    <n v="3.8"/>
    <x v="2"/>
    <x v="0"/>
  </r>
  <r>
    <x v="27"/>
    <x v="1"/>
    <x v="0"/>
    <x v="1"/>
    <n v="1"/>
    <n v="2"/>
    <n v="60"/>
    <n v="30"/>
    <n v="2"/>
    <x v="2"/>
    <x v="0"/>
  </r>
  <r>
    <x v="27"/>
    <x v="1"/>
    <x v="0"/>
    <x v="0"/>
    <n v="5"/>
    <n v="19"/>
    <n v="162"/>
    <n v="8.526315789473685"/>
    <n v="3.8"/>
    <x v="2"/>
    <x v="0"/>
  </r>
  <r>
    <x v="27"/>
    <x v="1"/>
    <x v="0"/>
    <x v="3"/>
    <n v="42"/>
    <n v="290"/>
    <n v="1374"/>
    <n v="4.7379310344827585"/>
    <n v="6.9047619047619051"/>
    <x v="2"/>
    <x v="0"/>
  </r>
  <r>
    <x v="28"/>
    <x v="1"/>
    <x v="0"/>
    <x v="4"/>
    <n v="54"/>
    <n v="276"/>
    <n v="1606"/>
    <n v="5.8188405797101446"/>
    <n v="5.1111111111111107"/>
    <x v="2"/>
    <x v="0"/>
  </r>
  <r>
    <x v="28"/>
    <x v="1"/>
    <x v="0"/>
    <x v="6"/>
    <n v="22"/>
    <n v="73"/>
    <n v="436"/>
    <n v="5.9726027397260273"/>
    <n v="3.3181818181818183"/>
    <x v="2"/>
    <x v="0"/>
  </r>
  <r>
    <x v="28"/>
    <x v="1"/>
    <x v="0"/>
    <x v="0"/>
    <n v="5"/>
    <n v="10"/>
    <n v="27"/>
    <n v="2.7"/>
    <n v="2"/>
    <x v="2"/>
    <x v="0"/>
  </r>
  <r>
    <x v="28"/>
    <x v="1"/>
    <x v="0"/>
    <x v="3"/>
    <n v="56"/>
    <n v="247"/>
    <n v="2608"/>
    <n v="10.558704453441296"/>
    <n v="4.4107142857142856"/>
    <x v="2"/>
    <x v="0"/>
  </r>
  <r>
    <x v="28"/>
    <x v="1"/>
    <x v="0"/>
    <x v="5"/>
    <n v="5"/>
    <n v="6"/>
    <n v="26"/>
    <n v="4.333333333333333"/>
    <n v="1.2"/>
    <x v="2"/>
    <x v="0"/>
  </r>
  <r>
    <x v="29"/>
    <x v="1"/>
    <x v="0"/>
    <x v="4"/>
    <n v="51"/>
    <n v="286"/>
    <n v="2008"/>
    <n v="7.0209790209790208"/>
    <n v="5.6078431372549016"/>
    <x v="2"/>
    <x v="0"/>
  </r>
  <r>
    <x v="29"/>
    <x v="1"/>
    <x v="0"/>
    <x v="6"/>
    <n v="12"/>
    <n v="61"/>
    <n v="234"/>
    <n v="3.8360655737704916"/>
    <n v="5.083333333333333"/>
    <x v="2"/>
    <x v="0"/>
  </r>
  <r>
    <x v="29"/>
    <x v="1"/>
    <x v="0"/>
    <x v="0"/>
    <n v="2"/>
    <n v="6"/>
    <n v="17"/>
    <n v="2.8333333333333335"/>
    <n v="3"/>
    <x v="2"/>
    <x v="0"/>
  </r>
  <r>
    <x v="29"/>
    <x v="1"/>
    <x v="0"/>
    <x v="3"/>
    <n v="58"/>
    <n v="253"/>
    <n v="1775"/>
    <n v="7.0158102766798418"/>
    <n v="4.3620689655172411"/>
    <x v="2"/>
    <x v="0"/>
  </r>
  <r>
    <x v="30"/>
    <x v="1"/>
    <x v="0"/>
    <x v="4"/>
    <n v="2"/>
    <n v="11"/>
    <n v="128"/>
    <n v="11.636363636363637"/>
    <n v="5.5"/>
    <x v="2"/>
    <x v="0"/>
  </r>
  <r>
    <x v="30"/>
    <x v="1"/>
    <x v="0"/>
    <x v="6"/>
    <n v="17"/>
    <n v="86"/>
    <n v="722"/>
    <n v="8.395348837209303"/>
    <n v="5.0588235294117645"/>
    <x v="2"/>
    <x v="0"/>
  </r>
  <r>
    <x v="30"/>
    <x v="1"/>
    <x v="0"/>
    <x v="0"/>
    <n v="1"/>
    <n v="3"/>
    <n v="3"/>
    <n v="1"/>
    <n v="3"/>
    <x v="2"/>
    <x v="0"/>
  </r>
  <r>
    <x v="30"/>
    <x v="1"/>
    <x v="0"/>
    <x v="3"/>
    <n v="23"/>
    <n v="218"/>
    <n v="892"/>
    <n v="4.0917431192660549"/>
    <n v="9.4782608695652169"/>
    <x v="2"/>
    <x v="0"/>
  </r>
  <r>
    <x v="30"/>
    <x v="1"/>
    <x v="0"/>
    <x v="5"/>
    <n v="4"/>
    <n v="24"/>
    <n v="59"/>
    <n v="2.4583333333333335"/>
    <n v="6"/>
    <x v="2"/>
    <x v="0"/>
  </r>
  <r>
    <x v="31"/>
    <x v="1"/>
    <x v="1"/>
    <x v="4"/>
    <n v="43"/>
    <n v="249"/>
    <n v="1431"/>
    <n v="5.7469879518072293"/>
    <n v="5.7906976744186043"/>
    <x v="2"/>
    <x v="0"/>
  </r>
  <r>
    <x v="31"/>
    <x v="1"/>
    <x v="1"/>
    <x v="6"/>
    <n v="16"/>
    <n v="77"/>
    <n v="554"/>
    <n v="7.1948051948051948"/>
    <n v="4.8125"/>
    <x v="2"/>
    <x v="0"/>
  </r>
  <r>
    <x v="31"/>
    <x v="1"/>
    <x v="1"/>
    <x v="0"/>
    <n v="10"/>
    <n v="73"/>
    <n v="668"/>
    <n v="9.1506849315068486"/>
    <n v="7.3"/>
    <x v="2"/>
    <x v="0"/>
  </r>
  <r>
    <x v="31"/>
    <x v="1"/>
    <x v="1"/>
    <x v="3"/>
    <n v="66"/>
    <n v="408"/>
    <n v="1999"/>
    <n v="4.8995098039215685"/>
    <n v="6.1818181818181817"/>
    <x v="2"/>
    <x v="0"/>
  </r>
  <r>
    <x v="31"/>
    <x v="1"/>
    <x v="1"/>
    <x v="5"/>
    <n v="1"/>
    <n v="1"/>
    <n v="1"/>
    <n v="1"/>
    <n v="1"/>
    <x v="2"/>
    <x v="0"/>
  </r>
  <r>
    <x v="32"/>
    <x v="1"/>
    <x v="1"/>
    <x v="4"/>
    <n v="47"/>
    <n v="230"/>
    <n v="1221"/>
    <n v="5.3086956521739133"/>
    <n v="4.8936170212765955"/>
    <x v="2"/>
    <x v="0"/>
  </r>
  <r>
    <x v="32"/>
    <x v="1"/>
    <x v="1"/>
    <x v="6"/>
    <n v="27"/>
    <n v="111"/>
    <n v="425"/>
    <n v="3.8288288288288288"/>
    <n v="4.1111111111111107"/>
    <x v="2"/>
    <x v="0"/>
  </r>
  <r>
    <x v="32"/>
    <x v="1"/>
    <x v="1"/>
    <x v="3"/>
    <n v="59"/>
    <n v="341"/>
    <n v="1872"/>
    <n v="5.4897360703812312"/>
    <n v="5.7796610169491522"/>
    <x v="2"/>
    <x v="0"/>
  </r>
  <r>
    <x v="32"/>
    <x v="1"/>
    <x v="1"/>
    <x v="5"/>
    <n v="3"/>
    <n v="7"/>
    <n v="22"/>
    <n v="3.1428571428571428"/>
    <n v="2.3333333333333335"/>
    <x v="2"/>
    <x v="0"/>
  </r>
  <r>
    <x v="33"/>
    <x v="1"/>
    <x v="1"/>
    <x v="4"/>
    <n v="40"/>
    <n v="174"/>
    <n v="1157"/>
    <n v="6.6494252873563218"/>
    <n v="4.3499999999999996"/>
    <x v="2"/>
    <x v="0"/>
  </r>
  <r>
    <x v="33"/>
    <x v="1"/>
    <x v="1"/>
    <x v="6"/>
    <n v="24"/>
    <n v="94"/>
    <n v="357"/>
    <n v="3.7978723404255321"/>
    <n v="3.9166666666666665"/>
    <x v="2"/>
    <x v="0"/>
  </r>
  <r>
    <x v="33"/>
    <x v="1"/>
    <x v="1"/>
    <x v="0"/>
    <n v="2"/>
    <n v="3"/>
    <n v="3"/>
    <n v="1"/>
    <n v="1.5"/>
    <x v="2"/>
    <x v="0"/>
  </r>
  <r>
    <x v="33"/>
    <x v="1"/>
    <x v="1"/>
    <x v="3"/>
    <n v="67"/>
    <n v="371"/>
    <n v="1525"/>
    <n v="4.1105121293800542"/>
    <n v="5.5373134328358207"/>
    <x v="2"/>
    <x v="0"/>
  </r>
  <r>
    <x v="33"/>
    <x v="1"/>
    <x v="1"/>
    <x v="5"/>
    <n v="2"/>
    <n v="6"/>
    <n v="20"/>
    <n v="3.3333333333333335"/>
    <n v="3"/>
    <x v="2"/>
    <x v="0"/>
  </r>
  <r>
    <x v="34"/>
    <x v="1"/>
    <x v="1"/>
    <x v="4"/>
    <n v="31"/>
    <n v="146"/>
    <n v="1594"/>
    <n v="10.917808219178083"/>
    <n v="4.709677419354839"/>
    <x v="2"/>
    <x v="0"/>
  </r>
  <r>
    <x v="34"/>
    <x v="1"/>
    <x v="1"/>
    <x v="6"/>
    <n v="19"/>
    <n v="148"/>
    <n v="1053"/>
    <n v="7.1148648648648649"/>
    <n v="7.7894736842105265"/>
    <x v="2"/>
    <x v="0"/>
  </r>
  <r>
    <x v="34"/>
    <x v="1"/>
    <x v="1"/>
    <x v="0"/>
    <n v="5"/>
    <n v="10"/>
    <n v="66"/>
    <n v="6.6"/>
    <n v="2"/>
    <x v="2"/>
    <x v="0"/>
  </r>
  <r>
    <x v="34"/>
    <x v="1"/>
    <x v="1"/>
    <x v="3"/>
    <n v="66"/>
    <n v="337"/>
    <n v="1888"/>
    <n v="5.6023738872403559"/>
    <n v="5.1060606060606064"/>
    <x v="2"/>
    <x v="0"/>
  </r>
  <r>
    <x v="34"/>
    <x v="1"/>
    <x v="1"/>
    <x v="5"/>
    <n v="6"/>
    <n v="34"/>
    <n v="131"/>
    <n v="3.8529411764705883"/>
    <n v="5.666666666666667"/>
    <x v="2"/>
    <x v="0"/>
  </r>
  <r>
    <x v="35"/>
    <x v="1"/>
    <x v="1"/>
    <x v="4"/>
    <n v="36"/>
    <n v="233"/>
    <n v="2217"/>
    <n v="9.5150214592274676"/>
    <n v="6.4722222222222223"/>
    <x v="2"/>
    <x v="0"/>
  </r>
  <r>
    <x v="35"/>
    <x v="1"/>
    <x v="1"/>
    <x v="6"/>
    <n v="16"/>
    <n v="118"/>
    <n v="925"/>
    <n v="7.8389830508474576"/>
    <n v="7.375"/>
    <x v="2"/>
    <x v="0"/>
  </r>
  <r>
    <x v="35"/>
    <x v="1"/>
    <x v="1"/>
    <x v="0"/>
    <n v="5"/>
    <n v="17"/>
    <n v="42"/>
    <n v="2.4705882352941178"/>
    <n v="3.4"/>
    <x v="2"/>
    <x v="0"/>
  </r>
  <r>
    <x v="35"/>
    <x v="1"/>
    <x v="1"/>
    <x v="3"/>
    <n v="61"/>
    <n v="376"/>
    <n v="2108"/>
    <n v="5.6063829787234045"/>
    <n v="6.1639344262295079"/>
    <x v="2"/>
    <x v="0"/>
  </r>
  <r>
    <x v="35"/>
    <x v="1"/>
    <x v="1"/>
    <x v="5"/>
    <n v="1"/>
    <n v="1"/>
    <n v="3"/>
    <n v="3"/>
    <n v="1"/>
    <x v="2"/>
    <x v="0"/>
  </r>
  <r>
    <x v="36"/>
    <x v="1"/>
    <x v="1"/>
    <x v="4"/>
    <n v="1"/>
    <n v="6"/>
    <n v="12"/>
    <n v="2"/>
    <n v="6"/>
    <x v="2"/>
    <x v="0"/>
  </r>
  <r>
    <x v="36"/>
    <x v="1"/>
    <x v="1"/>
    <x v="3"/>
    <n v="30"/>
    <n v="276"/>
    <n v="1111"/>
    <n v="4.02536231884058"/>
    <n v="9.1999999999999993"/>
    <x v="2"/>
    <x v="0"/>
  </r>
  <r>
    <x v="36"/>
    <x v="1"/>
    <x v="1"/>
    <x v="5"/>
    <n v="10"/>
    <n v="68"/>
    <n v="685"/>
    <n v="10.073529411764707"/>
    <n v="6.8"/>
    <x v="2"/>
    <x v="0"/>
  </r>
  <r>
    <x v="36"/>
    <x v="1"/>
    <x v="1"/>
    <x v="7"/>
    <n v="1"/>
    <n v="3"/>
    <n v="3"/>
    <n v="1"/>
    <n v="3"/>
    <x v="2"/>
    <x v="0"/>
  </r>
  <r>
    <x v="37"/>
    <x v="1"/>
    <x v="2"/>
    <x v="4"/>
    <n v="16"/>
    <n v="164"/>
    <n v="736"/>
    <n v="4.4878048780487809"/>
    <n v="10.25"/>
    <x v="2"/>
    <x v="0"/>
  </r>
  <r>
    <x v="37"/>
    <x v="1"/>
    <x v="2"/>
    <x v="6"/>
    <n v="26"/>
    <n v="180"/>
    <n v="794"/>
    <n v="4.4111111111111114"/>
    <n v="6.9230769230769234"/>
    <x v="2"/>
    <x v="0"/>
  </r>
  <r>
    <x v="37"/>
    <x v="1"/>
    <x v="2"/>
    <x v="0"/>
    <n v="2"/>
    <n v="6"/>
    <n v="49"/>
    <n v="8.1666666666666661"/>
    <n v="3"/>
    <x v="2"/>
    <x v="0"/>
  </r>
  <r>
    <x v="37"/>
    <x v="1"/>
    <x v="2"/>
    <x v="3"/>
    <n v="41"/>
    <n v="253"/>
    <n v="1374"/>
    <n v="5.4308300395256914"/>
    <n v="6.1707317073170733"/>
    <x v="2"/>
    <x v="0"/>
  </r>
  <r>
    <x v="38"/>
    <x v="1"/>
    <x v="2"/>
    <x v="4"/>
    <n v="5"/>
    <n v="39"/>
    <n v="93"/>
    <n v="2.3846153846153846"/>
    <n v="7.8"/>
    <x v="2"/>
    <x v="0"/>
  </r>
  <r>
    <x v="38"/>
    <x v="1"/>
    <x v="2"/>
    <x v="6"/>
    <n v="3"/>
    <n v="41"/>
    <n v="178"/>
    <n v="4.3414634146341466"/>
    <n v="13.666666666666666"/>
    <x v="2"/>
    <x v="0"/>
  </r>
  <r>
    <x v="38"/>
    <x v="1"/>
    <x v="2"/>
    <x v="3"/>
    <n v="22"/>
    <n v="178"/>
    <n v="948"/>
    <n v="5.3258426966292136"/>
    <n v="8.0909090909090917"/>
    <x v="2"/>
    <x v="0"/>
  </r>
  <r>
    <x v="38"/>
    <x v="1"/>
    <x v="2"/>
    <x v="8"/>
    <n v="3"/>
    <n v="26"/>
    <n v="140"/>
    <n v="5.384615384615385"/>
    <n v="8.6666666666666661"/>
    <x v="2"/>
    <x v="0"/>
  </r>
  <r>
    <x v="39"/>
    <x v="1"/>
    <x v="2"/>
    <x v="4"/>
    <n v="28"/>
    <n v="155"/>
    <n v="669"/>
    <n v="4.3161290322580648"/>
    <n v="5.5357142857142856"/>
    <x v="2"/>
    <x v="0"/>
  </r>
  <r>
    <x v="39"/>
    <x v="1"/>
    <x v="2"/>
    <x v="6"/>
    <n v="66"/>
    <n v="315"/>
    <n v="2335"/>
    <n v="7.412698412698413"/>
    <n v="4.7727272727272725"/>
    <x v="2"/>
    <x v="0"/>
  </r>
  <r>
    <x v="39"/>
    <x v="1"/>
    <x v="2"/>
    <x v="0"/>
    <n v="16"/>
    <n v="135"/>
    <n v="1056"/>
    <n v="7.822222222222222"/>
    <n v="8.4375"/>
    <x v="2"/>
    <x v="0"/>
  </r>
  <r>
    <x v="39"/>
    <x v="1"/>
    <x v="2"/>
    <x v="5"/>
    <n v="3"/>
    <n v="8"/>
    <n v="49"/>
    <n v="6.125"/>
    <n v="2.6666666666666665"/>
    <x v="2"/>
    <x v="0"/>
  </r>
  <r>
    <x v="39"/>
    <x v="1"/>
    <x v="2"/>
    <x v="7"/>
    <n v="2"/>
    <n v="19"/>
    <n v="109"/>
    <n v="5.7368421052631575"/>
    <n v="9.5"/>
    <x v="2"/>
    <x v="0"/>
  </r>
  <r>
    <x v="40"/>
    <x v="1"/>
    <x v="2"/>
    <x v="0"/>
    <n v="54"/>
    <n v="223"/>
    <n v="1393"/>
    <n v="6.246636771300448"/>
    <n v="4.1296296296296298"/>
    <x v="2"/>
    <x v="0"/>
  </r>
  <r>
    <x v="40"/>
    <x v="1"/>
    <x v="2"/>
    <x v="3"/>
    <n v="65"/>
    <n v="330"/>
    <n v="2100"/>
    <n v="6.3636363636363633"/>
    <n v="5.0769230769230766"/>
    <x v="2"/>
    <x v="0"/>
  </r>
  <r>
    <x v="40"/>
    <x v="1"/>
    <x v="2"/>
    <x v="5"/>
    <n v="9"/>
    <n v="60"/>
    <n v="268"/>
    <n v="4.4666666666666668"/>
    <n v="6.666666666666667"/>
    <x v="2"/>
    <x v="0"/>
  </r>
  <r>
    <x v="40"/>
    <x v="1"/>
    <x v="2"/>
    <x v="7"/>
    <n v="8"/>
    <n v="33"/>
    <n v="735"/>
    <n v="22.272727272727273"/>
    <n v="4.125"/>
    <x v="2"/>
    <x v="0"/>
  </r>
  <r>
    <x v="40"/>
    <x v="1"/>
    <x v="2"/>
    <x v="8"/>
    <n v="4"/>
    <n v="6"/>
    <n v="19"/>
    <n v="3.1666666666666665"/>
    <n v="1.5"/>
    <x v="2"/>
    <x v="0"/>
  </r>
  <r>
    <x v="41"/>
    <x v="1"/>
    <x v="2"/>
    <x v="4"/>
    <n v="61"/>
    <n v="444"/>
    <n v="2788"/>
    <n v="6.2792792792792795"/>
    <n v="7.278688524590164"/>
    <x v="2"/>
    <x v="0"/>
  </r>
  <r>
    <x v="41"/>
    <x v="1"/>
    <x v="2"/>
    <x v="6"/>
    <n v="14"/>
    <n v="109"/>
    <n v="692"/>
    <n v="6.3486238532110093"/>
    <n v="7.7857142857142856"/>
    <x v="2"/>
    <x v="0"/>
  </r>
  <r>
    <x v="41"/>
    <x v="1"/>
    <x v="2"/>
    <x v="9"/>
    <n v="10"/>
    <n v="48"/>
    <n v="283"/>
    <n v="5.895833333333333"/>
    <n v="4.8"/>
    <x v="2"/>
    <x v="0"/>
  </r>
  <r>
    <x v="41"/>
    <x v="1"/>
    <x v="2"/>
    <x v="0"/>
    <n v="17"/>
    <n v="86"/>
    <n v="547"/>
    <n v="6.3604651162790695"/>
    <n v="5.0588235294117645"/>
    <x v="2"/>
    <x v="0"/>
  </r>
  <r>
    <x v="41"/>
    <x v="1"/>
    <x v="2"/>
    <x v="5"/>
    <n v="15"/>
    <n v="48"/>
    <n v="474"/>
    <n v="9.875"/>
    <n v="3.2"/>
    <x v="2"/>
    <x v="0"/>
  </r>
  <r>
    <x v="41"/>
    <x v="1"/>
    <x v="2"/>
    <x v="7"/>
    <n v="10"/>
    <n v="90"/>
    <n v="526"/>
    <n v="5.8444444444444441"/>
    <n v="9"/>
    <x v="2"/>
    <x v="0"/>
  </r>
  <r>
    <x v="41"/>
    <x v="1"/>
    <x v="2"/>
    <x v="8"/>
    <n v="1"/>
    <n v="1"/>
    <n v="1"/>
    <n v="1"/>
    <n v="1"/>
    <x v="2"/>
    <x v="0"/>
  </r>
  <r>
    <x v="42"/>
    <x v="1"/>
    <x v="2"/>
    <x v="6"/>
    <n v="25"/>
    <n v="231"/>
    <n v="761"/>
    <n v="3.2943722943722942"/>
    <n v="9.24"/>
    <x v="2"/>
    <x v="0"/>
  </r>
  <r>
    <x v="42"/>
    <x v="1"/>
    <x v="2"/>
    <x v="3"/>
    <n v="1"/>
    <n v="8"/>
    <n v="62"/>
    <n v="7.75"/>
    <n v="8"/>
    <x v="2"/>
    <x v="0"/>
  </r>
  <r>
    <x v="42"/>
    <x v="1"/>
    <x v="2"/>
    <x v="8"/>
    <n v="8"/>
    <n v="63"/>
    <n v="265"/>
    <n v="4.2063492063492065"/>
    <n v="7.875"/>
    <x v="2"/>
    <x v="0"/>
  </r>
  <r>
    <x v="41"/>
    <x v="1"/>
    <x v="2"/>
    <x v="3"/>
    <n v="50"/>
    <n v="324"/>
    <n v="2089"/>
    <n v="6.4475308641975309"/>
    <n v="6.48"/>
    <x v="2"/>
    <x v="0"/>
  </r>
  <r>
    <x v="43"/>
    <x v="1"/>
    <x v="3"/>
    <x v="4"/>
    <n v="47"/>
    <n v="215"/>
    <n v="1331"/>
    <n v="6.1906976744186046"/>
    <n v="4.5744680851063828"/>
    <x v="2"/>
    <x v="0"/>
  </r>
  <r>
    <x v="43"/>
    <x v="1"/>
    <x v="3"/>
    <x v="0"/>
    <n v="1"/>
    <n v="1"/>
    <n v="768"/>
    <n v="768"/>
    <n v="1"/>
    <x v="2"/>
    <x v="0"/>
  </r>
  <r>
    <x v="43"/>
    <x v="1"/>
    <x v="3"/>
    <x v="3"/>
    <n v="65"/>
    <n v="330"/>
    <n v="2660"/>
    <n v="8.0606060606060606"/>
    <n v="5.0769230769230766"/>
    <x v="2"/>
    <x v="0"/>
  </r>
  <r>
    <x v="43"/>
    <x v="1"/>
    <x v="3"/>
    <x v="5"/>
    <n v="13"/>
    <n v="73"/>
    <n v="3278"/>
    <n v="44.904109589041099"/>
    <n v="5.615384615384615"/>
    <x v="2"/>
    <x v="0"/>
  </r>
  <r>
    <x v="43"/>
    <x v="1"/>
    <x v="3"/>
    <x v="7"/>
    <n v="8"/>
    <n v="22"/>
    <n v="242"/>
    <n v="11"/>
    <n v="2.75"/>
    <x v="2"/>
    <x v="0"/>
  </r>
  <r>
    <x v="44"/>
    <x v="1"/>
    <x v="3"/>
    <x v="4"/>
    <n v="71"/>
    <n v="329"/>
    <n v="1737"/>
    <n v="5.2796352583586623"/>
    <n v="4.6338028169014081"/>
    <x v="2"/>
    <x v="0"/>
  </r>
  <r>
    <x v="44"/>
    <x v="1"/>
    <x v="3"/>
    <x v="0"/>
    <n v="6"/>
    <n v="24"/>
    <n v="173"/>
    <n v="7.208333333333333"/>
    <n v="4"/>
    <x v="2"/>
    <x v="0"/>
  </r>
  <r>
    <x v="44"/>
    <x v="1"/>
    <x v="3"/>
    <x v="3"/>
    <n v="55"/>
    <n v="381"/>
    <n v="2500"/>
    <n v="6.5616797900262469"/>
    <n v="6.9272727272727277"/>
    <x v="2"/>
    <x v="0"/>
  </r>
  <r>
    <x v="44"/>
    <x v="1"/>
    <x v="3"/>
    <x v="5"/>
    <n v="3"/>
    <n v="23"/>
    <n v="202"/>
    <n v="8.7826086956521738"/>
    <n v="7.666666666666667"/>
    <x v="2"/>
    <x v="0"/>
  </r>
  <r>
    <x v="44"/>
    <x v="1"/>
    <x v="3"/>
    <x v="8"/>
    <n v="2"/>
    <n v="10"/>
    <n v="19"/>
    <n v="1.9"/>
    <n v="5"/>
    <x v="2"/>
    <x v="0"/>
  </r>
  <r>
    <x v="45"/>
    <x v="1"/>
    <x v="3"/>
    <x v="4"/>
    <n v="48"/>
    <n v="279"/>
    <n v="2922"/>
    <n v="10.473118279569892"/>
    <n v="5.8125"/>
    <x v="2"/>
    <x v="0"/>
  </r>
  <r>
    <x v="45"/>
    <x v="1"/>
    <x v="3"/>
    <x v="0"/>
    <n v="9"/>
    <n v="23"/>
    <n v="473"/>
    <n v="20.565217391304348"/>
    <n v="2.5555555555555554"/>
    <x v="2"/>
    <x v="0"/>
  </r>
  <r>
    <x v="45"/>
    <x v="1"/>
    <x v="3"/>
    <x v="3"/>
    <n v="55"/>
    <n v="332"/>
    <n v="1612"/>
    <n v="4.8554216867469879"/>
    <n v="6.0363636363636362"/>
    <x v="2"/>
    <x v="0"/>
  </r>
  <r>
    <x v="45"/>
    <x v="1"/>
    <x v="3"/>
    <x v="5"/>
    <n v="8"/>
    <n v="28"/>
    <n v="811"/>
    <n v="28.964285714285715"/>
    <n v="3.5"/>
    <x v="2"/>
    <x v="0"/>
  </r>
  <r>
    <x v="46"/>
    <x v="1"/>
    <x v="3"/>
    <x v="4"/>
    <n v="43"/>
    <n v="283"/>
    <n v="1534"/>
    <n v="5.4204946996466434"/>
    <n v="6.5813953488372094"/>
    <x v="2"/>
    <x v="0"/>
  </r>
  <r>
    <x v="46"/>
    <x v="1"/>
    <x v="3"/>
    <x v="0"/>
    <n v="1"/>
    <n v="2"/>
    <n v="11"/>
    <n v="5.5"/>
    <n v="2"/>
    <x v="2"/>
    <x v="0"/>
  </r>
  <r>
    <x v="46"/>
    <x v="1"/>
    <x v="3"/>
    <x v="3"/>
    <n v="56"/>
    <n v="255"/>
    <n v="2054"/>
    <n v="8.0549019607843135"/>
    <n v="4.5535714285714288"/>
    <x v="2"/>
    <x v="0"/>
  </r>
  <r>
    <x v="46"/>
    <x v="1"/>
    <x v="3"/>
    <x v="5"/>
    <n v="1"/>
    <n v="1"/>
    <n v="1"/>
    <n v="1"/>
    <n v="1"/>
    <x v="2"/>
    <x v="0"/>
  </r>
  <r>
    <x v="46"/>
    <x v="1"/>
    <x v="3"/>
    <x v="8"/>
    <n v="4"/>
    <n v="15"/>
    <n v="89"/>
    <n v="5.9333333333333336"/>
    <n v="3.75"/>
    <x v="2"/>
    <x v="0"/>
  </r>
  <r>
    <x v="47"/>
    <x v="1"/>
    <x v="3"/>
    <x v="0"/>
    <n v="42"/>
    <n v="120"/>
    <n v="900"/>
    <n v="7.5"/>
    <n v="2.8571428571428572"/>
    <x v="2"/>
    <x v="0"/>
  </r>
  <r>
    <x v="47"/>
    <x v="1"/>
    <x v="3"/>
    <x v="10"/>
    <n v="2"/>
    <n v="13"/>
    <n v="34"/>
    <n v="2.6153846153846154"/>
    <n v="6.5"/>
    <x v="2"/>
    <x v="0"/>
  </r>
  <r>
    <x v="47"/>
    <x v="1"/>
    <x v="3"/>
    <x v="8"/>
    <n v="10"/>
    <n v="38"/>
    <n v="155"/>
    <n v="4.0789473684210522"/>
    <n v="3.8"/>
    <x v="2"/>
    <x v="0"/>
  </r>
  <r>
    <x v="47"/>
    <x v="1"/>
    <x v="3"/>
    <x v="3"/>
    <n v="120"/>
    <n v="829"/>
    <n v="5083"/>
    <n v="6.1314837153196624"/>
    <n v="6.9083333333333332"/>
    <x v="2"/>
    <x v="0"/>
  </r>
  <r>
    <x v="47"/>
    <x v="1"/>
    <x v="3"/>
    <x v="6"/>
    <n v="18"/>
    <n v="123"/>
    <n v="853"/>
    <n v="6.9349593495934956"/>
    <n v="6.833333333333333"/>
    <x v="2"/>
    <x v="0"/>
  </r>
  <r>
    <x v="47"/>
    <x v="1"/>
    <x v="3"/>
    <x v="5"/>
    <n v="40"/>
    <n v="231"/>
    <n v="1356"/>
    <n v="5.8701298701298699"/>
    <n v="5.7750000000000004"/>
    <x v="2"/>
    <x v="0"/>
  </r>
  <r>
    <x v="48"/>
    <x v="1"/>
    <x v="3"/>
    <x v="3"/>
    <n v="29"/>
    <n v="238"/>
    <n v="1045"/>
    <n v="4.3907563025210088"/>
    <n v="8.2068965517241388"/>
    <x v="2"/>
    <x v="0"/>
  </r>
  <r>
    <x v="48"/>
    <x v="1"/>
    <x v="3"/>
    <x v="6"/>
    <n v="18"/>
    <n v="123"/>
    <n v="853"/>
    <n v="6.9349593495934956"/>
    <n v="6.833333333333333"/>
    <x v="2"/>
    <x v="0"/>
  </r>
  <r>
    <x v="48"/>
    <x v="1"/>
    <x v="3"/>
    <x v="5"/>
    <n v="16"/>
    <n v="79"/>
    <n v="379"/>
    <n v="4.7974683544303796"/>
    <n v="4.9375"/>
    <x v="2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m/>
    <x v="0"/>
    <m/>
    <m/>
    <m/>
  </r>
  <r>
    <x v="0"/>
    <x v="1"/>
    <m/>
    <x v="1"/>
    <m/>
    <m/>
    <m/>
  </r>
  <r>
    <x v="0"/>
    <x v="2"/>
    <m/>
    <x v="2"/>
    <m/>
    <m/>
    <m/>
  </r>
  <r>
    <x v="0"/>
    <x v="3"/>
    <m/>
    <x v="3"/>
    <m/>
    <m/>
    <m/>
  </r>
  <r>
    <x v="0"/>
    <x v="4"/>
    <m/>
    <x v="4"/>
    <m/>
    <m/>
    <m/>
  </r>
  <r>
    <x v="0"/>
    <x v="5"/>
    <m/>
    <x v="5"/>
    <m/>
    <m/>
    <m/>
  </r>
  <r>
    <x v="0"/>
    <x v="6"/>
    <m/>
    <x v="6"/>
    <m/>
    <m/>
    <m/>
  </r>
  <r>
    <x v="0"/>
    <x v="7"/>
    <m/>
    <x v="7"/>
    <m/>
    <m/>
    <m/>
  </r>
  <r>
    <x v="0"/>
    <x v="8"/>
    <m/>
    <x v="8"/>
    <m/>
    <m/>
    <m/>
  </r>
  <r>
    <x v="0"/>
    <x v="9"/>
    <m/>
    <x v="9"/>
    <m/>
    <m/>
    <m/>
  </r>
  <r>
    <x v="0"/>
    <x v="10"/>
    <m/>
    <x v="10"/>
    <m/>
    <m/>
    <m/>
  </r>
  <r>
    <x v="0"/>
    <x v="11"/>
    <m/>
    <x v="11"/>
    <m/>
    <m/>
    <m/>
  </r>
  <r>
    <x v="0"/>
    <x v="12"/>
    <m/>
    <x v="12"/>
    <m/>
    <m/>
    <m/>
  </r>
  <r>
    <x v="0"/>
    <x v="13"/>
    <m/>
    <x v="13"/>
    <m/>
    <m/>
    <m/>
  </r>
  <r>
    <x v="0"/>
    <x v="14"/>
    <m/>
    <x v="9"/>
    <m/>
    <m/>
    <m/>
  </r>
  <r>
    <x v="0"/>
    <x v="15"/>
    <m/>
    <x v="14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63415.37"/>
    <n v="69097.539999999994"/>
    <n v="8.9602410267416097E-2"/>
  </r>
  <r>
    <x v="1"/>
    <n v="151948.82999999999"/>
    <n v="198386.32"/>
    <n v="0.30561268553367621"/>
  </r>
  <r>
    <x v="2"/>
    <n v="43400.49"/>
    <n v="90578.53"/>
    <n v="1.0870393398784208"/>
  </r>
  <r>
    <x v="3"/>
    <n v="4466.9799999999996"/>
    <n v="7893.42"/>
    <n v="0.76705962417561768"/>
  </r>
  <r>
    <x v="4"/>
    <n v="621582.89"/>
    <n v="611361.09"/>
    <n v="-1.6444789849347441E-2"/>
  </r>
  <r>
    <x v="5"/>
    <n v="11530.23"/>
    <n v="13773.95"/>
    <n v="0.19459455709036172"/>
  </r>
  <r>
    <x v="6"/>
    <n v="8399.56"/>
    <n v="34742.370000000003"/>
    <n v="3.1362130873521954"/>
  </r>
  <r>
    <x v="7"/>
    <n v="27967.200000000001"/>
    <n v="67412.41"/>
    <n v="1.4104096942132214"/>
  </r>
  <r>
    <x v="8"/>
    <n v="219146.11"/>
    <n v="178980.94"/>
    <n v="-0.18328032379858344"/>
  </r>
  <r>
    <x v="9"/>
    <n v="25523.71"/>
    <n v="38237.519999999997"/>
    <n v="0.49811763258554492"/>
  </r>
  <r>
    <x v="10"/>
    <n v="231307.25"/>
    <n v="283757.82"/>
    <n v="0.22675713796260172"/>
  </r>
  <r>
    <x v="11"/>
    <n v="153205.51999999999"/>
    <n v="178716.43"/>
    <n v="0.16651430052911936"/>
  </r>
  <r>
    <x v="12"/>
    <n v="6174.53"/>
    <n v="12194.51"/>
    <n v="0.9749697547829552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n v="219146.11"/>
    <n v="2"/>
    <n v="2"/>
    <n v="1"/>
  </r>
  <r>
    <x v="0"/>
    <x v="0"/>
    <x v="1"/>
    <n v="151948.82999999999"/>
    <n v="5"/>
    <n v="1"/>
    <n v="0.2"/>
  </r>
  <r>
    <x v="0"/>
    <x v="0"/>
    <x v="2"/>
    <n v="63415.37"/>
    <n v="3"/>
    <n v="3"/>
    <n v="1"/>
  </r>
  <r>
    <x v="0"/>
    <x v="0"/>
    <x v="3"/>
    <n v="25523.71"/>
    <n v="3"/>
    <n v="0"/>
    <n v="0"/>
  </r>
  <r>
    <x v="0"/>
    <x v="0"/>
    <x v="4"/>
    <n v="27967.200000000001"/>
    <n v="11"/>
    <n v="9"/>
    <n v="0.81818181818181823"/>
  </r>
  <r>
    <x v="0"/>
    <x v="0"/>
    <x v="5"/>
    <n v="4466.9799999999996"/>
    <n v="4"/>
    <n v="3"/>
    <n v="0.75"/>
  </r>
  <r>
    <x v="1"/>
    <x v="0"/>
    <x v="6"/>
    <n v="153205.51999999999"/>
    <n v="0"/>
    <n v="0"/>
    <n v="0"/>
  </r>
  <r>
    <x v="1"/>
    <x v="0"/>
    <x v="7"/>
    <n v="231307.25"/>
    <n v="2"/>
    <n v="2"/>
    <n v="1"/>
  </r>
  <r>
    <x v="2"/>
    <x v="0"/>
    <x v="8"/>
    <n v="43400.49"/>
    <n v="0"/>
    <n v="0"/>
    <n v="0"/>
  </r>
  <r>
    <x v="0"/>
    <x v="0"/>
    <x v="9"/>
    <n v="6174.53"/>
    <n v="7"/>
    <n v="3"/>
    <n v="0.42857142857142855"/>
  </r>
  <r>
    <x v="0"/>
    <x v="0"/>
    <x v="10"/>
    <n v="11530.23"/>
    <n v="0"/>
    <n v="0"/>
    <n v="0"/>
  </r>
  <r>
    <x v="3"/>
    <x v="0"/>
    <x v="11"/>
    <n v="621582.89"/>
    <n v="0"/>
    <n v="0"/>
    <n v="0"/>
  </r>
  <r>
    <x v="0"/>
    <x v="0"/>
    <x v="12"/>
    <n v="8399.56"/>
    <n v="0"/>
    <n v="0"/>
    <n v="0"/>
  </r>
  <r>
    <x v="0"/>
    <x v="1"/>
    <x v="0"/>
    <n v="178980.94"/>
    <n v="0"/>
    <n v="0"/>
    <n v="0"/>
  </r>
  <r>
    <x v="0"/>
    <x v="1"/>
    <x v="1"/>
    <n v="198386.32"/>
    <n v="0"/>
    <n v="0"/>
    <n v="0"/>
  </r>
  <r>
    <x v="0"/>
    <x v="1"/>
    <x v="2"/>
    <n v="69097.539999999994"/>
    <n v="4"/>
    <n v="4"/>
    <n v="1"/>
  </r>
  <r>
    <x v="0"/>
    <x v="1"/>
    <x v="3"/>
    <n v="38237.519999999997"/>
    <n v="8"/>
    <n v="1"/>
    <n v="0.125"/>
  </r>
  <r>
    <x v="0"/>
    <x v="1"/>
    <x v="4"/>
    <n v="67412.41"/>
    <n v="8"/>
    <n v="4"/>
    <n v="0.5"/>
  </r>
  <r>
    <x v="0"/>
    <x v="1"/>
    <x v="5"/>
    <n v="7893.42"/>
    <n v="0"/>
    <n v="0"/>
    <n v="0"/>
  </r>
  <r>
    <x v="1"/>
    <x v="1"/>
    <x v="6"/>
    <n v="178716.43"/>
    <n v="2"/>
    <n v="1"/>
    <n v="0.5"/>
  </r>
  <r>
    <x v="1"/>
    <x v="1"/>
    <x v="7"/>
    <n v="283757.82"/>
    <n v="5"/>
    <n v="2"/>
    <n v="0.4"/>
  </r>
  <r>
    <x v="2"/>
    <x v="1"/>
    <x v="8"/>
    <n v="90578.53"/>
    <n v="0"/>
    <n v="0"/>
    <n v="0"/>
  </r>
  <r>
    <x v="0"/>
    <x v="1"/>
    <x v="9"/>
    <n v="12194.51"/>
    <n v="8"/>
    <n v="3"/>
    <n v="0.375"/>
  </r>
  <r>
    <x v="0"/>
    <x v="1"/>
    <x v="10"/>
    <n v="13773.95"/>
    <n v="0"/>
    <n v="0"/>
    <n v="0"/>
  </r>
  <r>
    <x v="3"/>
    <x v="1"/>
    <x v="11"/>
    <n v="611361.09"/>
    <n v="0"/>
    <n v="0"/>
    <n v="0"/>
  </r>
  <r>
    <x v="0"/>
    <x v="1"/>
    <x v="12"/>
    <n v="34742.370000000003"/>
    <n v="0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28239.54"/>
    <n v="99628.87"/>
    <n v="0.77689665761433646"/>
  </r>
  <r>
    <x v="0"/>
    <x v="1"/>
    <n v="1578340.8"/>
    <n v="1796497.92"/>
    <n v="1.1382192743164212"/>
  </r>
  <r>
    <x v="0"/>
    <x v="2"/>
    <n v="1556560.83"/>
    <n v="1503391.04"/>
    <n v="0.96584149557457388"/>
  </r>
  <r>
    <x v="0"/>
    <x v="3"/>
    <n v="1519361.88"/>
    <n v="1301864.8799999999"/>
    <n v="0.85684977169494336"/>
  </r>
  <r>
    <x v="0"/>
    <x v="4"/>
    <n v="75657.88"/>
    <n v="22416.49"/>
    <n v="0.2962875777116673"/>
  </r>
  <r>
    <x v="0"/>
    <x v="5"/>
    <n v="1667339.8"/>
    <n v="1606536.6"/>
    <n v="0.96353280836935584"/>
  </r>
  <r>
    <x v="0"/>
    <x v="6"/>
    <n v="530375.25"/>
    <n v="288855.31"/>
    <n v="0.54462441450652155"/>
  </r>
  <r>
    <x v="0"/>
    <x v="7"/>
    <n v="391586.47"/>
    <n v="162745.32"/>
    <n v="0.41560506418927096"/>
  </r>
  <r>
    <x v="0"/>
    <x v="8"/>
    <n v="76509.75"/>
    <n v="56091.59"/>
    <n v="0.73312996056058211"/>
  </r>
  <r>
    <x v="0"/>
    <x v="9"/>
    <n v="169456.11"/>
    <n v="152553.56"/>
    <n v="0.90025411299716496"/>
  </r>
  <r>
    <x v="0"/>
    <x v="10"/>
    <n v="39811.19"/>
    <n v="33949.54"/>
    <n v="0.85276375812930982"/>
  </r>
  <r>
    <x v="0"/>
    <x v="11"/>
    <n v="331808.28999999998"/>
    <n v="455960.81"/>
    <n v="1.374169433801669"/>
  </r>
  <r>
    <x v="0"/>
    <x v="12"/>
    <n v="0"/>
    <n v="1356858.97"/>
    <n v="0"/>
  </r>
  <r>
    <x v="0"/>
    <x v="12"/>
    <n v="0"/>
    <n v="1273982.51"/>
    <n v="0"/>
  </r>
  <r>
    <x v="0"/>
    <x v="12"/>
    <n v="0"/>
    <n v="40632.07"/>
    <n v="0"/>
  </r>
  <r>
    <x v="1"/>
    <x v="0"/>
    <m/>
    <m/>
    <n v="0"/>
  </r>
  <r>
    <x v="1"/>
    <x v="1"/>
    <m/>
    <m/>
    <n v="0"/>
  </r>
  <r>
    <x v="1"/>
    <x v="2"/>
    <m/>
    <m/>
    <n v="0"/>
  </r>
  <r>
    <x v="1"/>
    <x v="3"/>
    <m/>
    <m/>
    <n v="0"/>
  </r>
  <r>
    <x v="1"/>
    <x v="4"/>
    <m/>
    <m/>
    <n v="0"/>
  </r>
  <r>
    <x v="1"/>
    <x v="5"/>
    <m/>
    <m/>
    <n v="0"/>
  </r>
  <r>
    <x v="1"/>
    <x v="6"/>
    <m/>
    <m/>
    <n v="0"/>
  </r>
  <r>
    <x v="1"/>
    <x v="7"/>
    <m/>
    <m/>
    <n v="0"/>
  </r>
  <r>
    <x v="1"/>
    <x v="8"/>
    <m/>
    <m/>
    <n v="0"/>
  </r>
  <r>
    <x v="1"/>
    <x v="9"/>
    <m/>
    <m/>
    <n v="0"/>
  </r>
  <r>
    <x v="1"/>
    <x v="10"/>
    <m/>
    <m/>
    <n v="0"/>
  </r>
  <r>
    <x v="1"/>
    <x v="11"/>
    <m/>
    <m/>
    <n v="0"/>
  </r>
  <r>
    <x v="1"/>
    <x v="12"/>
    <m/>
    <m/>
    <n v="0"/>
  </r>
  <r>
    <x v="1"/>
    <x v="12"/>
    <m/>
    <m/>
    <n v="0"/>
  </r>
  <r>
    <x v="1"/>
    <x v="12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45BE1-5E2D-45E6-A607-B5C0C2F0C3DB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A3:B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dataField="1" numFmtId="167" showAll="0"/>
    <pivotField numFmtId="1" showAll="0"/>
    <pivotField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FATURAMENTO" fld="3" baseField="0" baseItem="0" numFmtId="167"/>
  </dataFields>
  <formats count="1">
    <format dxfId="297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613EB-814A-44A5-AAFF-4E4B82B8162D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H3:I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numFmtId="167" showAll="0"/>
    <pivotField numFmtId="1" showAll="0"/>
    <pivotField dataField="1"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POSITIVADOS " fld="5" baseField="0" baseItem="0" numFmtId="1"/>
  </dataFields>
  <formats count="1">
    <format dxfId="29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92A9D-CA72-4D03-BB86-96E8FC35850E}" name="Tabela dinâmica8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19:Q33" firstHeaderRow="1" firstDataRow="1" firstDataCol="1"/>
  <pivotFields count="4">
    <pivotField axis="axisRow" showAll="0" sortType="descending">
      <items count="15">
        <item x="0"/>
        <item x="1"/>
        <item x="2"/>
        <item x="3"/>
        <item m="1" x="13"/>
        <item x="8"/>
        <item x="9"/>
        <item x="10"/>
        <item x="11"/>
        <item x="12"/>
        <item x="7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dataField="1" numFmtId="10" showAll="0"/>
  </pivotFields>
  <rowFields count="1">
    <field x="0"/>
  </rowFields>
  <rowItems count="14">
    <i>
      <x v="13"/>
    </i>
    <i>
      <x v="10"/>
    </i>
    <i>
      <x v="2"/>
    </i>
    <i>
      <x v="9"/>
    </i>
    <i>
      <x v="3"/>
    </i>
    <i>
      <x v="6"/>
    </i>
    <i>
      <x v="1"/>
    </i>
    <i>
      <x v="7"/>
    </i>
    <i>
      <x v="12"/>
    </i>
    <i>
      <x v="8"/>
    </i>
    <i>
      <x/>
    </i>
    <i>
      <x v="11"/>
    </i>
    <i>
      <x v="5"/>
    </i>
    <i t="grand">
      <x/>
    </i>
  </rowItems>
  <colItems count="1">
    <i/>
  </colItems>
  <dataFields count="1">
    <dataField name="Soma de CRESCIMENTO" fld="3" baseField="0" baseItem="0"/>
  </dataFields>
  <formats count="2">
    <format dxfId="300">
      <pivotArea outline="0" collapsedLevelsAreSubtotals="1" fieldPosition="0"/>
    </format>
    <format dxfId="299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E0108-49EE-44B5-B129-8A21310F941F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E3:F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numFmtId="167" showAll="0"/>
    <pivotField dataField="1" numFmtId="1" showAll="0"/>
    <pivotField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NOVOS CADASTROS " fld="4" baseField="0" baseItem="0" numFmtId="1"/>
  </dataFields>
  <formats count="1">
    <format dxfId="301">
      <pivotArea outline="0" collapsedLevelsAreSubtotals="1" fieldPosition="0"/>
    </format>
  </formats>
  <chartFormats count="1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D8324-5CF0-40E3-AE2A-FA8AD2B277C6}" name="Tabela dinâ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Z3:AB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x="0"/>
        <item h="1" x="3"/>
        <item h="1" x="12"/>
        <item h="1" x="2"/>
        <item h="1" x="1"/>
        <item h="1" x="4"/>
        <item h="1"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1" type="button" dataOnly="0" labelOnly="1" outline="0" axis="axisRow" fieldPosition="0"/>
    </format>
    <format dxfId="226">
      <pivotArea dataOnly="0" labelOnly="1" fieldPosition="0">
        <references count="1">
          <reference field="1" count="0"/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90E7A-CC99-41C0-9243-6197350E83A5}" name="Tabela dinâmica6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21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x="4"/>
        <item x="15"/>
        <item x="11"/>
        <item x="10"/>
        <item x="13"/>
        <item x="12"/>
        <item x="9"/>
        <item x="0"/>
        <item x="14"/>
        <item x="5"/>
        <item x="6"/>
        <item x="7"/>
        <item x="3"/>
        <item x="8"/>
        <item x="2"/>
        <item x="1"/>
        <item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31">
      <pivotArea outline="0" collapsedLevelsAreSubtotals="1" fieldPosition="0"/>
    </format>
    <format dxfId="2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C8E5B-A788-49AF-B9C5-B2563E2576EF}" name="Tabela dinâmica5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P3:AR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1" type="button" dataOnly="0" labelOnly="1" outline="0" axis="axisRow" fieldPosition="0"/>
    </format>
    <format dxfId="234">
      <pivotArea dataOnly="0" labelOnly="1" fieldPosition="0">
        <references count="1">
          <reference field="1" count="0"/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93CD0-763C-4014-AF56-0CCEF204A3B7}" name="Tabela dinâmica4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L3:AN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h="1" x="11"/>
        <item h="1" x="7"/>
        <item h="1" x="6"/>
        <item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1" type="button" dataOnly="0" labelOnly="1" outline="0" axis="axisRow" fieldPosition="0"/>
    </format>
    <format dxfId="240">
      <pivotArea dataOnly="0" labelOnly="1" fieldPosition="0">
        <references count="1">
          <reference field="1" count="0"/>
        </references>
      </pivotArea>
    </format>
    <format dxfId="239">
      <pivotArea dataOnly="0" labelOnly="1" grandRow="1" outline="0" fieldPosition="0"/>
    </format>
    <format dxfId="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9B29B-8D22-452A-B238-F51D27FFD221}" name="Tabela dinâmica10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P3:Q6" firstHeaderRow="1" firstDataRow="1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h="1"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2">
    <field x="1"/>
    <field x="0"/>
  </rowFields>
  <rowItems count="3">
    <i>
      <x v="3"/>
    </i>
    <i r="1">
      <x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45">
      <pivotArea outline="0" collapsedLevelsAreSubtotals="1" fieldPosition="0"/>
    </format>
    <format dxfId="24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07E2D-6432-4A94-979F-732B057B6F0E}" name="Tabela dinâmica3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H3:AJ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h="1" x="11"/>
        <item h="1" x="7"/>
        <item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1" type="button" dataOnly="0" labelOnly="1" outline="0" axis="axisRow" fieldPosition="0"/>
    </format>
    <format dxfId="248">
      <pivotArea dataOnly="0" labelOnly="1" fieldPosition="0">
        <references count="1">
          <reference field="1" count="0"/>
        </references>
      </pivotArea>
    </format>
    <format dxfId="247">
      <pivotArea dataOnly="0" labelOnly="1" grandRow="1" outline="0" fieldPosition="0"/>
    </format>
    <format dxfId="2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53B1F-3A19-4628-97CD-9AC2C1E814F6}" name="Tabela dinâmica7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:E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h="1" x="2"/>
        <item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5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53">
      <pivotArea outline="0" collapsedLevelsAreSubtotals="1" fieldPosition="0"/>
    </format>
    <format dxfId="2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AED70-B457-4457-97C8-00857C7043ED}" name="Tabela dinâmica2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D3:AF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x="4"/>
        <item h="1"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1" type="button" dataOnly="0" labelOnly="1" outline="0" axis="axisRow" fieldPosition="0"/>
    </format>
    <format dxfId="256">
      <pivotArea dataOnly="0" labelOnly="1" fieldPosition="0">
        <references count="1">
          <reference field="1" count="0"/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F60C0-D1A2-4B7E-A3E3-90F7FC81A004}" name="Tabela dinâmica8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3:I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x="3"/>
        <item h="1" x="8"/>
        <item h="1"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2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61">
      <pivotArea outline="0" collapsedLevelsAreSubtotals="1" fieldPosition="0"/>
    </format>
    <format dxfId="2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828BB-F3D7-4693-9CC0-CD9C6734C588}" name="Tabela dinâmica9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3:M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4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63">
      <pivotArea outline="0" collapsedLevelsAreSubtotals="1" fieldPosition="0"/>
    </format>
    <format dxfId="2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A692A-08F8-4054-B54C-EC0D206CEE42}" name="Tabela dinâmica10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Y6:Z9" firstHeaderRow="1" firstDataRow="1" firstDataCol="1"/>
  <pivotFields count="1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numFmtId="1" showAll="0"/>
    <pivotField numFmtId="1" showAll="0"/>
    <pivotField dataField="1" numFmtId="9" showAll="0"/>
    <pivotField showAll="0"/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3">
        <item sd="0" x="0"/>
        <item sd="0" x="1"/>
        <item x="2"/>
      </items>
    </pivotField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édia de DESEMPENHO  %" fld="9" subtotal="average" baseField="0" baseItem="1" numFmtId="10"/>
  </dataFields>
  <formats count="1">
    <format dxfId="1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934F0-015B-47C2-86C2-D2E54A28C06D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2">
  <location ref="A90:B10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/>
    </i>
    <i>
      <x v="14"/>
    </i>
    <i>
      <x v="12"/>
    </i>
    <i>
      <x v="17"/>
    </i>
    <i>
      <x v="20"/>
    </i>
    <i>
      <x v="19"/>
    </i>
    <i>
      <x v="13"/>
    </i>
    <i t="grand">
      <x/>
    </i>
  </rowItems>
  <colItems count="1">
    <i/>
  </colItems>
  <dataFields count="1">
    <dataField name="Soma de ITENS SEPARADOS" fld="6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A82F6-99C8-4A77-8242-88798389AB72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B47:C59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5"/>
    </i>
    <i>
      <x v="22"/>
    </i>
    <i>
      <x v="13"/>
    </i>
    <i>
      <x v="31"/>
    </i>
    <i>
      <x v="12"/>
    </i>
    <i>
      <x v="20"/>
    </i>
    <i>
      <x v="19"/>
    </i>
    <i>
      <x v="14"/>
    </i>
    <i>
      <x v="17"/>
    </i>
    <i>
      <x v="5"/>
    </i>
    <i>
      <x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1">
    <format dxfId="122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6AB4-36F6-4A06-BD3D-CF07A502A0EE}" name="Tabela dinâmica8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8">
  <location ref="A159:A162" firstHeaderRow="1" firstDataRow="1" firstDataCol="1"/>
  <pivotFields count="1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showAll="0"/>
    <pivotField numFmtId="1" showAll="0"/>
    <pivotField numFmtId="10" showAll="0"/>
    <pivotField showAll="0"/>
    <pivotField axis="axisRow" showAll="0">
      <items count="7">
        <item sd="0" x="1"/>
        <item sd="0" x="2"/>
        <item sd="0" x="3"/>
        <item sd="0" x="4"/>
        <item sd="0" x="0"/>
        <item x="5"/>
        <item t="default" sd="0"/>
      </items>
    </pivotField>
    <pivotField axis="axisRow" showAll="0">
      <items count="4">
        <item x="1"/>
        <item x="0"/>
        <item x="2"/>
        <item t="default"/>
      </items>
    </pivotField>
  </pivotFields>
  <rowFields count="3">
    <field x="12"/>
    <field x="11"/>
    <field x="0"/>
  </rowFields>
  <rowItems count="3">
    <i>
      <x/>
    </i>
    <i r="1">
      <x/>
    </i>
    <i t="grand">
      <x/>
    </i>
  </rowItems>
  <colItems count="1">
    <i/>
  </colItems>
  <formats count="7">
    <format dxfId="129">
      <pivotArea grandRow="1" outline="0" collapsedLevelsAreSubtotals="1" fieldPosition="0"/>
    </format>
    <format dxfId="128">
      <pivotArea grandRow="1" outline="0" collapsedLevelsAreSubtotals="1" fieldPosition="0"/>
    </format>
    <format dxfId="127">
      <pivotArea outline="0" collapsedLevelsAreSubtotals="1" fieldPosition="0"/>
    </format>
    <format dxfId="126">
      <pivotArea type="all" dataOnly="0" outline="0" fieldPosition="0"/>
    </format>
    <format dxfId="125">
      <pivotArea field="0" type="button" dataOnly="0" labelOnly="1" outline="0" axis="axisRow" fieldPosition="2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09B43-3CFE-4895-B4C5-13F7662CC7E8}" name="Tabela dinâ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9">
  <location ref="E212:F224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3"/>
    </i>
    <i>
      <x v="19"/>
    </i>
    <i>
      <x v="20"/>
    </i>
    <i>
      <x v="17"/>
    </i>
    <i>
      <x v="12"/>
    </i>
    <i>
      <x v="14"/>
    </i>
    <i>
      <x/>
    </i>
    <i>
      <x v="5"/>
    </i>
    <i>
      <x v="15"/>
    </i>
    <i>
      <x v="22"/>
    </i>
    <i>
      <x v="31"/>
    </i>
    <i t="grand">
      <x/>
    </i>
  </rowItems>
  <colItems count="1">
    <i/>
  </colItems>
  <dataFields count="1">
    <dataField name="Soma de ITENS SEPARADOS" fld="6" baseField="0" baseItem="0"/>
  </dataFields>
  <formats count="30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3" type="button" dataOnly="0" labelOnly="1" outline="0" axis="axisRow" fieldPosition="0"/>
    </format>
    <format dxfId="156">
      <pivotArea dataOnly="0" labelOnly="1" fieldPosition="0">
        <references count="1">
          <reference field="3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" type="button" dataOnly="0" labelOnly="1" outline="0" axis="axisRow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field="3" type="button" dataOnly="0" labelOnly="1" outline="0" axis="axisRow" fieldPosition="0"/>
    </format>
    <format dxfId="145">
      <pivotArea dataOnly="0" labelOnly="1" fieldPosition="0">
        <references count="1">
          <reference field="3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  <format dxfId="142">
      <pivotArea outline="0" collapsedLevelsAreSubtotals="1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fieldPosition="0">
        <references count="1">
          <reference field="3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collapsedLevelsAreSubtotals="1" fieldPosition="0">
        <references count="1">
          <reference field="3" count="2">
            <x v="2"/>
            <x v="5"/>
          </reference>
        </references>
      </pivotArea>
    </format>
    <format dxfId="134">
      <pivotArea dataOnly="0" labelOnly="1" fieldPosition="0">
        <references count="1">
          <reference field="3" count="2">
            <x v="2"/>
            <x v="5"/>
          </reference>
        </references>
      </pivotArea>
    </format>
    <format dxfId="133">
      <pivotArea collapsedLevelsAreSubtotals="1" fieldPosition="0">
        <references count="1">
          <reference field="3" count="8">
            <x v="0"/>
            <x v="5"/>
            <x v="12"/>
            <x v="13"/>
            <x v="14"/>
            <x v="17"/>
            <x v="19"/>
            <x v="20"/>
          </reference>
        </references>
      </pivotArea>
    </format>
    <format dxfId="132">
      <pivotArea grandRow="1" outline="0" collapsedLevelsAreSubtotals="1" fieldPosition="0"/>
    </format>
    <format dxfId="131">
      <pivotArea collapsedLevelsAreSubtotals="1" fieldPosition="0">
        <references count="1">
          <reference field="3" count="1">
            <x v="22"/>
          </reference>
        </references>
      </pivotArea>
    </format>
    <format dxfId="130">
      <pivotArea dataOnly="0" labelOnly="1" fieldPosition="0">
        <references count="1">
          <reference field="3" count="1">
            <x v="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4219-0E21-44E3-A5D6-A0E8DCFAE627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8">
  <location ref="E160:F17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3">
        <item x="0"/>
        <item m="1" x="18"/>
        <item m="1" x="25"/>
        <item m="1" x="23"/>
        <item m="1" x="14"/>
        <item m="1" x="11"/>
        <item m="1" x="16"/>
        <item m="1" x="17"/>
        <item m="1" x="13"/>
        <item m="1" x="26"/>
        <item x="6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</pivotField>
    <pivotField showAll="0"/>
    <pivotField showAll="0"/>
    <pivotField showAll="0"/>
    <pivotField showAll="0"/>
    <pivotField numFmtId="1" showAll="0"/>
    <pivotField dataField="1"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/>
    </i>
    <i>
      <x v="10"/>
    </i>
    <i>
      <x v="12"/>
    </i>
    <i>
      <x v="13"/>
    </i>
    <i>
      <x v="14"/>
    </i>
    <i>
      <x v="15"/>
    </i>
    <i>
      <x v="17"/>
    </i>
    <i>
      <x v="19"/>
    </i>
    <i>
      <x v="20"/>
    </i>
    <i>
      <x v="22"/>
    </i>
    <i>
      <x v="31"/>
    </i>
    <i t="grand">
      <x/>
    </i>
  </rowItems>
  <colItems count="1">
    <i/>
  </colItems>
  <dataFields count="1">
    <dataField name="Média de DESEMPENHO  %" fld="9" subtotal="average" baseField="1" baseItem="2"/>
  </dataFields>
  <formats count="13">
    <format dxfId="172">
      <pivotArea grandRow="1" outline="0" collapsedLevelsAreSubtotals="1" fieldPosition="0"/>
    </format>
    <format dxfId="171">
      <pivotArea outline="0" collapsedLevelsAreSubtotals="1" fieldPosition="0"/>
    </format>
    <format dxfId="170">
      <pivotArea collapsedLevelsAreSubtotals="1" fieldPosition="0">
        <references count="1">
          <reference field="3" count="0"/>
        </references>
      </pivotArea>
    </format>
    <format dxfId="169">
      <pivotArea collapsedLevelsAreSubtotals="1" fieldPosition="0">
        <references count="1">
          <reference field="3" count="0"/>
        </references>
      </pivotArea>
    </format>
    <format dxfId="168">
      <pivotArea grandRow="1" outline="0" collapsedLevelsAreSubtotals="1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3" type="button" dataOnly="0" labelOnly="1" outline="0" axis="axisRow" fieldPosition="0"/>
    </format>
    <format dxfId="164">
      <pivotArea dataOnly="0" labelOnly="1" fieldPosition="0">
        <references count="1">
          <reference field="3" count="0"/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  <format dxfId="161">
      <pivotArea collapsedLevelsAreSubtotals="1" fieldPosition="0">
        <references count="1">
          <reference field="3" count="0"/>
        </references>
      </pivotArea>
    </format>
    <format dxfId="16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0A7C5-543A-4B4B-95D7-C2ED82AC1344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4">
  <location ref="E187:F199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 v="14"/>
    </i>
    <i>
      <x/>
    </i>
    <i>
      <x v="12"/>
    </i>
    <i>
      <x v="20"/>
    </i>
    <i>
      <x v="19"/>
    </i>
    <i>
      <x v="17"/>
    </i>
    <i>
      <x v="13"/>
    </i>
    <i t="grand">
      <x/>
    </i>
  </rowItems>
  <colItems count="1">
    <i/>
  </colItems>
  <dataFields count="1">
    <dataField name="Soma de QTD PEDIDOS" fld="4" baseField="0" baseItem="0"/>
  </dataFields>
  <formats count="27">
    <format dxfId="199">
      <pivotArea collapsedLevelsAreSubtotals="1" fieldPosition="0">
        <references count="1">
          <reference field="3" count="0"/>
        </references>
      </pivotArea>
    </format>
    <format dxfId="198">
      <pivotArea field="3" type="button" dataOnly="0" labelOnly="1" outline="0" axis="axisRow" fieldPosition="0"/>
    </format>
    <format dxfId="197">
      <pivotArea dataOnly="0" labelOnly="1" outline="0" axis="axisValues" fieldPosition="0"/>
    </format>
    <format dxfId="196">
      <pivotArea field="3" type="button" dataOnly="0" labelOnly="1" outline="0" axis="axisRow" fieldPosition="0"/>
    </format>
    <format dxfId="195">
      <pivotArea dataOnly="0" labelOnly="1" outline="0" axis="axisValues" fieldPosition="0"/>
    </format>
    <format dxfId="194">
      <pivotArea outline="0" collapsedLevelsAreSubtotals="1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3" type="button" dataOnly="0" labelOnly="1" outline="0" axis="axisRow" fieldPosition="0"/>
    </format>
    <format dxfId="190">
      <pivotArea dataOnly="0" labelOnly="1" fieldPosition="0">
        <references count="1">
          <reference field="3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 axis="axisRow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collapsedLevelsAreSubtotals="1" fieldPosition="0">
        <references count="1">
          <reference field="3" count="0"/>
        </references>
      </pivotArea>
    </format>
    <format dxfId="180">
      <pivotArea collapsedLevelsAreSubtotals="1" fieldPosition="0">
        <references count="1">
          <reference field="3" count="7">
            <x v="0"/>
            <x v="5"/>
            <x v="6"/>
            <x v="9"/>
            <x v="10"/>
            <x v="11"/>
            <x v="12"/>
          </reference>
        </references>
      </pivotArea>
    </format>
    <format dxfId="179">
      <pivotArea grandRow="1" outline="0" collapsedLevelsAreSubtotals="1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3" type="button" dataOnly="0" labelOnly="1" outline="0" axis="axisRow" fieldPosition="0"/>
    </format>
    <format dxfId="175">
      <pivotArea dataOnly="0" labelOnly="1" fieldPosition="0">
        <references count="1">
          <reference field="3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</formats>
  <chartFormats count="2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EE7D4-5550-4357-9543-A5C528FE25DD}" name="Tabela dinâ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E240:F25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5"/>
    </i>
    <i>
      <x v="22"/>
    </i>
    <i>
      <x v="13"/>
    </i>
    <i>
      <x v="31"/>
    </i>
    <i>
      <x v="12"/>
    </i>
    <i>
      <x v="20"/>
    </i>
    <i>
      <x v="19"/>
    </i>
    <i>
      <x v="14"/>
    </i>
    <i>
      <x v="17"/>
    </i>
    <i>
      <x v="5"/>
    </i>
    <i>
      <x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24">
    <format dxfId="223">
      <pivotArea outline="0" collapsedLevelsAreSubtotals="1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3" type="button" dataOnly="0" labelOnly="1" outline="0" axis="axisRow" fieldPosition="0"/>
    </format>
    <format dxfId="219">
      <pivotArea dataOnly="0" labelOnly="1" fieldPosition="0">
        <references count="1">
          <reference field="3" count="0"/>
        </references>
      </pivotArea>
    </format>
    <format dxfId="218">
      <pivotArea dataOnly="0" labelOnly="1" grandRow="1" outline="0" fieldPosition="0"/>
    </format>
    <format dxfId="217">
      <pivotArea dataOnly="0" labelOnly="1" outline="0" axis="axisValues" fieldPosition="0"/>
    </format>
    <format dxfId="216">
      <pivotArea collapsedLevelsAreSubtotals="1" fieldPosition="0">
        <references count="1">
          <reference field="3" count="0"/>
        </references>
      </pivotArea>
    </format>
    <format dxfId="215">
      <pivotArea grandRow="1" outline="0" collapsedLevelsAreSubtotals="1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3" type="button" dataOnly="0" labelOnly="1" outline="0" axis="axisRow" fieldPosition="0"/>
    </format>
    <format dxfId="211">
      <pivotArea dataOnly="0" labelOnly="1" fieldPosition="0">
        <references count="1">
          <reference field="3" count="0"/>
        </references>
      </pivotArea>
    </format>
    <format dxfId="210">
      <pivotArea dataOnly="0" labelOnly="1" grandRow="1" outline="0" fieldPosition="0"/>
    </format>
    <format dxfId="209">
      <pivotArea dataOnly="0" labelOnly="1" outline="0" axis="axisValues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3" type="button" dataOnly="0" labelOnly="1" outline="0" axis="axisRow" fieldPosition="0"/>
    </format>
    <format dxfId="205">
      <pivotArea dataOnly="0" labelOnly="1" fieldPosition="0">
        <references count="1">
          <reference field="3" count="0"/>
        </references>
      </pivotArea>
    </format>
    <format dxfId="204">
      <pivotArea dataOnly="0" labelOnly="1" grandRow="1" outline="0" fieldPosition="0"/>
    </format>
    <format dxfId="203">
      <pivotArea dataOnly="0" labelOnly="1" outline="0" axis="axisValues" fieldPosition="0"/>
    </format>
    <format dxfId="202">
      <pivotArea grandRow="1" outline="0" collapsedLevelsAreSubtotals="1" fieldPosition="0"/>
    </format>
    <format dxfId="201">
      <pivotArea collapsedLevelsAreSubtotals="1" fieldPosition="0">
        <references count="1">
          <reference field="3" count="1">
            <x v="5"/>
          </reference>
        </references>
      </pivotArea>
    </format>
    <format dxfId="20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C469A-6EA9-42F7-9D41-126FC8F18EC5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9" rowHeaderCaption="DATA">
  <location ref="L151:L153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axis="axisRow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4">
        <item sd="0" x="1"/>
        <item x="0"/>
        <item x="2"/>
        <item t="default"/>
      </items>
    </pivotField>
  </pivotFields>
  <rowFields count="2">
    <field x="12"/>
    <field x="11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04655-2A2D-4255-ABBA-D56FDAFDF1FD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1">
  <location ref="A129:B141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 v="14"/>
    </i>
    <i>
      <x/>
    </i>
    <i>
      <x v="12"/>
    </i>
    <i>
      <x v="20"/>
    </i>
    <i>
      <x v="19"/>
    </i>
    <i>
      <x v="17"/>
    </i>
    <i>
      <x v="13"/>
    </i>
    <i t="grand">
      <x/>
    </i>
  </rowItems>
  <colItems count="1">
    <i/>
  </colItems>
  <dataFields count="1">
    <dataField name="Soma de QTD PEDIDOS" fld="4" baseField="0" baseItem="0"/>
  </dataFields>
  <chartFormats count="7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B5F1C-072C-49BF-B753-AA177B4FF57C}" name="Tabela dinâmica6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9" rowHeaderCaption="OPERADORES">
  <location ref="D220:E23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QUANTIDADE DE UNIDADES" fld="6" baseField="0" baseItem="0"/>
  </dataFields>
  <formats count="18">
    <format dxfId="41">
      <pivotArea type="all" dataOnly="0" outline="0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dataOnly="0" grandRow="1" axis="axisRow" fieldPosition="0"/>
    </format>
    <format dxfId="25">
      <pivotArea collapsedLevelsAreSubtotals="1" fieldPosition="0">
        <references count="1">
          <reference field="3" count="1">
            <x v="20"/>
          </reference>
        </references>
      </pivotArea>
    </format>
    <format dxfId="24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85170-D657-438E-8157-546738ADED5C}" name="Tabela dinâmica5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4" rowHeaderCaption="OPERADORES">
  <location ref="D190:E20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30"/>
    </i>
    <i>
      <x v="29"/>
    </i>
    <i>
      <x v="27"/>
    </i>
    <i>
      <x v="28"/>
    </i>
    <i>
      <x v="24"/>
    </i>
    <i>
      <x v="20"/>
    </i>
    <i>
      <x v="25"/>
    </i>
    <i>
      <x v="12"/>
    </i>
    <i>
      <x v="23"/>
    </i>
    <i>
      <x v="26"/>
    </i>
    <i>
      <x v="21"/>
    </i>
    <i t="grand">
      <x/>
    </i>
  </rowItems>
  <colItems count="1">
    <i/>
  </colItems>
  <dataFields count="1">
    <dataField name=" QUANTIDADE DE  PEDIDOS" fld="4" baseField="0" baseItem="0"/>
  </dataFields>
  <formats count="25">
    <format dxfId="66">
      <pivotArea type="all" dataOnly="0" outline="0" fieldPosition="0"/>
    </format>
    <format dxfId="65">
      <pivotArea dataOnly="0" labelOnly="1" outline="0" axis="axisValues" fieldPosition="0"/>
    </format>
    <format dxfId="64">
      <pivotArea dataOnly="0" outline="0" axis="axisValues" fieldPosition="0"/>
    </format>
    <format dxfId="63">
      <pivotArea collapsedLevelsAreSubtotals="1" fieldPosition="0">
        <references count="1">
          <reference field="3" count="0"/>
        </references>
      </pivotArea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grandRow="1" outline="0" collapsedLevelsAreSubtotals="1" fieldPosition="0"/>
    </format>
    <format dxfId="42">
      <pivotArea grandRow="1" outline="0" collapsedLevelsAreSubtotals="1" fieldPosition="0"/>
    </format>
  </formats>
  <chartFormats count="4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2EC5-6159-4144-93F6-D23F0F79B326}" name="Tabela dinâmica9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 rowHeaderCaption="COLABORADOR">
  <location ref="D281:E293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2">
        <item x="0"/>
        <item m="1" x="27"/>
        <item m="1" x="25"/>
        <item m="1" x="18"/>
        <item m="1" x="28"/>
        <item m="1" x="21"/>
        <item m="1" x="26"/>
        <item m="1" x="15"/>
        <item m="1" x="17"/>
        <item m="1" x="12"/>
        <item m="1" x="13"/>
        <item m="1" x="20"/>
        <item m="1" x="22"/>
        <item m="1" x="24"/>
        <item m="1" x="23"/>
        <item m="1" x="16"/>
        <item m="1" x="19"/>
        <item m="1" x="29"/>
        <item x="5"/>
        <item m="1" x="30"/>
        <item m="1" x="11"/>
        <item x="3"/>
        <item m="1" x="14"/>
        <item x="6"/>
        <item x="2"/>
        <item x="1"/>
        <item x="4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3"/>
  </rowFields>
  <rowItems count="12">
    <i>
      <x/>
    </i>
    <i>
      <x v="18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25">
    <format dxfId="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dataOnly="0" labelOnly="1" outline="0" axis="axisValues" fieldPosition="0"/>
    </format>
    <format dxfId="77">
      <pivotArea collapsedLevelsAreSubtotals="1" fieldPosition="0">
        <references count="1">
          <reference field="3" count="3">
            <x v="18"/>
            <x v="21"/>
            <x v="22"/>
          </reference>
        </references>
      </pivotArea>
    </format>
    <format dxfId="76">
      <pivotArea grandRow="1" outline="0" collapsedLevelsAreSubtotals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3" type="button" dataOnly="0" labelOnly="1" outline="0" axis="axisRow" fieldPosition="0"/>
    </format>
    <format dxfId="72">
      <pivotArea dataOnly="0" labelOnly="1" fieldPosition="0">
        <references count="1">
          <reference field="3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grandRow="1" outline="0" collapsedLevelsAreSubtotals="1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87254-E67E-41AE-A9D0-9DFA35BB636F}" name="Tabela dinâmica7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6" rowHeaderCaption="OPERADORES">
  <location ref="D252:E26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" showAll="0"/>
    <pivotField numFmtId="10" showAll="0"/>
  </pivotFields>
  <rowFields count="1">
    <field x="3"/>
  </rowFields>
  <rowItems count="12">
    <i>
      <x v="20"/>
    </i>
    <i>
      <x v="12"/>
    </i>
    <i>
      <x v="28"/>
    </i>
    <i>
      <x v="29"/>
    </i>
    <i>
      <x v="24"/>
    </i>
    <i>
      <x v="25"/>
    </i>
    <i>
      <x v="27"/>
    </i>
    <i>
      <x v="26"/>
    </i>
    <i>
      <x v="23"/>
    </i>
    <i>
      <x v="21"/>
    </i>
    <i>
      <x v="30"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26"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3" type="button" dataOnly="0" labelOnly="1" outline="0" axis="axisRow" fieldPosition="0"/>
    </format>
    <format dxfId="110">
      <pivotArea dataOnly="0" labelOnly="1" fieldPosition="0">
        <references count="1">
          <reference field="3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3" type="button" dataOnly="0" labelOnly="1" outline="0" axis="axisRow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collapsedLevelsAreSubtotals="1" fieldPosition="0">
        <references count="1">
          <reference field="3" count="2">
            <x v="21"/>
            <x v="26"/>
          </reference>
        </references>
      </pivotArea>
    </format>
    <format dxfId="9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3926D-965F-4294-8E9A-FC631D3C2D8E}" name="Tabela dinâ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22">
  <location ref="A149:B161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8"/>
    </i>
    <i>
      <x v="27"/>
    </i>
    <i>
      <x v="29"/>
    </i>
    <i>
      <x v="30"/>
    </i>
    <i t="grand">
      <x/>
    </i>
  </rowItems>
  <colItems count="1">
    <i/>
  </colItems>
  <dataFields count="1">
    <dataField name="Soma de QTD PEDIDOS" fld="4" baseField="0" baseItem="0"/>
  </dataFields>
  <chartFormats count="8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6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6035A-0295-4992-AEA5-F8756EAE3C7F}" name="Tabela dinâmica8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 rowHeaderCaption="DATA">
  <location ref="A182:B19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2">
        <item x="0"/>
        <item m="1" x="27"/>
        <item m="1" x="25"/>
        <item m="1" x="18"/>
        <item m="1" x="28"/>
        <item m="1" x="21"/>
        <item m="1" x="26"/>
        <item m="1" x="15"/>
        <item m="1" x="17"/>
        <item m="1" x="12"/>
        <item m="1" x="13"/>
        <item m="1" x="20"/>
        <item m="1" x="22"/>
        <item m="1" x="24"/>
        <item m="1" x="23"/>
        <item m="1" x="16"/>
        <item m="1" x="19"/>
        <item m="1" x="29"/>
        <item x="5"/>
        <item m="1" x="30"/>
        <item m="1" x="11"/>
        <item x="3"/>
        <item m="1" x="14"/>
        <item x="6"/>
        <item x="2"/>
        <item x="1"/>
        <item x="4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3"/>
  </rowFields>
  <rowItems count="12">
    <i>
      <x/>
    </i>
    <i>
      <x v="18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1">
    <format dxfId="1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216E5-A58E-4025-9FE3-22BC1AEA4F62}" name="Tabela dinâ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9" rowHeaderCaption="DATA">
  <location ref="A29:B79" firstHeaderRow="1" firstDataRow="1" firstDataCol="1"/>
  <pivotFields count="11">
    <pivotField axis="axisRow"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7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2">
        <item x="0"/>
        <item m="1" x="27"/>
        <item m="1" x="25"/>
        <item m="1" x="18"/>
        <item m="1" x="28"/>
        <item m="1" x="21"/>
        <item m="1" x="26"/>
        <item x="1"/>
        <item x="10"/>
        <item x="4"/>
        <item x="8"/>
        <item m="1" x="15"/>
        <item x="2"/>
        <item m="1" x="17"/>
        <item m="1" x="14"/>
        <item m="1" x="12"/>
        <item m="1" x="13"/>
        <item m="1" x="20"/>
        <item m="1" x="22"/>
        <item x="3"/>
        <item x="7"/>
        <item m="1" x="24"/>
        <item m="1" x="23"/>
        <item x="6"/>
        <item m="1" x="16"/>
        <item m="1" x="19"/>
        <item m="1" x="29"/>
        <item x="9"/>
        <item x="5"/>
        <item m="1" x="30"/>
        <item m="1" x="11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0"/>
  </rowFields>
  <rowItems count="50"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1">
    <format dxfId="1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3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3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3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3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3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3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3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3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3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3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3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3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3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3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3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3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3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3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3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3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3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3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3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3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3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3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3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3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3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3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3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3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3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3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3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3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3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3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3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3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3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3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3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3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3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3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3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3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1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1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1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1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1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1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3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3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3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3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3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3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3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3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3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3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3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3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3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3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1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1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1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1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1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1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1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1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1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1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1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1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1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1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1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1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1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1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1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1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1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1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1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1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1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1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1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1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11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1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11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11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1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11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1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1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11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1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1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1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1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11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1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11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11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1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1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11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11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11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1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11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1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11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11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1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11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1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1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11" format="1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1" format="1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11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11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1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1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11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11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1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1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1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1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1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1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1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1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1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1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1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1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1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1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1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1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1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1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1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1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1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1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1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1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1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1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1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1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1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1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1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1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1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1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1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1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1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1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1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1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1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1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1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1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1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1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1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8" format="2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8BCC5-D2A2-4C87-AEC0-A5F2CDCF55AF}" name="Tabela dinâmica4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6">
  <location ref="A110:B12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oma de ITENS SEPARADOS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BB30C-2382-4944-87F7-C94506DBE3BA}" name="Tabela dinâmica3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3">
  <location ref="G92:H10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" showAll="0"/>
    <pivotField numFmtId="10" showAll="0"/>
  </pivotFields>
  <rowFields count="1">
    <field x="3"/>
  </rowFields>
  <rowItems count="12">
    <i>
      <x v="30"/>
    </i>
    <i>
      <x v="21"/>
    </i>
    <i>
      <x v="23"/>
    </i>
    <i>
      <x v="26"/>
    </i>
    <i>
      <x v="27"/>
    </i>
    <i>
      <x v="25"/>
    </i>
    <i>
      <x v="24"/>
    </i>
    <i>
      <x v="29"/>
    </i>
    <i>
      <x v="28"/>
    </i>
    <i>
      <x v="12"/>
    </i>
    <i>
      <x v="20"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1">
    <format dxfId="120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BC165-9E1F-4377-91F1-15A4C60232EA}" name="Tabela dinâmica5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69:A183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axis="axisRow" showAll="0">
      <items count="122">
        <item x="55"/>
        <item m="1" x="96"/>
        <item m="1" x="80"/>
        <item m="1" x="90"/>
        <item m="1" x="62"/>
        <item x="44"/>
        <item m="1" x="101"/>
        <item x="49"/>
        <item x="38"/>
        <item m="1" x="117"/>
        <item x="18"/>
        <item x="0"/>
        <item x="10"/>
        <item m="1" x="63"/>
        <item x="16"/>
        <item m="1" x="97"/>
        <item m="1" x="94"/>
        <item m="1" x="69"/>
        <item m="1" x="85"/>
        <item m="1" x="109"/>
        <item m="1" x="120"/>
        <item m="1" x="102"/>
        <item x="14"/>
        <item x="57"/>
        <item m="1" x="75"/>
        <item x="23"/>
        <item m="1" x="114"/>
        <item x="47"/>
        <item m="1" x="67"/>
        <item x="3"/>
        <item m="1" x="86"/>
        <item m="1" x="88"/>
        <item m="1" x="92"/>
        <item x="21"/>
        <item m="1" x="118"/>
        <item x="19"/>
        <item m="1" x="73"/>
        <item x="36"/>
        <item m="1" x="115"/>
        <item m="1" x="105"/>
        <item m="1" x="116"/>
        <item m="1" x="111"/>
        <item x="32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28"/>
        <item m="1" x="110"/>
        <item x="12"/>
        <item m="1" x="98"/>
        <item m="1" x="107"/>
        <item x="22"/>
        <item m="1" x="99"/>
        <item m="1" x="66"/>
        <item m="1" x="77"/>
        <item x="37"/>
        <item m="1" x="84"/>
        <item x="51"/>
        <item m="1" x="113"/>
        <item m="1" x="71"/>
        <item x="5"/>
        <item x="13"/>
        <item m="1" x="81"/>
        <item x="1"/>
        <item m="1" x="79"/>
        <item m="1" x="83"/>
        <item m="1" x="106"/>
        <item x="39"/>
        <item m="1" x="119"/>
        <item x="11"/>
        <item m="1" x="93"/>
        <item x="20"/>
        <item m="1" x="104"/>
        <item m="1" x="70"/>
        <item x="4"/>
        <item x="27"/>
        <item x="41"/>
        <item m="1" x="78"/>
        <item x="17"/>
        <item m="1" x="61"/>
        <item x="25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</pivotField>
    <pivotField showAll="0"/>
    <pivotField showAll="0"/>
    <pivotField axis="axisRow" showAll="0">
      <items count="12">
        <item x="2"/>
        <item x="1"/>
        <item x="5"/>
        <item h="1" x="0"/>
        <item x="3"/>
        <item m="1" x="9"/>
        <item h="1" m="1" x="8"/>
        <item h="1" m="1" x="10"/>
        <item h="1" m="1" x="7"/>
        <item h="1"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numFmtId="9" showAll="0"/>
    <pivotField showAll="0"/>
    <pivotField showAll="0"/>
  </pivotFields>
  <rowFields count="2">
    <field x="5"/>
    <field x="8"/>
  </rowFields>
  <rowItems count="14">
    <i>
      <x v="11"/>
    </i>
    <i r="1">
      <x v="1"/>
    </i>
    <i r="1">
      <x v="4"/>
    </i>
    <i>
      <x v="14"/>
    </i>
    <i r="1">
      <x v="1"/>
    </i>
    <i>
      <x v="35"/>
    </i>
    <i r="1">
      <x/>
    </i>
    <i>
      <x v="46"/>
    </i>
    <i r="1">
      <x/>
    </i>
    <i>
      <x v="59"/>
    </i>
    <i r="1">
      <x v="1"/>
    </i>
    <i>
      <x v="71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A7F5E-1DE9-4106-B43F-C06A753C6FB4}" name="Tabela dinâmica2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4">
  <location ref="A1:B24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 sortType="ascending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numFmtId="14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3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Soma de VOLUMES" fld="6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CB3E-6F43-4468-BEA3-D0035DFF493D}" name="Tabela dinâmica8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M83:M84" firstHeaderRow="1" firstDataRow="1" firstDataCol="0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APURACAO LT D+0" fld="13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58155-FBC4-4569-9194-4F7F0391DA73}" name="Tabela dinâ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5">
  <location ref="E1:F53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dataField="1" showAll="0" countASubtotal="1"/>
    <pivotField numFmtId="14" showAll="0"/>
    <pivotField axis="axisRow" showAll="0" sortType="ascending">
      <items count="122">
        <item m="1" x="90"/>
        <item m="1" x="101"/>
        <item m="1" x="63"/>
        <item m="1" x="94"/>
        <item m="1" x="67"/>
        <item m="1" x="86"/>
        <item m="1" x="88"/>
        <item m="1" x="92"/>
        <item m="1" x="118"/>
        <item m="1" x="73"/>
        <item m="1" x="115"/>
        <item m="1" x="105"/>
        <item m="1" x="108"/>
        <item m="1" x="76"/>
        <item m="1" x="82"/>
        <item m="1" x="65"/>
        <item m="1" x="110"/>
        <item m="1" x="107"/>
        <item m="1" x="99"/>
        <item m="1" x="84"/>
        <item m="1" x="113"/>
        <item m="1" x="71"/>
        <item m="1" x="81"/>
        <item m="1" x="106"/>
        <item m="1" x="119"/>
        <item m="1" x="93"/>
        <item m="1" x="70"/>
        <item m="1" x="83"/>
        <item m="1" x="109"/>
        <item m="1" x="114"/>
        <item m="1" x="80"/>
        <item m="1" x="61"/>
        <item m="1" x="78"/>
        <item m="1" x="75"/>
        <item m="1" x="89"/>
        <item m="1" x="62"/>
        <item m="1" x="77"/>
        <item m="1" x="85"/>
        <item x="5"/>
        <item x="17"/>
        <item x="4"/>
        <item x="39"/>
        <item m="1" x="97"/>
        <item x="10"/>
        <item m="1" x="69"/>
        <item x="21"/>
        <item x="3"/>
        <item x="12"/>
        <item x="16"/>
        <item x="20"/>
        <item x="0"/>
        <item x="1"/>
        <item x="11"/>
        <item m="1" x="104"/>
        <item m="1" x="60"/>
        <item x="22"/>
        <item x="51"/>
        <item x="32"/>
        <item x="25"/>
        <item x="23"/>
        <item x="19"/>
        <item x="36"/>
        <item x="31"/>
        <item x="37"/>
        <item x="44"/>
        <item x="47"/>
        <item x="6"/>
        <item m="1" x="111"/>
        <item m="1" x="87"/>
        <item m="1" x="116"/>
        <item x="18"/>
        <item m="1" x="120"/>
        <item x="2"/>
        <item m="1" x="102"/>
        <item x="27"/>
        <item m="1" x="96"/>
        <item x="14"/>
        <item x="55"/>
        <item x="56"/>
        <item m="1" x="66"/>
        <item x="28"/>
        <item x="13"/>
        <item x="38"/>
        <item m="1" x="79"/>
        <item x="41"/>
        <item m="1" x="117"/>
        <item x="57"/>
        <item x="49"/>
        <item m="1" x="98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2">
    <i>
      <x v="87"/>
    </i>
    <i>
      <x v="120"/>
    </i>
    <i>
      <x v="90"/>
    </i>
    <i>
      <x v="58"/>
    </i>
    <i>
      <x v="92"/>
    </i>
    <i>
      <x v="77"/>
    </i>
    <i>
      <x v="95"/>
    </i>
    <i>
      <x v="81"/>
    </i>
    <i>
      <x v="103"/>
    </i>
    <i>
      <x v="86"/>
    </i>
    <i>
      <x v="104"/>
    </i>
    <i>
      <x v="74"/>
    </i>
    <i>
      <x v="107"/>
    </i>
    <i>
      <x v="84"/>
    </i>
    <i>
      <x v="113"/>
    </i>
    <i>
      <x v="78"/>
    </i>
    <i>
      <x v="117"/>
    </i>
    <i>
      <x v="41"/>
    </i>
    <i>
      <x v="118"/>
    </i>
    <i>
      <x v="72"/>
    </i>
    <i>
      <x v="82"/>
    </i>
    <i>
      <x v="99"/>
    </i>
    <i>
      <x v="65"/>
    </i>
    <i>
      <x v="112"/>
    </i>
    <i>
      <x v="116"/>
    </i>
    <i>
      <x v="114"/>
    </i>
    <i>
      <x v="119"/>
    </i>
    <i>
      <x v="66"/>
    </i>
    <i>
      <x v="60"/>
    </i>
    <i>
      <x v="56"/>
    </i>
    <i>
      <x v="47"/>
    </i>
    <i>
      <x v="91"/>
    </i>
    <i>
      <x v="64"/>
    </i>
    <i>
      <x v="52"/>
    </i>
    <i>
      <x v="70"/>
    </i>
    <i>
      <x v="80"/>
    </i>
    <i>
      <x v="49"/>
    </i>
    <i>
      <x v="43"/>
    </i>
    <i>
      <x v="39"/>
    </i>
    <i>
      <x v="40"/>
    </i>
    <i>
      <x v="59"/>
    </i>
    <i>
      <x v="62"/>
    </i>
    <i>
      <x v="61"/>
    </i>
    <i>
      <x v="57"/>
    </i>
    <i>
      <x v="48"/>
    </i>
    <i>
      <x v="55"/>
    </i>
    <i>
      <x v="46"/>
    </i>
    <i>
      <x v="38"/>
    </i>
    <i>
      <x v="45"/>
    </i>
    <i>
      <x v="51"/>
    </i>
    <i>
      <x v="50"/>
    </i>
    <i t="grand">
      <x/>
    </i>
  </rowItems>
  <colItems count="1">
    <i/>
  </colItems>
  <dataFields count="1">
    <dataField name="Contagem de N° PEDIDO COMPRA" fld="3" subtotal="count" baseField="1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275A3-AC87-4C54-8211-7F8315E2D455}" name="Tabela dinâmica6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C98:D150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axis="axisRow" showAll="0">
      <items count="122">
        <item m="1" x="90"/>
        <item m="1" x="101"/>
        <item m="1" x="63"/>
        <item m="1" x="94"/>
        <item m="1" x="67"/>
        <item m="1" x="86"/>
        <item m="1" x="88"/>
        <item m="1" x="92"/>
        <item m="1" x="118"/>
        <item m="1" x="73"/>
        <item m="1" x="115"/>
        <item m="1" x="105"/>
        <item m="1" x="108"/>
        <item m="1" x="76"/>
        <item m="1" x="82"/>
        <item m="1" x="65"/>
        <item m="1" x="110"/>
        <item m="1" x="107"/>
        <item m="1" x="99"/>
        <item m="1" x="84"/>
        <item m="1" x="113"/>
        <item m="1" x="71"/>
        <item m="1" x="81"/>
        <item m="1" x="106"/>
        <item m="1" x="119"/>
        <item m="1" x="93"/>
        <item m="1" x="70"/>
        <item m="1" x="83"/>
        <item m="1" x="109"/>
        <item m="1" x="114"/>
        <item m="1" x="80"/>
        <item m="1" x="61"/>
        <item m="1" x="78"/>
        <item m="1" x="75"/>
        <item m="1" x="89"/>
        <item m="1" x="62"/>
        <item m="1" x="77"/>
        <item m="1" x="85"/>
        <item x="5"/>
        <item x="17"/>
        <item x="4"/>
        <item x="39"/>
        <item m="1" x="97"/>
        <item x="10"/>
        <item m="1" x="69"/>
        <item x="21"/>
        <item x="3"/>
        <item x="12"/>
        <item x="16"/>
        <item x="20"/>
        <item x="0"/>
        <item x="1"/>
        <item x="11"/>
        <item m="1" x="104"/>
        <item m="1" x="60"/>
        <item x="22"/>
        <item x="51"/>
        <item x="32"/>
        <item x="25"/>
        <item x="23"/>
        <item x="19"/>
        <item x="36"/>
        <item x="31"/>
        <item x="37"/>
        <item x="44"/>
        <item x="47"/>
        <item x="6"/>
        <item m="1" x="111"/>
        <item m="1" x="87"/>
        <item m="1" x="116"/>
        <item x="18"/>
        <item m="1" x="120"/>
        <item x="2"/>
        <item m="1" x="102"/>
        <item x="27"/>
        <item m="1" x="96"/>
        <item x="14"/>
        <item x="55"/>
        <item x="56"/>
        <item m="1" x="66"/>
        <item x="28"/>
        <item x="13"/>
        <item x="38"/>
        <item m="1" x="79"/>
        <item x="41"/>
        <item m="1" x="117"/>
        <item x="57"/>
        <item x="49"/>
        <item m="1" x="98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2">
    <i>
      <x v="38"/>
    </i>
    <i>
      <x v="39"/>
    </i>
    <i>
      <x v="40"/>
    </i>
    <i>
      <x v="41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70"/>
    </i>
    <i>
      <x v="72"/>
    </i>
    <i>
      <x v="74"/>
    </i>
    <i>
      <x v="77"/>
    </i>
    <i>
      <x v="78"/>
    </i>
    <i>
      <x v="80"/>
    </i>
    <i>
      <x v="81"/>
    </i>
    <i>
      <x v="82"/>
    </i>
    <i>
      <x v="84"/>
    </i>
    <i>
      <x v="86"/>
    </i>
    <i>
      <x v="87"/>
    </i>
    <i>
      <x v="90"/>
    </i>
    <i>
      <x v="91"/>
    </i>
    <i>
      <x v="92"/>
    </i>
    <i>
      <x v="95"/>
    </i>
    <i>
      <x v="99"/>
    </i>
    <i>
      <x v="103"/>
    </i>
    <i>
      <x v="104"/>
    </i>
    <i>
      <x v="107"/>
    </i>
    <i>
      <x v="112"/>
    </i>
    <i>
      <x v="113"/>
    </i>
    <i>
      <x v="114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dataFields count="1">
    <dataField name="Média de LEAD TIME DISPONIBILIZACAO" fld="10" subtotal="average" baseField="4" baseItem="47"/>
  </dataFields>
  <formats count="3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C9F94-5652-4440-A1C4-473E7086951E}" name="Tabela dinâmica7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J83:K287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axis="axisRow" dataField="1" showAll="0">
      <items count="303">
        <item x="4"/>
        <item x="3"/>
        <item x="90"/>
        <item x="18"/>
        <item x="44"/>
        <item x="7"/>
        <item x="12"/>
        <item x="8"/>
        <item x="1"/>
        <item x="15"/>
        <item x="13"/>
        <item x="11"/>
        <item x="6"/>
        <item x="23"/>
        <item x="5"/>
        <item x="14"/>
        <item x="24"/>
        <item x="41"/>
        <item x="33"/>
        <item x="0"/>
        <item x="47"/>
        <item x="16"/>
        <item x="10"/>
        <item x="9"/>
        <item x="2"/>
        <item x="26"/>
        <item x="27"/>
        <item x="25"/>
        <item x="45"/>
        <item x="19"/>
        <item x="36"/>
        <item x="17"/>
        <item x="22"/>
        <item x="21"/>
        <item x="48"/>
        <item x="38"/>
        <item x="20"/>
        <item x="29"/>
        <item x="37"/>
        <item x="50"/>
        <item x="28"/>
        <item x="39"/>
        <item x="31"/>
        <item x="30"/>
        <item x="51"/>
        <item x="82"/>
        <item x="34"/>
        <item x="35"/>
        <item x="32"/>
        <item x="49"/>
        <item x="46"/>
        <item x="40"/>
        <item x="43"/>
        <item x="54"/>
        <item x="42"/>
        <item x="52"/>
        <item x="53"/>
        <item x="58"/>
        <item x="56"/>
        <item x="85"/>
        <item x="59"/>
        <item x="57"/>
        <item x="92"/>
        <item x="89"/>
        <item x="93"/>
        <item x="60"/>
        <item x="84"/>
        <item x="87"/>
        <item x="88"/>
        <item x="91"/>
        <item x="76"/>
        <item x="77"/>
        <item x="78"/>
        <item x="81"/>
        <item x="86"/>
        <item x="95"/>
        <item x="94"/>
        <item x="61"/>
        <item x="75"/>
        <item x="65"/>
        <item x="69"/>
        <item x="80"/>
        <item x="55"/>
        <item x="73"/>
        <item x="74"/>
        <item x="83"/>
        <item x="63"/>
        <item x="66"/>
        <item x="68"/>
        <item x="64"/>
        <item x="67"/>
        <item x="62"/>
        <item x="79"/>
        <item x="71"/>
        <item x="70"/>
        <item x="72"/>
        <item x="155"/>
        <item x="146"/>
        <item x="96"/>
        <item x="102"/>
        <item x="158"/>
        <item x="156"/>
        <item x="152"/>
        <item x="105"/>
        <item x="103"/>
        <item x="107"/>
        <item x="99"/>
        <item x="97"/>
        <item x="104"/>
        <item x="100"/>
        <item x="160"/>
        <item x="162"/>
        <item x="161"/>
        <item x="98"/>
        <item x="140"/>
        <item x="106"/>
        <item x="101"/>
        <item x="154"/>
        <item x="157"/>
        <item x="150"/>
        <item x="151"/>
        <item x="134"/>
        <item x="141"/>
        <item x="159"/>
        <item x="147"/>
        <item x="142"/>
        <item x="145"/>
        <item x="148"/>
        <item x="108"/>
        <item x="163"/>
        <item x="130"/>
        <item x="135"/>
        <item x="149"/>
        <item x="153"/>
        <item x="143"/>
        <item x="131"/>
        <item x="129"/>
        <item x="133"/>
        <item x="132"/>
        <item x="136"/>
        <item x="139"/>
        <item x="117"/>
        <item x="138"/>
        <item x="207"/>
        <item x="119"/>
        <item x="200"/>
        <item x="128"/>
        <item x="144"/>
        <item x="137"/>
        <item x="126"/>
        <item x="118"/>
        <item x="112"/>
        <item x="124"/>
        <item x="116"/>
        <item x="120"/>
        <item x="197"/>
        <item x="115"/>
        <item x="127"/>
        <item x="178"/>
        <item x="122"/>
        <item x="167"/>
        <item x="123"/>
        <item x="121"/>
        <item x="110"/>
        <item x="166"/>
        <item x="125"/>
        <item x="113"/>
        <item x="171"/>
        <item x="114"/>
        <item x="168"/>
        <item x="169"/>
        <item x="202"/>
        <item x="177"/>
        <item x="173"/>
        <item x="174"/>
        <item x="164"/>
        <item x="165"/>
        <item x="111"/>
        <item x="109"/>
        <item x="170"/>
        <item x="172"/>
        <item x="184"/>
        <item x="188"/>
        <item x="180"/>
        <item x="186"/>
        <item x="185"/>
        <item x="182"/>
        <item x="176"/>
        <item x="175"/>
        <item x="183"/>
        <item x="189"/>
        <item x="210"/>
        <item x="204"/>
        <item x="181"/>
        <item x="196"/>
        <item x="212"/>
        <item x="179"/>
        <item x="194"/>
        <item x="192"/>
        <item x="195"/>
        <item x="208"/>
        <item x="199"/>
        <item x="187"/>
        <item x="190"/>
        <item x="206"/>
        <item x="191"/>
        <item x="193"/>
        <item x="203"/>
        <item x="198"/>
        <item x="209"/>
        <item x="211"/>
        <item x="201"/>
        <item x="205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umFmtId="14" showAll="0"/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04">
    <i>
      <x v="96"/>
    </i>
    <i>
      <x v="97"/>
    </i>
    <i>
      <x v="98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 t="grand">
      <x/>
    </i>
  </rowItems>
  <colItems count="1">
    <i/>
  </colItems>
  <dataFields count="1">
    <dataField name="Contagem de N° PEDIDO COMPRA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0219B-CF68-41D2-B459-A4F7338B5333}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:M24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dataField="1" numFmtId="9" showAll="0"/>
    <pivotField showAll="0"/>
    <pivotField showAll="0"/>
  </pivotFields>
  <rowFields count="1">
    <field x="4"/>
  </rowFields>
  <rowItems count="23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Média de ACURA.CONF" fld="20" subtotal="average" baseField="3" baseItem="0" numFmtId="9"/>
  </dataFields>
  <formats count="2">
    <format dxfId="21">
      <pivotArea outline="0" collapsedLevelsAreSubtotals="1" fieldPosition="0"/>
    </format>
    <format dxfId="2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54746-8DC0-4D95-B1ED-80683A732533}" name="Tabela dinâmica4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4">
  <location ref="I1:J24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numFmtId="14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3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Média de % SLA CONFORMIDADES" fld="16" subtotal="average" baseField="0" baseItem="175" numFmtId="9"/>
  </dataFields>
  <formats count="2">
    <format dxfId="23">
      <pivotArea outline="0" collapsedLevelsAreSubtotals="1" fieldPosition="0"/>
    </format>
    <format dxfId="22">
      <pivotArea grandRow="1" outline="0" collapsedLevelsAreSubtotals="1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PEDIDO" xr10:uid="{AD9608D6-7B3B-444A-B464-7F2CB08CEF15}" sourceName="DATA PEDIDO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122">
        <i x="30" s="1"/>
        <i x="29" s="1"/>
        <i x="20" s="1"/>
        <i x="22" s="1"/>
        <i x="21" s="1"/>
        <i x="23" s="1"/>
        <i x="31" s="1"/>
        <i x="24" s="1"/>
        <i x="28" s="1"/>
        <i x="26" s="1"/>
        <i x="27" s="1"/>
        <i x="25" s="1"/>
        <i x="32" s="1"/>
        <i x="33" s="1"/>
        <i x="34" s="1"/>
        <i x="35" s="1"/>
        <i x="36" s="1"/>
        <i x="37" s="1"/>
        <i x="39" s="1"/>
        <i x="38" s="1"/>
        <i x="41" s="1"/>
        <i x="40" s="1"/>
        <i x="42" s="1"/>
        <i x="45" s="1"/>
        <i x="43" s="1"/>
        <i x="44" s="1"/>
        <i x="46" s="1"/>
        <i x="47" s="1"/>
        <i x="48" s="1"/>
        <i x="49" s="1"/>
        <i x="19" s="1" nd="1"/>
        <i x="104" s="1" nd="1"/>
        <i x="64" s="1" nd="1"/>
        <i x="99" s="1" nd="1"/>
        <i x="79" s="1" nd="1"/>
        <i x="62" s="1" nd="1"/>
        <i x="118" s="1" nd="1"/>
        <i x="102" s="1" nd="1"/>
        <i x="100" s="1" nd="1"/>
        <i x="80" s="1" nd="1"/>
        <i x="63" s="1" nd="1"/>
        <i x="115" s="1" nd="1"/>
        <i x="97" s="1" nd="1"/>
        <i x="60" s="1" nd="1"/>
        <i x="113" s="1" nd="1"/>
        <i x="95" s="1" nd="1"/>
        <i x="76" s="1" nd="1"/>
        <i x="58" s="1" nd="1"/>
        <i x="111" s="1" nd="1"/>
        <i x="92" s="1" nd="1"/>
        <i x="74" s="1" nd="1"/>
        <i x="57" s="1" nd="1"/>
        <i x="110" s="1" nd="1"/>
        <i x="90" s="1" nd="1"/>
        <i x="72" s="1" nd="1"/>
        <i x="55" s="1" nd="1"/>
        <i x="108" s="1" nd="1"/>
        <i x="88" s="1" nd="1"/>
        <i x="71" s="1" nd="1"/>
        <i x="112" s="1" nd="1"/>
        <i x="94" s="1" nd="1"/>
        <i x="75" s="1" nd="1"/>
        <i x="91" s="1" nd="1"/>
        <i x="73" s="1" nd="1"/>
        <i x="56" s="1" nd="1"/>
        <i x="109" s="1" nd="1"/>
        <i x="89" s="1" nd="1"/>
        <i x="54" s="1" nd="1"/>
        <i x="107" s="1" nd="1"/>
        <i x="87" s="1" nd="1"/>
        <i x="70" s="1" nd="1"/>
        <i x="53" s="1" nd="1"/>
        <i x="106" s="1" nd="1"/>
        <i x="86" s="1" nd="1"/>
        <i x="69" s="1" nd="1"/>
        <i x="52" s="1" nd="1"/>
        <i x="105" s="1" nd="1"/>
        <i x="85" s="1" nd="1"/>
        <i x="51" s="1" nd="1"/>
        <i x="50" s="1" nd="1"/>
        <i x="120" s="1" nd="1"/>
        <i x="66" s="1" nd="1"/>
        <i x="82" s="1" nd="1"/>
        <i x="65" s="1" nd="1"/>
        <i x="116" s="1" nd="1"/>
        <i x="68" s="1" nd="1"/>
        <i x="121" s="1" nd="1"/>
        <i x="103" s="1" nd="1"/>
        <i x="84" s="1" nd="1"/>
        <i x="67" s="1" nd="1"/>
        <i x="119" s="1" nd="1"/>
        <i x="83" s="1" nd="1"/>
        <i x="11" s="1" nd="1"/>
        <i x="117" s="1" nd="1"/>
        <i x="101" s="1" nd="1"/>
        <i x="81" s="1" nd="1"/>
        <i x="98" s="1" nd="1"/>
        <i x="78" s="1" nd="1"/>
        <i x="61" s="1" nd="1"/>
        <i x="114" s="1" nd="1"/>
        <i x="96" s="1" nd="1"/>
        <i x="77" s="1" nd="1"/>
        <i x="59" s="1" nd="1"/>
        <i x="2" s="1" nd="1"/>
        <i x="93" s="1" nd="1"/>
        <i x="18" s="1" nd="1"/>
        <i x="4" s="1" nd="1"/>
        <i x="5" s="1" nd="1"/>
        <i x="1" s="1" nd="1"/>
        <i x="3" s="1" nd="1"/>
        <i x="0" s="1" nd="1"/>
        <i x="7" s="1" nd="1"/>
        <i x="6" s="1" nd="1"/>
        <i x="8" s="1" nd="1"/>
        <i x="9" s="1" nd="1"/>
        <i x="10" s="1" nd="1"/>
        <i x="13" s="1" nd="1"/>
        <i x="17" s="1" nd="1"/>
        <i x="12" s="1" nd="1"/>
        <i x="14" s="1" nd="1"/>
        <i x="15" s="1" nd="1"/>
        <i x="1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2CD6D05F-D19C-4E94-BDA9-48337F488C62}" sourceName="FORNECEDOR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121">
        <i x="55" s="1"/>
        <i x="26" s="1"/>
        <i x="45" s="1"/>
        <i x="9" s="1"/>
        <i x="50" s="1"/>
        <i x="44" s="1"/>
        <i x="49" s="1"/>
        <i x="38" s="1"/>
        <i x="24" s="1"/>
        <i x="18" s="1"/>
        <i x="0" s="1"/>
        <i x="10" s="1"/>
        <i x="16" s="1"/>
        <i x="33" s="1"/>
        <i x="57" s="1"/>
        <i x="23" s="1"/>
        <i x="47" s="1"/>
        <i x="3" s="1"/>
        <i x="21" s="1"/>
        <i x="19" s="1"/>
        <i x="36" s="1"/>
        <i x="46" s="1"/>
        <i x="32" s="1"/>
        <i x="54" s="1"/>
        <i x="6" s="1"/>
        <i x="31" s="1"/>
        <i x="2" s="1"/>
        <i x="56" s="1"/>
        <i x="28" s="1"/>
        <i x="53" s="1"/>
        <i x="12" s="1"/>
        <i x="52" s="1"/>
        <i x="22" s="1"/>
        <i x="40" s="1"/>
        <i x="51" s="1"/>
        <i x="5" s="1"/>
        <i x="13" s="1"/>
        <i x="1" s="1"/>
        <i x="58" s="1"/>
        <i x="42" s="1"/>
        <i x="39" s="1"/>
        <i x="11" s="1"/>
        <i x="20" s="1"/>
        <i x="34" s="1"/>
        <i x="4" s="1"/>
        <i x="43" s="1"/>
        <i x="27" s="1"/>
        <i x="41" s="1"/>
        <i x="17" s="1"/>
        <i x="25" s="1"/>
        <i x="48" s="1"/>
        <i x="96" s="1" nd="1"/>
        <i x="80" s="1" nd="1"/>
        <i x="90" s="1" nd="1"/>
        <i x="103" s="1" nd="1"/>
        <i x="62" s="1" nd="1"/>
        <i x="15" s="1" nd="1"/>
        <i x="35" s="1" nd="1"/>
        <i x="101" s="1" nd="1"/>
        <i x="29" s="1" nd="1"/>
        <i x="100" s="1" nd="1"/>
        <i x="117" s="1" nd="1"/>
        <i x="63" s="1" nd="1"/>
        <i x="97" s="1" nd="1"/>
        <i x="94" s="1" nd="1"/>
        <i x="69" s="1" nd="1"/>
        <i x="85" s="1" nd="1"/>
        <i x="109" s="1" nd="1"/>
        <i x="120" s="1" nd="1"/>
        <i x="102" s="1" nd="1"/>
        <i x="8" s="1" nd="1"/>
        <i x="14" s="1" nd="1"/>
        <i x="75" s="1" nd="1"/>
        <i x="95" s="1" nd="1"/>
        <i x="114" s="1" nd="1"/>
        <i x="67" s="1" nd="1"/>
        <i x="86" s="1" nd="1"/>
        <i x="74" s="1" nd="1"/>
        <i x="88" s="1" nd="1"/>
        <i x="92" s="1" nd="1"/>
        <i x="118" s="1" nd="1"/>
        <i x="73" s="1" nd="1"/>
        <i x="115" s="1" nd="1"/>
        <i x="105" s="1" nd="1"/>
        <i x="116" s="1" nd="1"/>
        <i x="111" s="1" nd="1"/>
        <i x="87" s="1" nd="1"/>
        <i x="108" s="1" nd="1"/>
        <i x="76" s="1" nd="1"/>
        <i x="82" s="1" nd="1"/>
        <i x="89" s="1" nd="1"/>
        <i x="65" s="1" nd="1"/>
        <i x="60" s="1" nd="1"/>
        <i x="30" s="1" nd="1"/>
        <i x="110" s="1" nd="1"/>
        <i x="98" s="1" nd="1"/>
        <i x="107" s="1" nd="1"/>
        <i x="99" s="1" nd="1"/>
        <i x="68" s="1" nd="1"/>
        <i x="66" s="1" nd="1"/>
        <i x="77" s="1" nd="1"/>
        <i x="37" s="1" nd="1"/>
        <i x="84" s="1" nd="1"/>
        <i x="113" s="1" nd="1"/>
        <i x="72" s="1" nd="1"/>
        <i x="71" s="1" nd="1"/>
        <i x="7" s="1" nd="1"/>
        <i x="81" s="1" nd="1"/>
        <i x="79" s="1" nd="1"/>
        <i x="83" s="1" nd="1"/>
        <i x="106" s="1" nd="1"/>
        <i x="112" s="1" nd="1"/>
        <i x="119" s="1" nd="1"/>
        <i x="93" s="1" nd="1"/>
        <i x="91" s="1" nd="1"/>
        <i x="64" s="1" nd="1"/>
        <i x="104" s="1" nd="1"/>
        <i x="70" s="1" nd="1"/>
        <i x="78" s="1" nd="1"/>
        <i x="61" s="1" nd="1"/>
        <i x="59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E0172C02-9AD1-43B2-AF6E-2D8CD9FA73BD}" sourceName="MÊS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6">
        <i x="0"/>
        <i x="1" s="1"/>
        <i x="2" nd="1"/>
        <i x="4" nd="1"/>
        <i x="3" nd="1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CD2E07B2-222B-48A2-AE7B-4BED9B5B7A1A}" sourceName="SEMANA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5">
        <i x="0" s="1"/>
        <i x="1" s="1"/>
        <i x="2" s="1"/>
        <i x="3" s="1"/>
        <i x="4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LABORADOR" xr10:uid="{2AEEC7B5-DD40-4CB7-8A9D-6CDD47FF3335}" sourceName="COLABORADOR">
  <pivotTables>
    <pivotTable tabId="16" name="Tabela dinâmica1"/>
    <pivotTable tabId="16" name="Tabela dinâmica10"/>
    <pivotTable tabId="16" name="Tabela dinâmica2"/>
    <pivotTable tabId="16" name="Tabela dinâmica3"/>
    <pivotTable tabId="16" name="Tabela dinâmica4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32">
        <i x="0" s="1"/>
        <i x="1" s="1"/>
        <i x="10" s="1"/>
        <i x="5" s="1"/>
        <i x="8" s="1"/>
        <i x="2" s="1"/>
        <i x="3" s="1"/>
        <i x="9" s="1"/>
        <i x="7" s="1"/>
        <i x="4" s="1"/>
        <i x="6" s="1"/>
        <i x="21" s="1" nd="1"/>
        <i x="15" s="1" nd="1"/>
        <i x="18" s="1" nd="1"/>
        <i x="25" s="1" nd="1"/>
        <i x="23" s="1" nd="1"/>
        <i x="27" s="1" nd="1"/>
        <i x="19" s="1" nd="1"/>
        <i x="14" s="1" nd="1"/>
        <i x="12" s="1" nd="1"/>
        <i x="11" s="1" nd="1"/>
        <i x="16" s="1" nd="1"/>
        <i x="22" s="1" nd="1"/>
        <i x="31" s="1" nd="1"/>
        <i x="17" s="1" nd="1"/>
        <i x="30" s="1" nd="1"/>
        <i x="20" s="1" nd="1"/>
        <i x="28" s="1" nd="1"/>
        <i x="13" s="1" nd="1"/>
        <i x="26" s="1" nd="1"/>
        <i x="24" s="1" nd="1"/>
        <i x="29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FC71E652-A016-46F9-9B60-FFCB298BAD1A}" sourceName="MÊS">
  <pivotTables>
    <pivotTable tabId="16" name="Tabela dinâmica4"/>
    <pivotTable tabId="16" name="Tabela dinâmica3"/>
    <pivotTable tabId="16" name="Tabela dinâmica1"/>
    <pivotTable tabId="16" name="Tabela dinâmica10"/>
    <pivotTable tabId="16" name="Tabela dinâmica2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14">
        <i x="1" s="1"/>
        <i x="0" s="1"/>
        <i x="3" s="1" nd="1"/>
        <i x="13" s="1" nd="1"/>
        <i x="4" s="1" nd="1"/>
        <i x="10" s="1" nd="1"/>
        <i x="8" s="1" nd="1"/>
        <i x="5" s="1" nd="1"/>
        <i x="12" s="1" nd="1"/>
        <i x="9" s="1" nd="1"/>
        <i x="7" s="1" nd="1"/>
        <i x="11" s="1" nd="1"/>
        <i x="6" s="1" nd="1"/>
        <i x="2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1" xr10:uid="{E53E7A13-4B1F-4231-AE89-7AB62F7309E5}" sourceName="SEMANA">
  <pivotTables>
    <pivotTable tabId="16" name="Tabela dinâmica1"/>
    <pivotTable tabId="16" name="Tabela dinâmica10"/>
    <pivotTable tabId="16" name="Tabela dinâmica2"/>
    <pivotTable tabId="16" name="Tabela dinâmica3"/>
    <pivotTable tabId="16" name="Tabela dinâmica4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4">
        <i x="0" s="1"/>
        <i x="1" s="1"/>
        <i x="2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" xr10:uid="{C30AC4B8-2BF2-4D01-9F57-DF0799755612}" sourceName="DATA">
  <pivotTables>
    <pivotTable tabId="16" name="Tabela dinâmica4"/>
    <pivotTable tabId="16" name="Tabela dinâmica1"/>
    <pivotTable tabId="16" name="Tabela dinâmica2"/>
    <pivotTable tabId="16" name="Tabela dinâmica3"/>
    <pivotTable tabId="16" name="Tabela dinâmica8"/>
    <pivotTable tabId="16" name="Tabela dinâmica5"/>
    <pivotTable tabId="16" name="Tabela dinâmica6"/>
    <pivotTable tabId="16" name="Tabela dinâmica7"/>
    <pivotTable tabId="16" name="Tabela dinâmica9"/>
  </pivotTables>
  <data>
    <tabular pivotCacheId="1966611143">
      <items count="14"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LABORADOR1" xr10:uid="{DAD7781A-4F82-4B96-93AF-B4C13919EE67}" sourceName="COLABORADOR">
  <pivotTables>
    <pivotTable tabId="18" name="Tabela dinâmica9"/>
    <pivotTable tabId="18" name="Tabela dinâmica8"/>
    <pivotTable tabId="18" name="Tabela dinâmica7"/>
    <pivotTable tabId="18" name="Tabela dinâmica6"/>
    <pivotTable tabId="18" name="Tabela dinâmica5"/>
    <pivotTable tabId="18" name="Tabela dinâmica4"/>
    <pivotTable tabId="18" name="Tabela dinâmica3"/>
    <pivotTable tabId="18" name="Tabela dinâmica1"/>
    <pivotTable tabId="18" name="Tabela dinâmica2"/>
  </pivotTables>
  <data>
    <tabular pivotCacheId="433932675">
      <items count="31">
        <i x="0" s="1"/>
        <i x="1" s="1"/>
        <i x="10" s="1"/>
        <i x="4" s="1"/>
        <i x="8" s="1"/>
        <i x="2" s="1"/>
        <i x="3" s="1"/>
        <i x="7" s="1"/>
        <i x="6" s="1"/>
        <i x="9" s="1"/>
        <i x="5" s="1"/>
        <i x="27" s="1" nd="1"/>
        <i x="25" s="1" nd="1"/>
        <i x="18" s="1" nd="1"/>
        <i x="28" s="1" nd="1"/>
        <i x="21" s="1" nd="1"/>
        <i x="26" s="1" nd="1"/>
        <i x="15" s="1" nd="1"/>
        <i x="17" s="1" nd="1"/>
        <i x="14" s="1" nd="1"/>
        <i x="12" s="1" nd="1"/>
        <i x="13" s="1" nd="1"/>
        <i x="20" s="1" nd="1"/>
        <i x="22" s="1" nd="1"/>
        <i x="24" s="1" nd="1"/>
        <i x="23" s="1" nd="1"/>
        <i x="16" s="1" nd="1"/>
        <i x="19" s="1" nd="1"/>
        <i x="29" s="1" nd="1"/>
        <i x="30" s="1" nd="1"/>
        <i x="11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2" xr10:uid="{1715F969-0CFD-4C8E-9DBD-E8346F4F94A4}" sourceName="SEMANA">
  <pivotTables>
    <pivotTable tabId="18" name="Tabela dinâmica1"/>
    <pivotTable tabId="18" name="Tabela dinâmica2"/>
    <pivotTable tabId="18" name="Tabela dinâmica3"/>
    <pivotTable tabId="18" name="Tabela dinâmica4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4">
        <i x="0" s="1"/>
        <i x="1" s="1"/>
        <i x="2" s="1"/>
        <i x="3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2" xr10:uid="{1775CA9B-A711-4528-903E-36EAABD603CC}" sourceName="MÊS">
  <pivotTables>
    <pivotTable tabId="18" name="Tabela dinâmica1"/>
    <pivotTable tabId="18" name="Tabela dinâmica2"/>
    <pivotTable tabId="18" name="Tabela dinâmica3"/>
    <pivotTable tabId="18" name="Tabela dinâmica4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3">
        <i x="1" s="1"/>
        <i x="0" s="1"/>
        <i x="2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1" xr10:uid="{4CEF8B81-C984-46CA-A3CA-CF11C62AA274}" sourceName="DATA">
  <pivotTables>
    <pivotTable tabId="18" name="Tabela dinâmica4"/>
    <pivotTable tabId="18" name="Tabela dinâmica1"/>
    <pivotTable tabId="18" name="Tabela dinâmica2"/>
    <pivotTable tabId="18" name="Tabela dinâmica3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19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188" s="1" nd="1"/>
        <i x="149" s="1" nd="1"/>
        <i x="112" s="1" nd="1"/>
        <i x="74" s="1" nd="1"/>
        <i x="183" s="1" nd="1"/>
        <i x="146" s="1" nd="1"/>
        <i x="70" s="1" nd="1"/>
        <i x="180" s="1" nd="1"/>
        <i x="142" s="1" nd="1"/>
        <i x="106" s="1" nd="1"/>
        <i x="66" s="1" nd="1"/>
        <i x="177" s="1" nd="1"/>
        <i x="103" s="1" nd="1"/>
        <i x="64" s="1" nd="1"/>
        <i x="173" s="1" nd="1"/>
        <i x="137" s="1" nd="1"/>
        <i x="99" s="1" nd="1"/>
        <i x="61" s="1" nd="1"/>
        <i x="134" s="1" nd="1"/>
        <i x="96" s="1" nd="1"/>
        <i x="127" s="1" nd="1"/>
        <i x="91" s="1" nd="1"/>
        <i x="164" s="1" nd="1"/>
        <i x="124" s="1" nd="1"/>
        <i x="88" s="1" nd="1"/>
        <i x="52" s="1" nd="1"/>
        <i x="161" s="1" nd="1"/>
        <i x="122" s="1" nd="1"/>
        <i x="49" s="1" nd="1"/>
        <i x="158" s="1" nd="1"/>
        <i x="120" s="1" nd="1"/>
        <i x="84" s="1" nd="1"/>
        <i x="195" s="1" nd="1"/>
        <i x="156" s="1" nd="1"/>
        <i x="81" s="1" nd="1"/>
        <i x="192" s="1" nd="1"/>
        <i x="152" s="1" nd="1"/>
        <i x="116" s="1" nd="1"/>
        <i x="77" s="1" nd="1"/>
        <i x="187" s="1" nd="1"/>
        <i x="111" s="1" nd="1"/>
        <i x="73" s="1" nd="1"/>
        <i x="182" s="1" nd="1"/>
        <i x="145" s="1" nd="1"/>
        <i x="108" s="1" nd="1"/>
        <i x="69" s="1" nd="1"/>
        <i x="154" s="1" nd="1"/>
        <i x="117" s="1" nd="1"/>
        <i x="79" s="1" nd="1"/>
        <i x="190" s="1" nd="1"/>
        <i x="151" s="1" nd="1"/>
        <i x="114" s="1" nd="1"/>
        <i x="185" s="1" nd="1"/>
        <i x="147" s="1" nd="1"/>
        <i x="109" s="1" nd="1"/>
        <i x="71" s="1" nd="1"/>
        <i x="181" s="1" nd="1"/>
        <i x="143" s="1" nd="1"/>
        <i x="67" s="1" nd="1"/>
        <i x="178" s="1" nd="1"/>
        <i x="140" s="1" nd="1"/>
        <i x="104" s="1" nd="1"/>
        <i x="65" s="1" nd="1"/>
        <i x="174" s="1" nd="1"/>
        <i x="100" s="1" nd="1"/>
        <i x="62" s="1" nd="1"/>
        <i x="171" s="1" nd="1"/>
        <i x="135" s="1" nd="1"/>
        <i x="97" s="1" nd="1"/>
        <i x="58" s="1" nd="1"/>
        <i x="131" s="1" nd="1"/>
        <i x="94" s="1" nd="1"/>
        <i x="176" s="1" nd="1"/>
        <i x="139" s="1" nd="1"/>
        <i x="102" s="1" nd="1"/>
        <i x="63" s="1" nd="1"/>
        <i x="136" s="1" nd="1"/>
        <i x="98" s="1" nd="1"/>
        <i x="60" s="1" nd="1"/>
        <i x="170" s="1" nd="1"/>
        <i x="133" s="1" nd="1"/>
        <i x="95" s="1" nd="1"/>
        <i x="168" s="1" nd="1"/>
        <i x="130" s="1" nd="1"/>
        <i x="93" s="1" nd="1"/>
        <i x="57" s="1" nd="1"/>
        <i x="167" s="1" nd="1"/>
        <i x="129" s="1" nd="1"/>
        <i x="55" s="1" nd="1"/>
        <i x="166" s="1" nd="1"/>
        <i x="126" s="1" nd="1"/>
        <i x="90" s="1" nd="1"/>
        <i x="53" s="1" nd="1"/>
        <i x="163" s="1" nd="1"/>
        <i x="87" s="1" nd="1"/>
        <i x="51" s="1" nd="1"/>
        <i x="160" s="1" nd="1"/>
        <i x="121" s="1" nd="1"/>
        <i x="85" s="1" nd="1"/>
        <i x="56" s="1" nd="1"/>
        <i x="128" s="1" nd="1"/>
        <i x="92" s="1" nd="1"/>
        <i x="54" s="1" nd="1"/>
        <i x="165" s="1" nd="1"/>
        <i x="125" s="1" nd="1"/>
        <i x="89" s="1" nd="1"/>
        <i x="162" s="1" nd="1"/>
        <i x="123" s="1" nd="1"/>
        <i x="86" s="1" nd="1"/>
        <i x="50" s="1" nd="1"/>
        <i x="159" s="1" nd="1"/>
        <i x="196" s="1" nd="1"/>
        <i x="157" s="1" nd="1"/>
        <i x="119" s="1" nd="1"/>
        <i x="82" s="1" nd="1"/>
        <i x="193" s="1" nd="1"/>
        <i x="153" s="1" nd="1"/>
        <i x="78" s="1" nd="1"/>
        <i x="189" s="1" nd="1"/>
        <i x="150" s="1" nd="1"/>
        <i x="113" s="1" nd="1"/>
        <i x="75" s="1" nd="1"/>
        <i x="184" s="1" nd="1"/>
        <i x="83" s="1" nd="1"/>
        <i x="194" s="1" nd="1"/>
        <i x="155" s="1" nd="1"/>
        <i x="118" s="1" nd="1"/>
        <i x="80" s="1" nd="1"/>
        <i x="191" s="1" nd="1"/>
        <i x="115" s="1" nd="1"/>
        <i x="76" s="1" nd="1"/>
        <i x="186" s="1" nd="1"/>
        <i x="148" s="1" nd="1"/>
        <i x="110" s="1" nd="1"/>
        <i x="72" s="1" nd="1"/>
        <i x="144" s="1" nd="1"/>
        <i x="107" s="1" nd="1"/>
        <i x="68" s="1" nd="1"/>
        <i x="179" s="1" nd="1"/>
        <i x="141" s="1" nd="1"/>
        <i x="105" s="1" nd="1"/>
        <i x="175" s="1" nd="1"/>
        <i x="138" s="1" nd="1"/>
        <i x="101" s="1" nd="1"/>
        <i x="172" s="1" nd="1"/>
        <i x="59" s="1" nd="1"/>
        <i x="169" s="1" nd="1"/>
        <i x="132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0A1C9D2C-DEC9-4486-BDB3-0CEB18AB76C4}" sourceName="EQUIPE">
  <pivotTables>
    <pivotTable tabId="21" name="Tabela dinâmica1"/>
    <pivotTable tabId="21" name="Tabela dinâmica2"/>
    <pivotTable tabId="21" name="Tabela dinâmica4"/>
  </pivotTables>
  <data>
    <tabular pivotCacheId="491604599">
      <items count="4">
        <i x="3" s="1"/>
        <i x="1" s="1"/>
        <i x="2" s="1"/>
        <i x="0" s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3" xr10:uid="{D0FCBCCF-7EB7-4A98-AC63-86901109D62B}" sourceName="MÊS">
  <pivotTables>
    <pivotTable tabId="21" name="Tabela dinâmica1"/>
    <pivotTable tabId="21" name="Tabela dinâmica2"/>
    <pivotTable tabId="21" name="Tabela dinâmica4"/>
  </pivotTables>
  <data>
    <tabular pivotCacheId="491604599">
      <items count="2">
        <i x="0" s="1"/>
        <i x="1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72F98366-1C23-45BD-B8CA-E79BA4D309AC}" sourceName="VENDEDOR">
  <pivotTables>
    <pivotTable tabId="21" name="Tabela dinâmica1"/>
    <pivotTable tabId="21" name="Tabela dinâmica2"/>
    <pivotTable tabId="21" name="Tabela dinâmica4"/>
  </pivotTables>
  <data>
    <tabular pivotCacheId="491604599">
      <items count="13">
        <i x="2" s="1"/>
        <i x="1" s="1"/>
        <i x="8" s="1"/>
        <i x="5" s="1"/>
        <i x="4" s="1"/>
        <i x="0" s="1"/>
        <i x="3" s="1"/>
        <i x="12" s="1"/>
        <i x="10" s="1"/>
        <i x="7" s="1"/>
        <i x="11" s="1"/>
        <i x="6" s="1"/>
        <i x="9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4" xr10:uid="{8FE7F4AA-B629-49F5-BC96-03D065B34290}" sourceName="MÊS">
  <pivotTables>
    <pivotTable tabId="31" name="Tabela dinâmica6"/>
    <pivotTable tabId="31" name="Tabela dinâmica7"/>
    <pivotTable tabId="31" name="Tabela dinâmica8"/>
    <pivotTable tabId="31" name="Tabela dinâmica9"/>
    <pivotTable tabId="31" name="Tabela dinâmica10"/>
  </pivotTables>
  <data>
    <tabular pivotCacheId="988929219">
      <items count="2">
        <i x="0" s="1"/>
        <i x="1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5" xr10:uid="{AEE1CFBF-487E-496C-B53D-5FC120A25394}" sourceName="MÊS">
  <pivotTables>
    <pivotTable tabId="31" name="Tabela dinâmica1"/>
    <pivotTable tabId="31" name="Tabela dinâmica2"/>
    <pivotTable tabId="31" name="Tabela dinâmica3"/>
    <pivotTable tabId="31" name="Tabela dinâmica4"/>
    <pivotTable tabId="31" name="Tabela dinâmica5"/>
  </pivotTables>
  <data>
    <tabular pivotCacheId="1895497057">
      <items count="2">
        <i x="0" s="1"/>
        <i x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T" xr10:uid="{D92ECCA9-AFDD-433D-8396-B0FDCC082550}" sourceName="DEPT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T1" xr10:uid="{12B84F6F-25EF-451F-B0D2-81734B73E4CC}" sourceName="DEPT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ÁFICO" xr10:uid="{CB5A73F6-7C5E-4BFF-8467-C9B67A7FD8EE}" sourceName="GRÁFICO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CDE8D283-44F9-403F-B3FE-0C1AC6247880}" sourceName="VENDEDOR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 1" xr10:uid="{793B542D-CDB6-4AE6-AFC1-96C48F643E73}" cache="SegmentaçãodeDados_DEPT1" caption="DEP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PEDIDO" xr10:uid="{54B624F7-DC50-4172-A1BD-5B7558161118}" cache="SegmentaçãodeDados_DATA_PEDIDO" caption="DATA PEDIDO" startItem="12" rowHeight="241300"/>
  <slicer name="FORNECEDOR" xr10:uid="{640ADB5F-E619-4584-9949-3463D9070858}" cache="SegmentaçãodeDados_FORNECEDOR" caption="FORNECEDOR" startItem="11" rowHeight="241300"/>
  <slicer name="MÊS" xr10:uid="{079E180E-5E04-4C39-BD2C-45C7689291DF}" cache="SegmentaçãodeDados_MÊS" caption="MÊS" rowHeight="241300"/>
  <slicer name="SEMANA" xr10:uid="{AA53F2AB-0FC9-4E45-BBE3-225D0050DC8A}" cache="SegmentaçãodeDados_SEMANA" caption="SEMANA" startItem="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 1" xr10:uid="{828175C6-42FC-4191-940F-51317BD5379D}" cache="SegmentaçãodeDados_COLABORADOR" caption="COLABORADOR" rowHeight="241300"/>
  <slicer name="MÊS 1" xr10:uid="{041AE86F-27EA-4C74-9110-403739B0BF32}" cache="SegmentaçãodeDados_MÊS1" caption="MÊS" rowHeight="241300"/>
  <slicer name="SEMANA 1" xr10:uid="{7BFA21CD-6B4D-4ED5-B919-FF2E179B52A9}" cache="SegmentaçãodeDados_SEMANA1" caption="SEMANA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 2" xr10:uid="{9FF6393D-351F-4A13-80A6-8FFCBDF103FF}" cache="SegmentaçãodeDados_COLABORADOR1" caption="COLABORADOR" rowHeight="241300"/>
  <slicer name="SEMANA 2" xr10:uid="{5F04C0E2-DF1A-43C3-86A0-C089B7FFFA8B}" cache="SegmentaçãodeDados_SEMANA2" caption="SEMANA" rowHeight="241300"/>
  <slicer name="MÊS 3" xr10:uid="{27A4DA00-7625-4A45-A7EA-3C6D3F981AFD}" cache="SegmentaçãodeDados_MÊS2" caption="MÊS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908BD6E8-018F-4BAD-9FF3-B45F99E609AB}" cache="SegmentaçãodeDados_EQUIPE" caption="EQUIPE" rowHeight="241300"/>
  <slicer name="MÊS 4" xr10:uid="{3987A112-4335-4891-921B-4182608D454C}" cache="SegmentaçãodeDados_MÊS3" caption="MÊS" rowHeight="241300"/>
  <slicer name="VENDEDOR" xr10:uid="{A0AC6CEC-1241-41D2-B9D0-2DF1BB4097E3}" cache="SegmentaçãodeDados_VENDEDOR" caption="VENDEDOR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5" xr10:uid="{BE6BD93A-9F6B-44FA-A9F1-C724A1AFAB08}" cache="SegmentaçãodeDados_MÊS4" caption="MÊS" rowHeight="241300"/>
  <slicer name="MÊS 6" xr10:uid="{D72F659E-EF65-4F39-B290-B9C1C3A7A04D}" cache="SegmentaçãodeDados_MÊS5" caption="MÊS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" xr10:uid="{04A95C9F-E4C1-44F1-AA5C-3B34DBD5966F}" cache="SegmentaçãodeDados_DEPT" caption="DEPT" rowHeight="241300"/>
  <slicer name="GRÁFICO" xr10:uid="{1EB52758-58A5-4BED-865D-80A92CE662F1}" cache="SegmentaçãodeDados_GRÁFICO" caption="GRÁFICO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C4833D97-513D-4A07-89E2-66BF6A1034CD}" cache="SegmentaçãodeDados_VENDEDOR1" caption="VENDEDOR" startItem="5" rowHeight="24130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6793E43D-862B-452E-9308-D3B284635CD0}" cache="SegmentaçãodeDados_MÊS1" caption="MÊS" rowHeight="241300"/>
  <slicer name="DATA" xr10:uid="{B546EB57-968C-4CDF-B6C0-5D44B01148DB}" cache="SegmentaçãodeDados_DATA1" caption="DATA" rowHeight="241300"/>
  <slicer name="DATA 1" xr10:uid="{B6E06631-7667-435B-90F7-B72906B2BEB8}" cache="SegmentaçãodeDados_DATA1" caption="DATA" startItem="6" rowHeight="241300"/>
  <slicer name="DATA 2" xr10:uid="{E09015DB-E35A-4E7B-90BF-CFE7E8C56FAA}" cache="SegmentaçãodeDados_DATA1" caption="DATA" rowHeight="241300"/>
  <slicer name="DATA 4" xr10:uid="{D6E45902-513D-4972-9BDC-051CDFE8CB44}" cache="SegmentaçãodeDados_DATA1" caption="DATA" rowHeight="241300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" xr10:uid="{0D15A1EE-2BAD-4C3B-92E6-A142F052FF44}" cache="SegmentaçãodeDados_COLABORADOR1" caption="COLABORADOR" rowHeight="241300"/>
  <slicer name="DATA 3" xr10:uid="{96CD559D-0966-4579-83DF-8869B25F6772}" cache="SegmentaçãodeDados_DATA11" caption="DATA" rowHeight="241300"/>
  <slicer name="DATA 5" xr10:uid="{220352A5-C687-4C4E-9D0E-B254DDF4F889}" cache="SegmentaçãodeDados_DATA11" caption="DATA" rowHeight="241300"/>
  <slicer name="DATA 6" xr10:uid="{D2EC0FDC-F6AE-4351-A6F0-F8FF3C8BAFC3}" cache="SegmentaçãodeDados_DATA11" caption="DATA" startItem="7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72BD62-67B1-46EF-8D41-30B25C68D619}" name="Tabela15" displayName="Tabela15" ref="A1:F93" totalsRowShown="0" headerRowDxfId="284">
  <autoFilter ref="A1:F93" xr:uid="{CE529D6A-F64B-4934-8B2D-9A3119A80EBE}"/>
  <tableColumns count="6">
    <tableColumn id="1" xr3:uid="{414A1A12-415A-4BD8-A221-DA99F54795CF}" name="DATA" dataDxfId="283">
      <calculatedColumnFormula>TODAY()</calculatedColumnFormula>
    </tableColumn>
    <tableColumn id="2" xr3:uid="{530DE679-C3E6-45BA-90CA-E7ED5E5F4108}" name="DEPT"/>
    <tableColumn id="3" xr3:uid="{E81ADEC4-C4C1-490C-8F52-0A5CEBE9E889}" name="INDICADOR"/>
    <tableColumn id="4" xr3:uid="{B283D73D-4059-4510-ABB5-99EF09426FCA}" name="PREVISTO" dataCellStyle="Moeda"/>
    <tableColumn id="5" xr3:uid="{05826AA9-EB07-4C5B-B90E-8B70B814D2B0}" name="REALIZADO" dataCellStyle="Moeda"/>
    <tableColumn id="6" xr3:uid="{34AA600C-560E-446F-A7BF-6C86AACA3675}" name="GRÁFICO"/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29D6A-F64B-4934-8B2D-9A3119A80EBE}" name="Tabela1" displayName="Tabela1" ref="A1:F90" totalsRowShown="0" headerRowDxfId="282">
  <autoFilter ref="A1:F90" xr:uid="{CE529D6A-F64B-4934-8B2D-9A3119A80EBE}">
    <filterColumn colId="1">
      <filters>
        <filter val="DP"/>
      </filters>
    </filterColumn>
  </autoFilter>
  <tableColumns count="6">
    <tableColumn id="1" xr3:uid="{1472C027-46B8-4875-B5CF-A72A78F36004}" name="DATA" dataDxfId="281">
      <calculatedColumnFormula>TODAY()</calculatedColumnFormula>
    </tableColumn>
    <tableColumn id="2" xr3:uid="{F65C923B-BFC7-460A-8BB3-66891A81CEE7}" name="DEPT"/>
    <tableColumn id="3" xr3:uid="{9776FC98-3FAA-4066-A2EE-46140C9145AC}" name="INDICADOR"/>
    <tableColumn id="4" xr3:uid="{3601B753-A35C-41F2-A5BF-F3C8F0B24750}" name="PREVISTO" dataCellStyle="Moeda"/>
    <tableColumn id="5" xr3:uid="{676C8FA3-62AD-48B1-8B03-E698803139A9}" name="REALIZADO" dataCellStyle="Moeda"/>
    <tableColumn id="6" xr3:uid="{74FA7636-53C6-4950-A272-6E77F74B6AE7}" name="GRÁFICO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527755-2635-4D7E-AF4C-6664C4809656}" name="Tabela3" displayName="Tabela3" ref="A2:G39" totalsRowShown="0">
  <autoFilter ref="A2:G39" xr:uid="{A0527755-2635-4D7E-AF4C-6664C4809656}"/>
  <tableColumns count="7">
    <tableColumn id="1" xr3:uid="{91266F35-AED6-4409-A3F2-E80ACA4DA87F}" name="MÊS"/>
    <tableColumn id="2" xr3:uid="{EED4A517-C550-4184-A8E7-7CD9F8DB0D4E}" name="INDICADOR"/>
    <tableColumn id="3" xr3:uid="{C8C2FDA0-2AC4-4F32-8B0E-C9D6CD6B4A39}" name="META"/>
    <tableColumn id="4" xr3:uid="{1492A62E-4751-4F05-A845-69C618777A94}" name="VALOR" dataDxfId="280"/>
    <tableColumn id="5" xr3:uid="{82A4F420-6972-4AB3-B612-14EFD4CA8E9D}" name="REPRES."/>
    <tableColumn id="6" xr3:uid="{D55AB746-ADB9-4DD0-BBB9-25316C5BD0F6}" name="ATING %"/>
    <tableColumn id="7" xr3:uid="{E4F84247-D3D0-4789-8EE7-5280751480CD}" name="OBSERVACOE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A89D9B-0D54-4EB4-B271-02E91842D529}" name="Tabela7" displayName="Tabela7" ref="U2:Y32" totalsRowShown="0" headerRowDxfId="279" tableBorderDxfId="278">
  <autoFilter ref="U2:Y32" xr:uid="{D8FD2139-1F62-45BE-AA9A-B97A51A81A33}"/>
  <tableColumns count="5">
    <tableColumn id="1" xr3:uid="{A02DCE80-25F9-4031-AF08-ED93B60B31F2}" name="MÊS" dataDxfId="277"/>
    <tableColumn id="2" xr3:uid="{C2137795-2A61-4217-9C9B-4B6F0765B9A5}" name="INDICADOR" dataDxfId="276"/>
    <tableColumn id="3" xr3:uid="{21418380-C15F-4F78-8A92-1587819AE5B6}" name="PREVISTO" dataDxfId="275" dataCellStyle="Moeda"/>
    <tableColumn id="4" xr3:uid="{43631A49-BF3E-4736-B0EF-CF644606D35D}" name="REALIZADO" dataDxfId="274" dataCellStyle="Moeda"/>
    <tableColumn id="5" xr3:uid="{6CD793D1-20D4-497C-8784-041B60AEE9CA}" name="PERCT %" dataDxfId="273">
      <calculatedColumnFormula>IFERROR(Tabela7[[#This Row],[REALIZADO]]/Tabela7[[#This Row],[PREVISTO]],0)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3D999B-997D-4909-9E09-51095B2C1304}" name="Tabela5" displayName="Tabela5" ref="P1:S14" totalsRowShown="0" headerRowDxfId="296" headerRowBorderDxfId="295" tableBorderDxfId="294" totalsRowBorderDxfId="293">
  <autoFilter ref="P1:S14" xr:uid="{287EC3E8-BBF0-4CCB-BE05-2CC598D0CC9C}"/>
  <tableColumns count="4">
    <tableColumn id="1" xr3:uid="{522B6685-53D6-4F3B-9ED4-CACF282B7E0F}" name="VENDEDOR" dataDxfId="292"/>
    <tableColumn id="2" xr3:uid="{2786EAC8-6316-4A30-AD34-40743B8CE0C9}" name="JANEIRO" dataDxfId="291"/>
    <tableColumn id="3" xr3:uid="{621F2FD1-E4D8-445A-B736-14F13431E0C0}" name="FEVEREIRO" dataDxfId="290"/>
    <tableColumn id="4" xr3:uid="{9A4648E3-6801-4DB2-BC2D-DC484EE2DAD6}" name="CRESCIMENTO" dataDxfId="289" dataCellStyle="Porcentagem">
      <calculatedColumnFormula>(R2-Q2)/Q2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74805B-6365-4A06-8BAA-04BF3C26BCAA}" name="Tabela6" displayName="Tabela6" ref="P36:S49" totalsRowShown="0">
  <autoFilter ref="P36:S49" xr:uid="{41EE3AB5-E324-4A0D-9427-32F176A427F5}"/>
  <sortState xmlns:xlrd2="http://schemas.microsoft.com/office/spreadsheetml/2017/richdata2" ref="P37:S49">
    <sortCondition descending="1" ref="S37"/>
  </sortState>
  <tableColumns count="4">
    <tableColumn id="1" xr3:uid="{1454DBA5-89D0-4C56-B7CB-84F957204289}" name="VENDEDOR" dataDxfId="288"/>
    <tableColumn id="2" xr3:uid="{0A0B82F6-D56F-43C9-8AF0-3A87630541BA}" name="JANEIRO" dataDxfId="287"/>
    <tableColumn id="3" xr3:uid="{ECB5B311-FB98-45C1-A6D1-7B29CE14F068}" name="FEVEREIRO" dataDxfId="286"/>
    <tableColumn id="4" xr3:uid="{1686C7F2-5164-4A3F-A50E-7F84195CDB6B}" name="CRESCIMENTO" dataDxfId="285" dataCellStyle="Porcentagem">
      <calculatedColumnFormula>IFERROR((Tabela6[[#This Row],[FEVEREIRO]]-Tabela6[[#This Row],[JANEIRO]])/Tabela6[[#This Row],[JANEIRO]],0)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046C8-FF57-4D00-897B-2490717F0131}" name="Tabela2" displayName="Tabela2" ref="A9:G35" totalsRowShown="0" headerRowDxfId="272" tableBorderDxfId="271">
  <autoFilter ref="A9:G35" xr:uid="{9295021C-149B-4EAD-8F9F-1B658D86C76E}"/>
  <tableColumns count="7">
    <tableColumn id="10" xr3:uid="{8DB56866-D5E3-4E78-A3EB-84C835A163E6}" name="EQUIPE" dataDxfId="270"/>
    <tableColumn id="1" xr3:uid="{C4F8A1C4-C26E-4433-A943-E4AB13639A59}" name="MÊS" dataDxfId="269"/>
    <tableColumn id="2" xr3:uid="{290F651F-8EA9-4EEF-8A8B-9BE808F2A8FB}" name="VENDEDOR" dataDxfId="268"/>
    <tableColumn id="3" xr3:uid="{DB4A8C62-D86C-4330-B7C8-9FE8DAD6A6D9}" name="FATURAMENTO" dataDxfId="267"/>
    <tableColumn id="6" xr3:uid="{52B512C3-C06F-4DA9-BF92-03BC00A15F1C}" name="NOVOS CADASTROS " dataDxfId="266"/>
    <tableColumn id="7" xr3:uid="{2E112153-D2E8-4896-9216-D5998581C572}" name="POSITIVADOS " dataDxfId="265"/>
    <tableColumn id="8" xr3:uid="{1747499D-F8CB-4045-969E-AEF0D958725F}" name="% POSITIVACAO MÊS" dataDxfId="264">
      <calculatedColumnFormula>IFERROR(Tabela2[[#This Row],[POSITIVADOS ]]/Tabela2[[#This Row],[NOVOS CADASTROS 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table" Target="../tables/table2.xml"/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13" Type="http://schemas.microsoft.com/office/2007/relationships/slicer" Target="../slicers/slicer9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12" Type="http://schemas.openxmlformats.org/officeDocument/2006/relationships/drawing" Target="../drawings/drawing1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rinterSettings" Target="../printerSettings/printerSettings6.bin"/><Relationship Id="rId5" Type="http://schemas.openxmlformats.org/officeDocument/2006/relationships/pivotTable" Target="../pivotTables/pivotTable19.xml"/><Relationship Id="rId10" Type="http://schemas.openxmlformats.org/officeDocument/2006/relationships/pivotTable" Target="../pivotTables/pivotTable24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12" Type="http://schemas.microsoft.com/office/2007/relationships/slicer" Target="../slicers/slicer10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11" Type="http://schemas.openxmlformats.org/officeDocument/2006/relationships/drawing" Target="../drawings/drawing16.xml"/><Relationship Id="rId5" Type="http://schemas.openxmlformats.org/officeDocument/2006/relationships/pivotTable" Target="../pivotTables/pivotTable29.xml"/><Relationship Id="rId10" Type="http://schemas.openxmlformats.org/officeDocument/2006/relationships/printerSettings" Target="../printerSettings/printerSettings7.bin"/><Relationship Id="rId4" Type="http://schemas.openxmlformats.org/officeDocument/2006/relationships/pivotTable" Target="../pivotTables/pivotTable28.xml"/><Relationship Id="rId9" Type="http://schemas.openxmlformats.org/officeDocument/2006/relationships/pivotTable" Target="../pivotTables/pivotTable3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1.xml"/><Relationship Id="rId3" Type="http://schemas.openxmlformats.org/officeDocument/2006/relationships/pivotTable" Target="../pivotTables/pivotTable36.xml"/><Relationship Id="rId7" Type="http://schemas.openxmlformats.org/officeDocument/2006/relationships/pivotTable" Target="../pivotTables/pivotTable40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openxmlformats.org/officeDocument/2006/relationships/pivotTable" Target="../pivotTables/pivotTable39.xml"/><Relationship Id="rId5" Type="http://schemas.openxmlformats.org/officeDocument/2006/relationships/pivotTable" Target="../pivotTables/pivotTable38.xml"/><Relationship Id="rId4" Type="http://schemas.openxmlformats.org/officeDocument/2006/relationships/pivotTable" Target="../pivotTables/pivotTable37.xml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0A69-F078-4BB6-B047-9C3682BA87CA}">
  <dimension ref="A1:F93"/>
  <sheetViews>
    <sheetView showGridLines="0" workbookViewId="0">
      <pane ySplit="1" topLeftCell="A68" activePane="bottomLeft" state="frozen"/>
      <selection activeCell="B85" sqref="B85"/>
      <selection pane="bottomLeft" activeCell="C84" sqref="C84"/>
    </sheetView>
  </sheetViews>
  <sheetFormatPr defaultRowHeight="14.3" x14ac:dyDescent="0.25"/>
  <cols>
    <col min="1" max="1" width="10.375" bestFit="1" customWidth="1"/>
    <col min="2" max="2" width="12" bestFit="1" customWidth="1"/>
    <col min="3" max="3" width="63.75" bestFit="1" customWidth="1"/>
    <col min="4" max="5" width="15.875" style="2" bestFit="1" customWidth="1"/>
    <col min="6" max="6" width="19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25">
      <c r="A2" s="1">
        <v>46071</v>
      </c>
      <c r="B2" t="s">
        <v>8</v>
      </c>
      <c r="C2" t="s">
        <v>6</v>
      </c>
      <c r="D2" s="2">
        <v>500000</v>
      </c>
      <c r="E2" s="2">
        <v>250000</v>
      </c>
      <c r="F2" t="s">
        <v>49</v>
      </c>
    </row>
    <row r="3" spans="1:6" x14ac:dyDescent="0.25">
      <c r="A3" s="1">
        <v>46071</v>
      </c>
      <c r="B3" t="s">
        <v>8</v>
      </c>
      <c r="C3" t="s">
        <v>13</v>
      </c>
      <c r="D3" s="2">
        <v>420000</v>
      </c>
      <c r="E3" s="2">
        <v>210000</v>
      </c>
      <c r="F3" t="s">
        <v>50</v>
      </c>
    </row>
    <row r="4" spans="1:6" x14ac:dyDescent="0.25">
      <c r="A4" s="1">
        <v>46071</v>
      </c>
      <c r="B4" t="s">
        <v>8</v>
      </c>
      <c r="C4" t="s">
        <v>14</v>
      </c>
      <c r="D4" s="2">
        <v>250000</v>
      </c>
      <c r="E4" s="2">
        <v>140000</v>
      </c>
      <c r="F4" t="s">
        <v>50</v>
      </c>
    </row>
    <row r="5" spans="1:6" x14ac:dyDescent="0.25">
      <c r="A5" s="1">
        <v>46071</v>
      </c>
      <c r="B5" t="s">
        <v>8</v>
      </c>
      <c r="C5" t="s">
        <v>15</v>
      </c>
      <c r="D5" s="2">
        <v>170000</v>
      </c>
      <c r="E5" s="2">
        <v>70000</v>
      </c>
      <c r="F5" t="s">
        <v>50</v>
      </c>
    </row>
    <row r="6" spans="1:6" x14ac:dyDescent="0.25">
      <c r="A6" s="1">
        <v>46071</v>
      </c>
      <c r="B6" t="s">
        <v>8</v>
      </c>
      <c r="C6" t="s">
        <v>16</v>
      </c>
      <c r="D6" s="2">
        <v>0.34</v>
      </c>
      <c r="E6" s="2">
        <v>0.28000000000000003</v>
      </c>
      <c r="F6" t="s">
        <v>51</v>
      </c>
    </row>
    <row r="7" spans="1:6" x14ac:dyDescent="0.25">
      <c r="A7" s="1">
        <v>46071</v>
      </c>
      <c r="B7" t="s">
        <v>8</v>
      </c>
      <c r="C7" t="s">
        <v>17</v>
      </c>
      <c r="D7" s="2">
        <v>90000</v>
      </c>
      <c r="E7" s="2">
        <v>35000</v>
      </c>
      <c r="F7" t="s">
        <v>50</v>
      </c>
    </row>
    <row r="8" spans="1:6" x14ac:dyDescent="0.25">
      <c r="A8" s="1">
        <v>46071</v>
      </c>
      <c r="B8" t="s">
        <v>8</v>
      </c>
      <c r="C8" t="s">
        <v>18</v>
      </c>
      <c r="D8" s="2">
        <v>60000</v>
      </c>
      <c r="E8" s="2">
        <v>22000</v>
      </c>
      <c r="F8" t="s">
        <v>50</v>
      </c>
    </row>
    <row r="9" spans="1:6" x14ac:dyDescent="0.25">
      <c r="A9" s="1">
        <v>46071</v>
      </c>
      <c r="B9" t="s">
        <v>8</v>
      </c>
      <c r="C9" t="s">
        <v>19</v>
      </c>
      <c r="D9" s="2">
        <v>0.12</v>
      </c>
      <c r="E9" s="2">
        <v>0.09</v>
      </c>
      <c r="F9" t="s">
        <v>52</v>
      </c>
    </row>
    <row r="10" spans="1:6" x14ac:dyDescent="0.25">
      <c r="A10" s="1">
        <v>46071</v>
      </c>
      <c r="B10" t="s">
        <v>8</v>
      </c>
      <c r="C10" t="s">
        <v>20</v>
      </c>
      <c r="D10" s="2">
        <v>300000</v>
      </c>
      <c r="E10" s="2">
        <v>310000</v>
      </c>
      <c r="F10" t="s">
        <v>53</v>
      </c>
    </row>
    <row r="11" spans="1:6" x14ac:dyDescent="0.25">
      <c r="A11" s="1">
        <v>46071</v>
      </c>
      <c r="B11" t="s">
        <v>8</v>
      </c>
      <c r="C11" t="s">
        <v>21</v>
      </c>
      <c r="D11" s="2">
        <v>0.45</v>
      </c>
      <c r="E11" s="2">
        <v>0.41</v>
      </c>
      <c r="F11" t="s">
        <v>52</v>
      </c>
    </row>
    <row r="12" spans="1:6" x14ac:dyDescent="0.25">
      <c r="A12" s="1">
        <v>46071</v>
      </c>
      <c r="B12" t="s">
        <v>8</v>
      </c>
      <c r="C12" t="s">
        <v>22</v>
      </c>
      <c r="D12" s="2">
        <v>18</v>
      </c>
      <c r="E12" s="2">
        <v>14.5</v>
      </c>
      <c r="F12" t="s">
        <v>50</v>
      </c>
    </row>
    <row r="13" spans="1:6" x14ac:dyDescent="0.25">
      <c r="A13" s="1">
        <v>46071</v>
      </c>
      <c r="B13" t="s">
        <v>8</v>
      </c>
      <c r="C13" t="s">
        <v>23</v>
      </c>
      <c r="D13" s="2">
        <v>1.8</v>
      </c>
      <c r="E13" s="2">
        <v>1.5</v>
      </c>
      <c r="F13" t="s">
        <v>7</v>
      </c>
    </row>
    <row r="14" spans="1:6" x14ac:dyDescent="0.25">
      <c r="A14" s="1">
        <v>46071</v>
      </c>
      <c r="B14" t="s">
        <v>8</v>
      </c>
      <c r="C14" t="s">
        <v>24</v>
      </c>
      <c r="D14" s="2">
        <v>1.2</v>
      </c>
      <c r="E14" s="2">
        <v>1</v>
      </c>
      <c r="F14" t="s">
        <v>7</v>
      </c>
    </row>
    <row r="15" spans="1:6" x14ac:dyDescent="0.25">
      <c r="A15" s="1">
        <v>46071</v>
      </c>
      <c r="B15" t="s">
        <v>8</v>
      </c>
      <c r="C15" t="s">
        <v>25</v>
      </c>
      <c r="D15" s="2">
        <v>0.45</v>
      </c>
      <c r="E15" s="2">
        <v>0.38</v>
      </c>
      <c r="F15" t="s">
        <v>7</v>
      </c>
    </row>
    <row r="16" spans="1:6" x14ac:dyDescent="0.25">
      <c r="A16" s="1">
        <v>46071</v>
      </c>
      <c r="B16" t="s">
        <v>8</v>
      </c>
      <c r="C16" t="s">
        <v>26</v>
      </c>
      <c r="D16" s="2">
        <v>0.55000000000000004</v>
      </c>
      <c r="E16" s="2">
        <v>0.6</v>
      </c>
      <c r="F16" t="s">
        <v>52</v>
      </c>
    </row>
    <row r="17" spans="1:6" x14ac:dyDescent="0.25">
      <c r="A17" s="1">
        <v>46071</v>
      </c>
      <c r="B17" t="s">
        <v>8</v>
      </c>
      <c r="C17" t="s">
        <v>27</v>
      </c>
      <c r="D17" s="2" t="s">
        <v>54</v>
      </c>
      <c r="E17" s="2" t="s">
        <v>55</v>
      </c>
      <c r="F17" t="s">
        <v>56</v>
      </c>
    </row>
    <row r="18" spans="1:6" x14ac:dyDescent="0.25">
      <c r="A18" s="1">
        <v>46071</v>
      </c>
      <c r="B18" t="s">
        <v>8</v>
      </c>
      <c r="C18" t="s">
        <v>28</v>
      </c>
      <c r="D18" s="2">
        <v>2.1</v>
      </c>
      <c r="E18" s="2">
        <v>2.4</v>
      </c>
      <c r="F18" t="s">
        <v>53</v>
      </c>
    </row>
    <row r="19" spans="1:6" x14ac:dyDescent="0.25">
      <c r="A19" s="1">
        <v>46071</v>
      </c>
      <c r="B19" t="s">
        <v>8</v>
      </c>
      <c r="C19" t="s">
        <v>29</v>
      </c>
      <c r="D19" s="2" t="s">
        <v>57</v>
      </c>
      <c r="E19" s="2" t="s">
        <v>58</v>
      </c>
      <c r="F19" t="s">
        <v>53</v>
      </c>
    </row>
    <row r="20" spans="1:6" x14ac:dyDescent="0.25">
      <c r="A20" s="1">
        <v>46071</v>
      </c>
      <c r="B20" t="s">
        <v>8</v>
      </c>
      <c r="C20" t="s">
        <v>30</v>
      </c>
      <c r="D20" s="2" t="s">
        <v>59</v>
      </c>
      <c r="E20" s="2" t="s">
        <v>60</v>
      </c>
      <c r="F20" t="s">
        <v>53</v>
      </c>
    </row>
    <row r="21" spans="1:6" x14ac:dyDescent="0.25">
      <c r="A21" s="1">
        <v>46071</v>
      </c>
      <c r="B21" t="s">
        <v>8</v>
      </c>
      <c r="C21" t="s">
        <v>31</v>
      </c>
      <c r="D21" s="2">
        <v>4.5</v>
      </c>
      <c r="E21" s="2">
        <v>4.0999999999999996</v>
      </c>
      <c r="F21" t="s">
        <v>50</v>
      </c>
    </row>
    <row r="22" spans="1:6" x14ac:dyDescent="0.25">
      <c r="A22" s="1">
        <v>46071</v>
      </c>
      <c r="B22" t="s">
        <v>8</v>
      </c>
      <c r="C22" t="s">
        <v>32</v>
      </c>
      <c r="D22" s="2" t="s">
        <v>61</v>
      </c>
      <c r="E22" s="2" t="s">
        <v>62</v>
      </c>
      <c r="F22" t="s">
        <v>53</v>
      </c>
    </row>
    <row r="23" spans="1:6" x14ac:dyDescent="0.25">
      <c r="A23" s="1">
        <v>46071</v>
      </c>
      <c r="B23" t="s">
        <v>8</v>
      </c>
      <c r="C23" t="s">
        <v>33</v>
      </c>
      <c r="D23" s="2" t="s">
        <v>63</v>
      </c>
      <c r="E23" s="2" t="s">
        <v>64</v>
      </c>
      <c r="F23" t="s">
        <v>53</v>
      </c>
    </row>
    <row r="24" spans="1:6" x14ac:dyDescent="0.25">
      <c r="A24" s="1">
        <v>46071</v>
      </c>
      <c r="B24" t="s">
        <v>8</v>
      </c>
      <c r="C24" t="s">
        <v>34</v>
      </c>
      <c r="D24" s="2">
        <v>120000</v>
      </c>
      <c r="E24" s="2">
        <v>145000</v>
      </c>
      <c r="F24" t="s">
        <v>50</v>
      </c>
    </row>
    <row r="25" spans="1:6" x14ac:dyDescent="0.25">
      <c r="A25" s="1">
        <v>46071</v>
      </c>
      <c r="B25" t="s">
        <v>8</v>
      </c>
      <c r="C25" t="s">
        <v>65</v>
      </c>
      <c r="D25" s="2">
        <v>1</v>
      </c>
      <c r="E25" s="2">
        <v>0.78</v>
      </c>
      <c r="F25" t="s">
        <v>52</v>
      </c>
    </row>
    <row r="26" spans="1:6" x14ac:dyDescent="0.25">
      <c r="A26" s="1">
        <v>46071</v>
      </c>
      <c r="B26" t="s">
        <v>8</v>
      </c>
      <c r="C26" t="s">
        <v>35</v>
      </c>
      <c r="D26" s="2">
        <v>0</v>
      </c>
      <c r="E26" s="2">
        <v>-110000</v>
      </c>
      <c r="F26" t="s">
        <v>50</v>
      </c>
    </row>
    <row r="27" spans="1:6" x14ac:dyDescent="0.25">
      <c r="A27" s="1">
        <v>46071</v>
      </c>
      <c r="B27" t="s">
        <v>8</v>
      </c>
      <c r="C27" t="s">
        <v>36</v>
      </c>
      <c r="D27" s="2">
        <v>0</v>
      </c>
      <c r="E27" s="2">
        <v>-0.22</v>
      </c>
      <c r="F27" t="s">
        <v>52</v>
      </c>
    </row>
    <row r="28" spans="1:6" x14ac:dyDescent="0.25">
      <c r="A28" s="1">
        <v>46071</v>
      </c>
      <c r="B28" t="s">
        <v>8</v>
      </c>
      <c r="C28" t="s">
        <v>37</v>
      </c>
      <c r="D28" s="2">
        <v>3.2</v>
      </c>
      <c r="E28" s="2">
        <v>2.4</v>
      </c>
      <c r="F28" t="s">
        <v>7</v>
      </c>
    </row>
    <row r="29" spans="1:6" x14ac:dyDescent="0.25">
      <c r="A29" s="1">
        <v>46071</v>
      </c>
      <c r="B29" t="s">
        <v>8</v>
      </c>
      <c r="C29" t="s">
        <v>38</v>
      </c>
      <c r="D29" s="2">
        <v>80000</v>
      </c>
      <c r="E29" s="2">
        <v>62000</v>
      </c>
      <c r="F29" t="s">
        <v>50</v>
      </c>
    </row>
    <row r="30" spans="1:6" x14ac:dyDescent="0.25">
      <c r="A30" s="1">
        <v>46071</v>
      </c>
      <c r="B30" t="s">
        <v>8</v>
      </c>
      <c r="C30" t="s">
        <v>39</v>
      </c>
      <c r="D30" s="2">
        <v>110000</v>
      </c>
      <c r="E30" s="2">
        <v>55000</v>
      </c>
      <c r="F30" t="s">
        <v>50</v>
      </c>
    </row>
    <row r="31" spans="1:6" x14ac:dyDescent="0.25">
      <c r="A31" s="1">
        <v>46071</v>
      </c>
      <c r="B31" t="s">
        <v>8</v>
      </c>
      <c r="C31" t="s">
        <v>40</v>
      </c>
      <c r="D31" s="2">
        <v>0.04</v>
      </c>
      <c r="E31" s="2">
        <v>7.0000000000000007E-2</v>
      </c>
      <c r="F31" t="s">
        <v>52</v>
      </c>
    </row>
    <row r="32" spans="1:6" x14ac:dyDescent="0.25">
      <c r="A32" s="1">
        <v>46071</v>
      </c>
      <c r="B32" t="s">
        <v>9</v>
      </c>
      <c r="C32" t="s">
        <v>66</v>
      </c>
      <c r="D32" s="2" t="s">
        <v>67</v>
      </c>
      <c r="E32" s="2" t="s">
        <v>68</v>
      </c>
      <c r="F32" t="s">
        <v>53</v>
      </c>
    </row>
    <row r="33" spans="1:6" x14ac:dyDescent="0.25">
      <c r="A33" s="1">
        <v>46071</v>
      </c>
      <c r="B33" t="s">
        <v>9</v>
      </c>
      <c r="C33" t="s">
        <v>41</v>
      </c>
      <c r="D33" s="2">
        <v>0.03</v>
      </c>
      <c r="E33" s="2">
        <v>0.05</v>
      </c>
      <c r="F33" t="s">
        <v>50</v>
      </c>
    </row>
    <row r="34" spans="1:6" x14ac:dyDescent="0.25">
      <c r="A34" s="1">
        <v>46071</v>
      </c>
      <c r="B34" t="s">
        <v>9</v>
      </c>
      <c r="C34" t="s">
        <v>42</v>
      </c>
      <c r="D34" s="2">
        <v>0.88</v>
      </c>
      <c r="E34" s="2">
        <v>0.82</v>
      </c>
      <c r="F34" t="s">
        <v>52</v>
      </c>
    </row>
    <row r="35" spans="1:6" x14ac:dyDescent="0.25">
      <c r="A35" s="1">
        <v>46071</v>
      </c>
      <c r="B35" t="s">
        <v>9</v>
      </c>
      <c r="C35" t="s">
        <v>43</v>
      </c>
      <c r="D35" s="2" t="s">
        <v>69</v>
      </c>
      <c r="E35" s="2" t="s">
        <v>70</v>
      </c>
      <c r="F35" t="s">
        <v>50</v>
      </c>
    </row>
    <row r="36" spans="1:6" x14ac:dyDescent="0.25">
      <c r="A36" s="1">
        <v>46071</v>
      </c>
      <c r="B36" t="s">
        <v>9</v>
      </c>
      <c r="C36" t="s">
        <v>71</v>
      </c>
      <c r="D36" s="2">
        <v>0.95</v>
      </c>
      <c r="E36" s="2">
        <v>0.9</v>
      </c>
      <c r="F36" t="s">
        <v>7</v>
      </c>
    </row>
    <row r="37" spans="1:6" x14ac:dyDescent="0.25">
      <c r="A37" s="1">
        <v>46071</v>
      </c>
      <c r="B37" t="s">
        <v>9</v>
      </c>
      <c r="C37" t="s">
        <v>72</v>
      </c>
      <c r="D37" s="2">
        <v>0.9</v>
      </c>
      <c r="E37" s="2">
        <v>0.85</v>
      </c>
      <c r="F37" t="s">
        <v>7</v>
      </c>
    </row>
    <row r="38" spans="1:6" x14ac:dyDescent="0.25">
      <c r="A38" s="1">
        <v>46071</v>
      </c>
      <c r="B38" t="s">
        <v>9</v>
      </c>
      <c r="C38" t="s">
        <v>73</v>
      </c>
      <c r="D38" s="2">
        <v>0.92</v>
      </c>
      <c r="E38" s="2">
        <v>0.87</v>
      </c>
      <c r="F38" t="s">
        <v>52</v>
      </c>
    </row>
    <row r="39" spans="1:6" x14ac:dyDescent="0.25">
      <c r="A39" s="1">
        <v>46071</v>
      </c>
      <c r="B39" t="s">
        <v>9</v>
      </c>
      <c r="C39" t="s">
        <v>74</v>
      </c>
      <c r="D39" s="2">
        <v>0.8</v>
      </c>
      <c r="E39" s="2">
        <v>0.7</v>
      </c>
      <c r="F39" t="s">
        <v>7</v>
      </c>
    </row>
    <row r="40" spans="1:6" x14ac:dyDescent="0.25">
      <c r="A40" s="1">
        <v>46071</v>
      </c>
      <c r="B40" t="s">
        <v>9</v>
      </c>
      <c r="C40" t="s">
        <v>75</v>
      </c>
      <c r="D40" s="2">
        <v>1</v>
      </c>
      <c r="E40" s="2">
        <v>0.95</v>
      </c>
      <c r="F40" t="s">
        <v>7</v>
      </c>
    </row>
    <row r="41" spans="1:6" x14ac:dyDescent="0.25">
      <c r="A41" s="1">
        <v>46071</v>
      </c>
      <c r="B41" t="s">
        <v>9</v>
      </c>
      <c r="C41" t="s">
        <v>44</v>
      </c>
      <c r="D41" s="2" t="s">
        <v>76</v>
      </c>
      <c r="E41" s="2" t="s">
        <v>77</v>
      </c>
      <c r="F41" t="s">
        <v>53</v>
      </c>
    </row>
    <row r="42" spans="1:6" x14ac:dyDescent="0.25">
      <c r="A42" s="1">
        <v>46071</v>
      </c>
      <c r="B42" t="s">
        <v>9</v>
      </c>
      <c r="C42" t="s">
        <v>78</v>
      </c>
      <c r="D42" s="2">
        <v>0.85</v>
      </c>
      <c r="E42" s="2">
        <v>0.72</v>
      </c>
      <c r="F42" t="s">
        <v>52</v>
      </c>
    </row>
    <row r="43" spans="1:6" x14ac:dyDescent="0.25">
      <c r="A43" s="1">
        <v>46071</v>
      </c>
      <c r="B43" t="s">
        <v>9</v>
      </c>
      <c r="C43" t="s">
        <v>79</v>
      </c>
      <c r="D43" s="2">
        <v>2</v>
      </c>
      <c r="E43" s="2">
        <v>1</v>
      </c>
      <c r="F43" t="s">
        <v>50</v>
      </c>
    </row>
    <row r="44" spans="1:6" x14ac:dyDescent="0.25">
      <c r="A44" s="1">
        <v>46071</v>
      </c>
      <c r="B44" t="s">
        <v>10</v>
      </c>
      <c r="C44" t="s">
        <v>80</v>
      </c>
      <c r="D44" s="2">
        <v>1</v>
      </c>
      <c r="E44" s="2">
        <v>0.92</v>
      </c>
      <c r="F44" t="s">
        <v>7</v>
      </c>
    </row>
    <row r="45" spans="1:6" x14ac:dyDescent="0.25">
      <c r="A45" s="1">
        <v>46071</v>
      </c>
      <c r="B45" t="s">
        <v>10</v>
      </c>
      <c r="C45" t="s">
        <v>81</v>
      </c>
      <c r="D45" s="2">
        <v>0.95</v>
      </c>
      <c r="E45" s="2">
        <v>0.88</v>
      </c>
      <c r="F45" t="s">
        <v>7</v>
      </c>
    </row>
    <row r="46" spans="1:6" x14ac:dyDescent="0.25">
      <c r="A46" s="1">
        <v>46071</v>
      </c>
      <c r="B46" t="s">
        <v>10</v>
      </c>
      <c r="C46" t="s">
        <v>82</v>
      </c>
      <c r="D46" s="2">
        <v>0.9</v>
      </c>
      <c r="E46" s="2">
        <v>0.8</v>
      </c>
      <c r="F46" t="s">
        <v>7</v>
      </c>
    </row>
    <row r="47" spans="1:6" x14ac:dyDescent="0.25">
      <c r="A47" s="1">
        <v>46071</v>
      </c>
      <c r="B47" t="s">
        <v>10</v>
      </c>
      <c r="C47" t="s">
        <v>83</v>
      </c>
      <c r="D47" s="2">
        <v>0.85</v>
      </c>
      <c r="E47" s="2">
        <v>0.78</v>
      </c>
      <c r="F47" t="s">
        <v>52</v>
      </c>
    </row>
    <row r="48" spans="1:6" x14ac:dyDescent="0.25">
      <c r="A48" s="1">
        <v>46071</v>
      </c>
      <c r="B48" t="s">
        <v>10</v>
      </c>
      <c r="C48" t="s">
        <v>84</v>
      </c>
      <c r="D48" s="2">
        <v>1</v>
      </c>
      <c r="E48" s="2">
        <v>0.94</v>
      </c>
      <c r="F48" t="s">
        <v>7</v>
      </c>
    </row>
    <row r="49" spans="1:6" x14ac:dyDescent="0.25">
      <c r="A49" s="1">
        <v>46071</v>
      </c>
      <c r="B49" t="s">
        <v>10</v>
      </c>
      <c r="C49" t="s">
        <v>85</v>
      </c>
      <c r="D49" s="2">
        <v>1</v>
      </c>
      <c r="E49" s="2">
        <v>0.97</v>
      </c>
      <c r="F49" t="s">
        <v>7</v>
      </c>
    </row>
    <row r="50" spans="1:6" x14ac:dyDescent="0.25">
      <c r="A50" s="1">
        <v>46071</v>
      </c>
      <c r="B50" t="s">
        <v>10</v>
      </c>
      <c r="C50" t="s">
        <v>86</v>
      </c>
      <c r="D50" s="2">
        <v>0.95</v>
      </c>
      <c r="E50" s="2">
        <v>0.89</v>
      </c>
      <c r="F50" t="s">
        <v>7</v>
      </c>
    </row>
    <row r="51" spans="1:6" x14ac:dyDescent="0.25">
      <c r="A51" s="1">
        <v>46071</v>
      </c>
      <c r="B51" t="s">
        <v>10</v>
      </c>
      <c r="C51" t="s">
        <v>87</v>
      </c>
      <c r="D51" s="2">
        <v>0.98</v>
      </c>
      <c r="E51" s="2">
        <v>0.93</v>
      </c>
      <c r="F51" t="s">
        <v>7</v>
      </c>
    </row>
    <row r="52" spans="1:6" x14ac:dyDescent="0.25">
      <c r="A52" s="1">
        <v>46071</v>
      </c>
      <c r="B52" t="s">
        <v>10</v>
      </c>
      <c r="C52" t="s">
        <v>88</v>
      </c>
      <c r="D52" s="2" t="s">
        <v>67</v>
      </c>
      <c r="E52" s="2" t="s">
        <v>68</v>
      </c>
      <c r="F52" t="s">
        <v>53</v>
      </c>
    </row>
    <row r="53" spans="1:6" x14ac:dyDescent="0.25">
      <c r="A53" s="1">
        <v>46071</v>
      </c>
      <c r="B53" t="s">
        <v>10</v>
      </c>
      <c r="C53" t="s">
        <v>89</v>
      </c>
      <c r="D53" s="2">
        <v>0.9</v>
      </c>
      <c r="E53" s="2">
        <v>0.75</v>
      </c>
      <c r="F53" t="s">
        <v>7</v>
      </c>
    </row>
    <row r="54" spans="1:6" x14ac:dyDescent="0.25">
      <c r="A54" s="1">
        <v>46071</v>
      </c>
      <c r="B54" t="s">
        <v>10</v>
      </c>
      <c r="C54" t="s">
        <v>90</v>
      </c>
      <c r="D54" s="2">
        <v>0.85</v>
      </c>
      <c r="E54" s="2">
        <v>0.7</v>
      </c>
      <c r="F54" t="s">
        <v>52</v>
      </c>
    </row>
    <row r="55" spans="1:6" x14ac:dyDescent="0.25">
      <c r="A55" s="1">
        <v>46071</v>
      </c>
      <c r="B55" t="s">
        <v>10</v>
      </c>
      <c r="C55" t="s">
        <v>91</v>
      </c>
      <c r="D55" s="2">
        <v>0.95</v>
      </c>
      <c r="E55" s="2">
        <v>0.88</v>
      </c>
      <c r="F55" t="s">
        <v>7</v>
      </c>
    </row>
    <row r="56" spans="1:6" x14ac:dyDescent="0.25">
      <c r="A56" s="1">
        <v>46071</v>
      </c>
      <c r="B56" t="s">
        <v>10</v>
      </c>
      <c r="C56" t="s">
        <v>92</v>
      </c>
      <c r="D56" s="2">
        <v>0.9</v>
      </c>
      <c r="E56" s="2">
        <v>0.72</v>
      </c>
      <c r="F56" t="s">
        <v>7</v>
      </c>
    </row>
    <row r="57" spans="1:6" x14ac:dyDescent="0.25">
      <c r="A57" s="1">
        <v>46071</v>
      </c>
      <c r="B57" t="s">
        <v>10</v>
      </c>
      <c r="C57" t="s">
        <v>93</v>
      </c>
      <c r="D57" s="2">
        <v>0.85</v>
      </c>
      <c r="E57" s="2">
        <v>0.78</v>
      </c>
      <c r="F57" t="s">
        <v>52</v>
      </c>
    </row>
    <row r="58" spans="1:6" x14ac:dyDescent="0.25">
      <c r="A58" s="1">
        <v>46071</v>
      </c>
      <c r="B58" t="s">
        <v>10</v>
      </c>
      <c r="C58" t="s">
        <v>94</v>
      </c>
      <c r="D58" s="2">
        <v>0.8</v>
      </c>
      <c r="E58" s="2">
        <v>0.65</v>
      </c>
      <c r="F58" t="s">
        <v>7</v>
      </c>
    </row>
    <row r="59" spans="1:6" x14ac:dyDescent="0.25">
      <c r="A59" s="1">
        <v>46071</v>
      </c>
      <c r="B59" t="s">
        <v>10</v>
      </c>
      <c r="C59" t="s">
        <v>95</v>
      </c>
      <c r="D59" s="2">
        <v>0.9</v>
      </c>
      <c r="E59" s="2">
        <v>0.76</v>
      </c>
      <c r="F59" t="s">
        <v>7</v>
      </c>
    </row>
    <row r="60" spans="1:6" x14ac:dyDescent="0.25">
      <c r="A60" s="1">
        <v>46071</v>
      </c>
      <c r="B60" t="s">
        <v>10</v>
      </c>
      <c r="C60" t="s">
        <v>96</v>
      </c>
      <c r="D60" s="2">
        <v>0.82</v>
      </c>
      <c r="E60" s="2">
        <v>0.75</v>
      </c>
      <c r="F60" t="s">
        <v>52</v>
      </c>
    </row>
    <row r="61" spans="1:6" x14ac:dyDescent="0.25">
      <c r="A61" s="1">
        <v>46071</v>
      </c>
      <c r="B61" t="s">
        <v>10</v>
      </c>
      <c r="C61" t="s">
        <v>45</v>
      </c>
      <c r="D61" s="2">
        <v>0.8</v>
      </c>
      <c r="E61" s="2">
        <v>0.7</v>
      </c>
      <c r="F61" t="s">
        <v>52</v>
      </c>
    </row>
    <row r="62" spans="1:6" x14ac:dyDescent="0.25">
      <c r="A62" s="1">
        <v>46071</v>
      </c>
      <c r="B62" t="s">
        <v>10</v>
      </c>
      <c r="C62" t="s">
        <v>46</v>
      </c>
      <c r="D62" s="2">
        <v>0.85</v>
      </c>
      <c r="E62" s="2">
        <v>0.78</v>
      </c>
      <c r="F62" t="s">
        <v>52</v>
      </c>
    </row>
    <row r="63" spans="1:6" x14ac:dyDescent="0.25">
      <c r="A63" s="1">
        <v>46071</v>
      </c>
      <c r="B63" t="s">
        <v>10</v>
      </c>
      <c r="C63" t="s">
        <v>97</v>
      </c>
      <c r="D63" s="2">
        <v>0.9</v>
      </c>
      <c r="E63" s="2">
        <v>0.82</v>
      </c>
      <c r="F63" t="s">
        <v>7</v>
      </c>
    </row>
    <row r="64" spans="1:6" x14ac:dyDescent="0.25">
      <c r="A64" s="1">
        <v>46071</v>
      </c>
      <c r="B64" t="s">
        <v>10</v>
      </c>
      <c r="C64" t="s">
        <v>98</v>
      </c>
      <c r="D64" s="2">
        <v>0.03</v>
      </c>
      <c r="E64" s="2">
        <v>0.05</v>
      </c>
      <c r="F64" t="s">
        <v>53</v>
      </c>
    </row>
    <row r="65" spans="1:6" x14ac:dyDescent="0.25">
      <c r="A65" s="1">
        <v>46071</v>
      </c>
      <c r="B65" t="s">
        <v>10</v>
      </c>
      <c r="C65" t="s">
        <v>99</v>
      </c>
      <c r="D65" s="2">
        <v>0.02</v>
      </c>
      <c r="E65" s="2">
        <v>3.5000000000000003E-2</v>
      </c>
      <c r="F65" t="s">
        <v>53</v>
      </c>
    </row>
    <row r="66" spans="1:6" x14ac:dyDescent="0.25">
      <c r="A66" s="1">
        <v>46071</v>
      </c>
      <c r="B66" t="s">
        <v>10</v>
      </c>
      <c r="C66" t="s">
        <v>100</v>
      </c>
      <c r="D66" s="2">
        <v>6500</v>
      </c>
      <c r="E66" s="2">
        <v>6900</v>
      </c>
      <c r="F66" t="s">
        <v>50</v>
      </c>
    </row>
    <row r="67" spans="1:6" x14ac:dyDescent="0.25">
      <c r="A67" s="1">
        <v>46071</v>
      </c>
      <c r="B67" t="s">
        <v>10</v>
      </c>
      <c r="C67" t="s">
        <v>101</v>
      </c>
      <c r="D67" s="2" t="s">
        <v>63</v>
      </c>
      <c r="E67" s="2" t="s">
        <v>102</v>
      </c>
      <c r="F67" t="s">
        <v>53</v>
      </c>
    </row>
    <row r="68" spans="1:6" x14ac:dyDescent="0.25">
      <c r="A68" s="1">
        <v>46071</v>
      </c>
      <c r="B68" t="s">
        <v>10</v>
      </c>
      <c r="C68" t="s">
        <v>103</v>
      </c>
      <c r="D68" s="2">
        <v>8</v>
      </c>
      <c r="E68" s="2">
        <v>10</v>
      </c>
      <c r="F68" t="s">
        <v>50</v>
      </c>
    </row>
    <row r="69" spans="1:6" x14ac:dyDescent="0.25">
      <c r="A69" s="1">
        <v>46071</v>
      </c>
      <c r="B69" t="s">
        <v>10</v>
      </c>
      <c r="C69" t="s">
        <v>104</v>
      </c>
      <c r="D69" s="2">
        <v>1</v>
      </c>
      <c r="E69" s="2">
        <v>0.92</v>
      </c>
      <c r="F69" t="s">
        <v>7</v>
      </c>
    </row>
    <row r="70" spans="1:6" x14ac:dyDescent="0.25">
      <c r="A70" s="1">
        <v>46071</v>
      </c>
      <c r="B70" t="s">
        <v>11</v>
      </c>
      <c r="C70" t="s">
        <v>47</v>
      </c>
      <c r="D70" s="2">
        <v>0.18</v>
      </c>
      <c r="E70" s="2">
        <v>0.14000000000000001</v>
      </c>
      <c r="F70" t="s">
        <v>52</v>
      </c>
    </row>
    <row r="71" spans="1:6" x14ac:dyDescent="0.25">
      <c r="A71" s="1">
        <v>46071</v>
      </c>
      <c r="B71" t="s">
        <v>11</v>
      </c>
      <c r="C71" t="s">
        <v>105</v>
      </c>
      <c r="D71" s="2">
        <v>0.25</v>
      </c>
      <c r="E71" s="2">
        <v>0.2</v>
      </c>
      <c r="F71" t="s">
        <v>7</v>
      </c>
    </row>
    <row r="72" spans="1:6" x14ac:dyDescent="0.25">
      <c r="A72" s="1">
        <v>46071</v>
      </c>
      <c r="B72" t="s">
        <v>11</v>
      </c>
      <c r="C72" t="s">
        <v>106</v>
      </c>
      <c r="D72" s="2" t="s">
        <v>107</v>
      </c>
      <c r="E72" s="2" t="s">
        <v>108</v>
      </c>
      <c r="F72" t="s">
        <v>53</v>
      </c>
    </row>
    <row r="73" spans="1:6" x14ac:dyDescent="0.25">
      <c r="A73" s="1">
        <v>46071</v>
      </c>
      <c r="B73" t="s">
        <v>11</v>
      </c>
      <c r="C73" t="s">
        <v>109</v>
      </c>
      <c r="D73" s="2">
        <v>850</v>
      </c>
      <c r="E73" s="2">
        <v>780</v>
      </c>
      <c r="F73" t="s">
        <v>50</v>
      </c>
    </row>
    <row r="74" spans="1:6" x14ac:dyDescent="0.25">
      <c r="A74" s="1">
        <v>46071</v>
      </c>
      <c r="B74" t="s">
        <v>11</v>
      </c>
      <c r="C74" t="s">
        <v>110</v>
      </c>
      <c r="D74" s="2">
        <v>180</v>
      </c>
      <c r="E74" s="2">
        <v>210</v>
      </c>
      <c r="F74" t="s">
        <v>50</v>
      </c>
    </row>
    <row r="75" spans="1:6" x14ac:dyDescent="0.25">
      <c r="A75" s="1">
        <v>46071</v>
      </c>
      <c r="B75" t="s">
        <v>11</v>
      </c>
      <c r="C75" t="s">
        <v>111</v>
      </c>
      <c r="D75" s="2">
        <v>0.88</v>
      </c>
      <c r="E75" s="2">
        <v>0.82</v>
      </c>
      <c r="F75" t="s">
        <v>52</v>
      </c>
    </row>
    <row r="76" spans="1:6" x14ac:dyDescent="0.25">
      <c r="A76" s="1">
        <v>46071</v>
      </c>
      <c r="B76" t="s">
        <v>11</v>
      </c>
      <c r="C76" t="s">
        <v>112</v>
      </c>
      <c r="D76" s="2">
        <v>0.9</v>
      </c>
      <c r="E76" s="2">
        <v>0.84</v>
      </c>
      <c r="F76" t="s">
        <v>52</v>
      </c>
    </row>
    <row r="77" spans="1:6" x14ac:dyDescent="0.25">
      <c r="A77" s="1">
        <v>46071</v>
      </c>
      <c r="B77" t="s">
        <v>11</v>
      </c>
      <c r="C77" t="s">
        <v>113</v>
      </c>
      <c r="D77" s="2">
        <v>65</v>
      </c>
      <c r="E77" s="2">
        <v>58</v>
      </c>
      <c r="F77" t="s">
        <v>52</v>
      </c>
    </row>
    <row r="78" spans="1:6" x14ac:dyDescent="0.25">
      <c r="A78" s="1">
        <v>46071</v>
      </c>
      <c r="B78" t="s">
        <v>11</v>
      </c>
      <c r="C78" t="s">
        <v>114</v>
      </c>
      <c r="D78" s="2">
        <v>3500</v>
      </c>
      <c r="E78" s="2">
        <v>3000</v>
      </c>
      <c r="F78" t="s">
        <v>50</v>
      </c>
    </row>
    <row r="79" spans="1:6" x14ac:dyDescent="0.25">
      <c r="A79" s="1">
        <v>46071</v>
      </c>
      <c r="B79" t="s">
        <v>11</v>
      </c>
      <c r="C79" t="s">
        <v>115</v>
      </c>
      <c r="D79" s="2">
        <v>2.5000000000000001E-2</v>
      </c>
      <c r="E79" s="2">
        <v>3.7999999999999999E-2</v>
      </c>
      <c r="F79" t="s">
        <v>53</v>
      </c>
    </row>
    <row r="80" spans="1:6" x14ac:dyDescent="0.25">
      <c r="A80" s="1">
        <v>46071</v>
      </c>
      <c r="B80" t="s">
        <v>11</v>
      </c>
      <c r="C80" t="s">
        <v>116</v>
      </c>
      <c r="D80" s="2">
        <v>0.12</v>
      </c>
      <c r="E80" s="2">
        <v>0.1</v>
      </c>
      <c r="F80" t="s">
        <v>50</v>
      </c>
    </row>
    <row r="81" spans="1:6" x14ac:dyDescent="0.25">
      <c r="A81" s="1">
        <v>46071</v>
      </c>
      <c r="B81" t="s">
        <v>11</v>
      </c>
      <c r="C81" t="s">
        <v>117</v>
      </c>
      <c r="D81" s="2">
        <v>1</v>
      </c>
      <c r="E81" s="2">
        <v>0.82</v>
      </c>
      <c r="F81" t="s">
        <v>52</v>
      </c>
    </row>
    <row r="82" spans="1:6" x14ac:dyDescent="0.25">
      <c r="A82" s="1">
        <v>46071</v>
      </c>
      <c r="B82" t="s">
        <v>11</v>
      </c>
      <c r="C82" t="s">
        <v>118</v>
      </c>
      <c r="D82" s="2">
        <v>0.12</v>
      </c>
      <c r="E82" s="2">
        <v>7.0000000000000007E-2</v>
      </c>
      <c r="F82" t="s">
        <v>53</v>
      </c>
    </row>
    <row r="83" spans="1:6" x14ac:dyDescent="0.25">
      <c r="A83" s="1">
        <v>46071</v>
      </c>
      <c r="B83" t="s">
        <v>11</v>
      </c>
      <c r="C83" t="s">
        <v>119</v>
      </c>
      <c r="D83" s="2" t="s">
        <v>120</v>
      </c>
      <c r="E83" s="2" t="s">
        <v>121</v>
      </c>
      <c r="F83" t="s">
        <v>56</v>
      </c>
    </row>
    <row r="84" spans="1:6" x14ac:dyDescent="0.25">
      <c r="A84" s="1">
        <v>46071</v>
      </c>
      <c r="B84" t="s">
        <v>11</v>
      </c>
      <c r="C84" t="s">
        <v>122</v>
      </c>
      <c r="D84" s="2">
        <v>45000</v>
      </c>
      <c r="E84" s="2">
        <v>38000</v>
      </c>
      <c r="F84" t="s">
        <v>50</v>
      </c>
    </row>
    <row r="85" spans="1:6" x14ac:dyDescent="0.25">
      <c r="A85" s="1">
        <v>46071</v>
      </c>
      <c r="B85" t="s">
        <v>12</v>
      </c>
      <c r="C85" t="s">
        <v>123</v>
      </c>
      <c r="D85" s="2">
        <v>0.95</v>
      </c>
      <c r="E85" s="2">
        <v>0.88</v>
      </c>
      <c r="F85" t="s">
        <v>7</v>
      </c>
    </row>
    <row r="86" spans="1:6" x14ac:dyDescent="0.25">
      <c r="A86" s="1">
        <v>46071</v>
      </c>
      <c r="B86" t="s">
        <v>12</v>
      </c>
      <c r="C86" t="s">
        <v>124</v>
      </c>
      <c r="D86" s="2" t="s">
        <v>125</v>
      </c>
      <c r="E86" s="2" t="s">
        <v>125</v>
      </c>
      <c r="F86" t="s">
        <v>126</v>
      </c>
    </row>
    <row r="87" spans="1:6" x14ac:dyDescent="0.25">
      <c r="A87" s="1">
        <v>46071</v>
      </c>
      <c r="B87" t="s">
        <v>12</v>
      </c>
      <c r="C87" t="s">
        <v>127</v>
      </c>
      <c r="D87" s="2">
        <v>0.12</v>
      </c>
      <c r="E87" s="2">
        <v>0.09</v>
      </c>
      <c r="F87" t="s">
        <v>53</v>
      </c>
    </row>
    <row r="88" spans="1:6" x14ac:dyDescent="0.25">
      <c r="A88" s="1">
        <v>46071</v>
      </c>
      <c r="B88" t="s">
        <v>12</v>
      </c>
      <c r="C88" t="s">
        <v>128</v>
      </c>
      <c r="D88" s="2">
        <v>10</v>
      </c>
      <c r="E88" s="2">
        <v>7</v>
      </c>
      <c r="F88" t="s">
        <v>50</v>
      </c>
    </row>
    <row r="89" spans="1:6" x14ac:dyDescent="0.25">
      <c r="A89" s="1">
        <v>46071</v>
      </c>
      <c r="B89" t="s">
        <v>12</v>
      </c>
      <c r="C89" t="s">
        <v>129</v>
      </c>
      <c r="D89" s="2">
        <v>6</v>
      </c>
      <c r="E89" s="2">
        <v>4</v>
      </c>
      <c r="F89" t="s">
        <v>50</v>
      </c>
    </row>
    <row r="90" spans="1:6" x14ac:dyDescent="0.25">
      <c r="A90" s="1">
        <v>46071</v>
      </c>
      <c r="B90" t="s">
        <v>12</v>
      </c>
      <c r="C90" t="s">
        <v>130</v>
      </c>
      <c r="D90" s="2">
        <v>1.4999999999999999E-2</v>
      </c>
      <c r="E90" s="2">
        <v>1.0999999999999999E-2</v>
      </c>
      <c r="F90" t="s">
        <v>50</v>
      </c>
    </row>
    <row r="91" spans="1:6" x14ac:dyDescent="0.25">
      <c r="A91" s="1">
        <v>46071</v>
      </c>
      <c r="B91" t="s">
        <v>12</v>
      </c>
      <c r="C91" t="s">
        <v>131</v>
      </c>
      <c r="D91" s="2">
        <v>4</v>
      </c>
      <c r="E91" s="2">
        <v>3</v>
      </c>
      <c r="F91" t="s">
        <v>52</v>
      </c>
    </row>
    <row r="92" spans="1:6" x14ac:dyDescent="0.25">
      <c r="A92" s="1">
        <v>46071</v>
      </c>
      <c r="B92" t="s">
        <v>12</v>
      </c>
      <c r="C92" t="s">
        <v>132</v>
      </c>
      <c r="D92" s="2">
        <v>12</v>
      </c>
      <c r="E92" s="2">
        <v>8</v>
      </c>
      <c r="F92" t="s">
        <v>50</v>
      </c>
    </row>
    <row r="93" spans="1:6" x14ac:dyDescent="0.25">
      <c r="A93" s="1">
        <f ca="1">TODAY()</f>
        <v>46099</v>
      </c>
      <c r="B93" t="s">
        <v>48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5A97-CEC0-4621-9869-8704DE45686B}">
  <dimension ref="A1:Q26"/>
  <sheetViews>
    <sheetView showGridLines="0" zoomScale="85" zoomScaleNormal="85" workbookViewId="0">
      <pane xSplit="17" ySplit="10" topLeftCell="XFC11" activePane="bottomRight" state="frozen"/>
      <selection pane="topRight" activeCell="R1" sqref="R1"/>
      <selection pane="bottomLeft" activeCell="A11" sqref="A11"/>
      <selection pane="bottomRight"/>
    </sheetView>
  </sheetViews>
  <sheetFormatPr defaultColWidth="0" defaultRowHeight="14.3" zeroHeight="1" x14ac:dyDescent="0.25"/>
  <cols>
    <col min="1" max="1" width="9.125" customWidth="1"/>
    <col min="2" max="2" width="36.25" bestFit="1" customWidth="1"/>
    <col min="3" max="9" width="9.125" customWidth="1"/>
    <col min="10" max="10" width="16.375" customWidth="1"/>
    <col min="11" max="13" width="9.125" customWidth="1"/>
    <col min="14" max="14" width="10.375" customWidth="1"/>
    <col min="15" max="16" width="9.125" hidden="1" customWidth="1"/>
    <col min="17" max="17" width="19.375" hidden="1" customWidth="1"/>
    <col min="18" max="16384" width="9.125" hidden="1"/>
  </cols>
  <sheetData>
    <row r="1" spans="1:1" x14ac:dyDescent="0.25">
      <c r="A1">
        <v>11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F4D7-3107-4114-97D9-6F38743DE67E}">
  <dimension ref="A8:AA17"/>
  <sheetViews>
    <sheetView showGridLines="0" showRowColHeaders="0" view="pageBreakPreview" zoomScale="70" zoomScaleNormal="70" zoomScaleSheetLayoutView="70" workbookViewId="0"/>
  </sheetViews>
  <sheetFormatPr defaultRowHeight="14.3" x14ac:dyDescent="0.25"/>
  <cols>
    <col min="1" max="1" width="15.25" bestFit="1" customWidth="1"/>
  </cols>
  <sheetData>
    <row r="8" spans="1:5" x14ac:dyDescent="0.25">
      <c r="A8" s="6"/>
    </row>
    <row r="10" spans="1:5" x14ac:dyDescent="0.25">
      <c r="E10" s="5" t="e">
        <f>#REF!</f>
        <v>#REF!</v>
      </c>
    </row>
    <row r="17" spans="27:27" x14ac:dyDescent="0.25">
      <c r="AA17"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6763-CAB5-4614-BA53-1F73F12F2D13}">
  <dimension ref="A8:AA52"/>
  <sheetViews>
    <sheetView showGridLines="0" showRowColHeaders="0" zoomScale="70" zoomScaleNormal="70" workbookViewId="0"/>
  </sheetViews>
  <sheetFormatPr defaultRowHeight="14.3" x14ac:dyDescent="0.25"/>
  <cols>
    <col min="1" max="1" width="15.25" bestFit="1" customWidth="1"/>
  </cols>
  <sheetData>
    <row r="8" spans="1:5" x14ac:dyDescent="0.25">
      <c r="A8" s="6"/>
    </row>
    <row r="10" spans="1:5" x14ac:dyDescent="0.25">
      <c r="E10" s="5">
        <f>[1]ANALISES!$C$18</f>
        <v>0</v>
      </c>
    </row>
    <row r="17" spans="26:27" x14ac:dyDescent="0.25">
      <c r="AA17">
        <v>0</v>
      </c>
    </row>
    <row r="18" spans="26:27" x14ac:dyDescent="0.25">
      <c r="Z18" t="s">
        <v>200</v>
      </c>
    </row>
    <row r="52" spans="14:14" x14ac:dyDescent="0.25">
      <c r="N52" t="s">
        <v>200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24FD-42B5-47D9-88AA-5A7FEC491C88}">
  <dimension ref="A8:AA17"/>
  <sheetViews>
    <sheetView showGridLines="0" showRowColHeaders="0" zoomScale="70" zoomScaleNormal="70" workbookViewId="0"/>
  </sheetViews>
  <sheetFormatPr defaultRowHeight="14.3" x14ac:dyDescent="0.25"/>
  <cols>
    <col min="1" max="1" width="15.25" bestFit="1" customWidth="1"/>
  </cols>
  <sheetData>
    <row r="8" spans="1:5" x14ac:dyDescent="0.25">
      <c r="A8" s="6"/>
    </row>
    <row r="10" spans="1:5" x14ac:dyDescent="0.25">
      <c r="E10" s="5">
        <f>[3]ANALISES!$C$44</f>
        <v>1</v>
      </c>
    </row>
    <row r="17" spans="27:27" x14ac:dyDescent="0.25">
      <c r="AA17">
        <v>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8AF9-B817-4588-9FC9-95D4E7B3E664}">
  <dimension ref="A8:E10"/>
  <sheetViews>
    <sheetView showGridLines="0" showRowColHeaders="0" view="pageBreakPreview" zoomScale="70" zoomScaleNormal="70" zoomScaleSheetLayoutView="70" workbookViewId="0">
      <selection activeCell="AA30" sqref="AA30"/>
    </sheetView>
  </sheetViews>
  <sheetFormatPr defaultRowHeight="14.3" x14ac:dyDescent="0.25"/>
  <cols>
    <col min="1" max="1" width="15.25" bestFit="1" customWidth="1"/>
  </cols>
  <sheetData>
    <row r="8" spans="1:5" x14ac:dyDescent="0.25">
      <c r="A8" s="6"/>
    </row>
    <row r="10" spans="1:5" x14ac:dyDescent="0.25">
      <c r="E10" s="5" t="e">
        <f>#REF!</f>
        <v>#REF!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0A95-3FD3-4F54-B26A-ABF7D2B80D5C}">
  <dimension ref="A8:AA79"/>
  <sheetViews>
    <sheetView showGridLines="0" showRowColHeaders="0" view="pageBreakPreview" zoomScale="70" zoomScaleNormal="70" zoomScaleSheetLayoutView="70" workbookViewId="0">
      <selection activeCell="P105" sqref="P105"/>
    </sheetView>
  </sheetViews>
  <sheetFormatPr defaultRowHeight="14.3" x14ac:dyDescent="0.25"/>
  <cols>
    <col min="1" max="1" width="15.25" bestFit="1" customWidth="1"/>
  </cols>
  <sheetData>
    <row r="8" spans="1:5" x14ac:dyDescent="0.25">
      <c r="A8" s="6"/>
    </row>
    <row r="10" spans="1:5" x14ac:dyDescent="0.25">
      <c r="E10" s="5" t="e">
        <f>#REF!</f>
        <v>#REF!</v>
      </c>
    </row>
    <row r="17" spans="27:27" x14ac:dyDescent="0.25">
      <c r="AA17">
        <v>0</v>
      </c>
    </row>
    <row r="79" spans="26:26" x14ac:dyDescent="0.25">
      <c r="Z79" s="315"/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scale="94" orientation="portrait" horizontalDpi="300" verticalDpi="300" r:id="rId1"/>
  <colBreaks count="1" manualBreakCount="1">
    <brk id="17" max="98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D283-FC30-4AC2-958E-A0B2E6F04AEF}">
  <dimension ref="A1"/>
  <sheetViews>
    <sheetView showGridLines="0" workbookViewId="0">
      <selection activeCell="E28" sqref="E28"/>
    </sheetView>
  </sheetViews>
  <sheetFormatPr defaultRowHeight="14.3" x14ac:dyDescent="0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224D-C254-464B-9B23-1F10A101D0FE}">
  <dimension ref="A1"/>
  <sheetViews>
    <sheetView showGridLines="0" workbookViewId="0">
      <selection activeCell="F29" sqref="F29"/>
    </sheetView>
  </sheetViews>
  <sheetFormatPr defaultRowHeight="14.3" x14ac:dyDescent="0.25"/>
  <cols>
    <col min="2" max="2" width="22" bestFit="1" customWidth="1"/>
  </cols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CA30-5B07-45C6-98A1-4BC0319502F8}">
  <dimension ref="A1:F90"/>
  <sheetViews>
    <sheetView showGridLines="0" tabSelected="1" workbookViewId="0">
      <pane ySplit="1" topLeftCell="A2" activePane="bottomLeft" state="frozen"/>
      <selection activeCell="B85" sqref="B85"/>
      <selection pane="bottomLeft" activeCell="C20" sqref="C20"/>
    </sheetView>
  </sheetViews>
  <sheetFormatPr defaultRowHeight="14.3" x14ac:dyDescent="0.25"/>
  <cols>
    <col min="1" max="1" width="10.375" bestFit="1" customWidth="1"/>
    <col min="2" max="2" width="12" bestFit="1" customWidth="1"/>
    <col min="3" max="3" width="63.75" bestFit="1" customWidth="1"/>
    <col min="4" max="5" width="15.875" style="2" bestFit="1" customWidth="1"/>
    <col min="6" max="6" width="19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idden="1" x14ac:dyDescent="0.25">
      <c r="A2" s="1">
        <v>46071</v>
      </c>
      <c r="B2" t="s">
        <v>11</v>
      </c>
      <c r="C2" t="s">
        <v>352</v>
      </c>
    </row>
    <row r="3" spans="1:6" hidden="1" x14ac:dyDescent="0.25">
      <c r="A3" s="1">
        <v>46071</v>
      </c>
      <c r="B3" t="s">
        <v>11</v>
      </c>
      <c r="C3" t="s">
        <v>353</v>
      </c>
    </row>
    <row r="4" spans="1:6" hidden="1" x14ac:dyDescent="0.25">
      <c r="A4" s="1">
        <v>46071</v>
      </c>
      <c r="B4" t="s">
        <v>11</v>
      </c>
      <c r="C4" t="s">
        <v>354</v>
      </c>
    </row>
    <row r="5" spans="1:6" hidden="1" x14ac:dyDescent="0.25">
      <c r="A5" s="1">
        <v>46071</v>
      </c>
      <c r="B5" t="s">
        <v>11</v>
      </c>
      <c r="C5" t="s">
        <v>355</v>
      </c>
    </row>
    <row r="6" spans="1:6" hidden="1" x14ac:dyDescent="0.25">
      <c r="A6" s="1">
        <v>46071</v>
      </c>
      <c r="B6" t="s">
        <v>11</v>
      </c>
      <c r="C6" t="s">
        <v>356</v>
      </c>
    </row>
    <row r="7" spans="1:6" hidden="1" x14ac:dyDescent="0.25">
      <c r="A7" s="1">
        <v>46071</v>
      </c>
      <c r="B7" t="s">
        <v>11</v>
      </c>
      <c r="C7" t="s">
        <v>357</v>
      </c>
    </row>
    <row r="8" spans="1:6" hidden="1" x14ac:dyDescent="0.25">
      <c r="A8" s="1">
        <v>46071</v>
      </c>
      <c r="B8" t="s">
        <v>11</v>
      </c>
      <c r="C8" t="s">
        <v>358</v>
      </c>
    </row>
    <row r="9" spans="1:6" hidden="1" x14ac:dyDescent="0.25">
      <c r="A9" s="1">
        <v>46071</v>
      </c>
      <c r="B9" t="s">
        <v>373</v>
      </c>
      <c r="C9" t="s">
        <v>359</v>
      </c>
      <c r="D9" s="2">
        <v>128239.54</v>
      </c>
      <c r="E9" s="2">
        <v>99628.87</v>
      </c>
      <c r="F9" t="s">
        <v>4</v>
      </c>
    </row>
    <row r="10" spans="1:6" hidden="1" x14ac:dyDescent="0.25">
      <c r="A10" s="1">
        <v>46071</v>
      </c>
      <c r="B10" t="s">
        <v>373</v>
      </c>
      <c r="C10" t="s">
        <v>360</v>
      </c>
      <c r="D10" s="2">
        <v>1578340.8</v>
      </c>
      <c r="E10" s="2">
        <v>1796497.92</v>
      </c>
      <c r="F10" t="s">
        <v>4</v>
      </c>
    </row>
    <row r="11" spans="1:6" hidden="1" x14ac:dyDescent="0.25">
      <c r="A11" s="1">
        <v>46071</v>
      </c>
      <c r="B11" t="s">
        <v>373</v>
      </c>
      <c r="C11" t="s">
        <v>361</v>
      </c>
      <c r="D11" s="2">
        <v>1556560.83</v>
      </c>
      <c r="E11" s="2">
        <v>1503391.04</v>
      </c>
      <c r="F11" t="s">
        <v>4</v>
      </c>
    </row>
    <row r="12" spans="1:6" hidden="1" x14ac:dyDescent="0.25">
      <c r="A12" s="1">
        <v>46071</v>
      </c>
      <c r="B12" t="s">
        <v>373</v>
      </c>
      <c r="C12" t="s">
        <v>362</v>
      </c>
      <c r="D12" s="2">
        <v>1519361.88</v>
      </c>
      <c r="E12" s="2">
        <v>1301864.8799999999</v>
      </c>
      <c r="F12" t="s">
        <v>4</v>
      </c>
    </row>
    <row r="13" spans="1:6" hidden="1" x14ac:dyDescent="0.25">
      <c r="A13" s="1">
        <v>46071</v>
      </c>
      <c r="B13" t="s">
        <v>373</v>
      </c>
      <c r="C13" t="s">
        <v>364</v>
      </c>
      <c r="D13" s="2">
        <v>75657.88</v>
      </c>
      <c r="E13" s="2">
        <v>22416.49</v>
      </c>
      <c r="F13" t="s">
        <v>4</v>
      </c>
    </row>
    <row r="14" spans="1:6" hidden="1" x14ac:dyDescent="0.25">
      <c r="A14" s="1">
        <v>46071</v>
      </c>
      <c r="B14" t="s">
        <v>373</v>
      </c>
      <c r="C14" t="s">
        <v>365</v>
      </c>
      <c r="D14" s="2">
        <v>1667339.8</v>
      </c>
      <c r="E14" s="2">
        <v>1606536.6</v>
      </c>
      <c r="F14" t="s">
        <v>4</v>
      </c>
    </row>
    <row r="15" spans="1:6" hidden="1" x14ac:dyDescent="0.25">
      <c r="A15" s="1">
        <v>46071</v>
      </c>
      <c r="B15" t="s">
        <v>373</v>
      </c>
      <c r="C15" t="s">
        <v>366</v>
      </c>
      <c r="D15" s="2">
        <v>530375.25</v>
      </c>
      <c r="E15" s="2">
        <v>288855.31</v>
      </c>
      <c r="F15" t="s">
        <v>4</v>
      </c>
    </row>
    <row r="16" spans="1:6" hidden="1" x14ac:dyDescent="0.25">
      <c r="A16" s="1">
        <v>46071</v>
      </c>
      <c r="B16" t="s">
        <v>373</v>
      </c>
      <c r="C16" t="s">
        <v>367</v>
      </c>
      <c r="D16" s="2">
        <v>391586.47</v>
      </c>
      <c r="E16" s="2">
        <v>162745.32</v>
      </c>
      <c r="F16" t="s">
        <v>385</v>
      </c>
    </row>
    <row r="17" spans="1:6" hidden="1" x14ac:dyDescent="0.25">
      <c r="A17" s="1">
        <v>46071</v>
      </c>
      <c r="B17" t="s">
        <v>373</v>
      </c>
      <c r="C17" t="s">
        <v>368</v>
      </c>
      <c r="D17" s="2">
        <v>76509.75</v>
      </c>
      <c r="E17" s="2">
        <v>56091.59</v>
      </c>
      <c r="F17" t="s">
        <v>4</v>
      </c>
    </row>
    <row r="18" spans="1:6" hidden="1" x14ac:dyDescent="0.25">
      <c r="A18" s="1">
        <v>46071</v>
      </c>
      <c r="B18" t="s">
        <v>373</v>
      </c>
      <c r="C18" t="s">
        <v>369</v>
      </c>
      <c r="D18" s="2">
        <v>169456.11</v>
      </c>
      <c r="E18" s="2">
        <v>152553.56</v>
      </c>
      <c r="F18" t="s">
        <v>4</v>
      </c>
    </row>
    <row r="19" spans="1:6" hidden="1" x14ac:dyDescent="0.25">
      <c r="A19" s="1">
        <v>46071</v>
      </c>
      <c r="B19" t="s">
        <v>373</v>
      </c>
      <c r="C19" t="s">
        <v>370</v>
      </c>
      <c r="D19" s="2">
        <v>39811.19</v>
      </c>
      <c r="E19" s="2">
        <v>33949.54</v>
      </c>
      <c r="F19" t="s">
        <v>4</v>
      </c>
    </row>
    <row r="20" spans="1:6" hidden="1" x14ac:dyDescent="0.25">
      <c r="A20" s="1">
        <v>46071</v>
      </c>
      <c r="B20" t="s">
        <v>373</v>
      </c>
      <c r="C20" t="s">
        <v>371</v>
      </c>
      <c r="D20" s="2">
        <v>331808.28999999998</v>
      </c>
      <c r="E20" s="2">
        <v>455960.81</v>
      </c>
      <c r="F20" t="s">
        <v>385</v>
      </c>
    </row>
    <row r="21" spans="1:6" hidden="1" x14ac:dyDescent="0.25">
      <c r="A21" s="1">
        <v>46071</v>
      </c>
      <c r="B21" t="s">
        <v>373</v>
      </c>
      <c r="C21" t="s">
        <v>372</v>
      </c>
      <c r="D21" s="2">
        <v>0</v>
      </c>
      <c r="E21" s="2">
        <v>1356858.97</v>
      </c>
      <c r="F21" t="s">
        <v>4</v>
      </c>
    </row>
    <row r="22" spans="1:6" hidden="1" x14ac:dyDescent="0.25">
      <c r="A22" s="1">
        <v>46071</v>
      </c>
      <c r="B22" t="s">
        <v>373</v>
      </c>
      <c r="C22" t="s">
        <v>372</v>
      </c>
      <c r="D22" s="2">
        <v>0</v>
      </c>
      <c r="E22" s="2">
        <v>1273982.51</v>
      </c>
      <c r="F22" t="s">
        <v>4</v>
      </c>
    </row>
    <row r="23" spans="1:6" hidden="1" x14ac:dyDescent="0.25">
      <c r="A23" s="1">
        <v>46071</v>
      </c>
      <c r="B23" t="s">
        <v>373</v>
      </c>
      <c r="C23" t="s">
        <v>372</v>
      </c>
      <c r="D23" s="2">
        <v>0</v>
      </c>
      <c r="E23" s="2">
        <v>40632.07</v>
      </c>
      <c r="F23" t="s">
        <v>4</v>
      </c>
    </row>
    <row r="24" spans="1:6" hidden="1" x14ac:dyDescent="0.25">
      <c r="A24" s="1">
        <v>46071</v>
      </c>
      <c r="B24" t="s">
        <v>351</v>
      </c>
      <c r="C24" t="s">
        <v>374</v>
      </c>
    </row>
    <row r="25" spans="1:6" hidden="1" x14ac:dyDescent="0.25">
      <c r="A25" s="1">
        <v>46071</v>
      </c>
      <c r="B25" t="s">
        <v>351</v>
      </c>
    </row>
    <row r="26" spans="1:6" x14ac:dyDescent="0.25">
      <c r="A26" s="1">
        <v>46071</v>
      </c>
      <c r="B26" t="s">
        <v>376</v>
      </c>
      <c r="C26" t="s">
        <v>377</v>
      </c>
      <c r="D26" s="8">
        <f>D27/D11</f>
        <v>4.622812588699151E-2</v>
      </c>
      <c r="E26" s="8">
        <f>E27/E11</f>
        <v>4.0477492801872759E-2</v>
      </c>
      <c r="F26" t="s">
        <v>385</v>
      </c>
    </row>
    <row r="27" spans="1:6" x14ac:dyDescent="0.25">
      <c r="A27" s="1">
        <v>46071</v>
      </c>
      <c r="B27" t="s">
        <v>376</v>
      </c>
      <c r="C27" t="s">
        <v>363</v>
      </c>
      <c r="D27" s="2">
        <v>71956.89</v>
      </c>
      <c r="E27" s="2">
        <v>60853.5</v>
      </c>
      <c r="F27" t="s">
        <v>385</v>
      </c>
    </row>
    <row r="28" spans="1:6" x14ac:dyDescent="0.25">
      <c r="A28" s="1"/>
      <c r="B28" t="s">
        <v>376</v>
      </c>
      <c r="C28" t="s">
        <v>378</v>
      </c>
      <c r="D28" s="2">
        <v>32102.62</v>
      </c>
      <c r="E28" s="2">
        <v>29624.44</v>
      </c>
      <c r="F28" t="s">
        <v>385</v>
      </c>
    </row>
    <row r="29" spans="1:6" x14ac:dyDescent="0.25">
      <c r="A29" s="1"/>
      <c r="B29" t="s">
        <v>376</v>
      </c>
      <c r="C29" t="s">
        <v>379</v>
      </c>
      <c r="D29" s="2">
        <v>12746.66</v>
      </c>
      <c r="E29" s="2">
        <v>12413.28</v>
      </c>
      <c r="F29" t="s">
        <v>385</v>
      </c>
    </row>
    <row r="30" spans="1:6" x14ac:dyDescent="0.25">
      <c r="A30" s="1"/>
      <c r="B30" t="s">
        <v>376</v>
      </c>
      <c r="C30" t="s">
        <v>380</v>
      </c>
      <c r="D30" s="2">
        <v>3983.65</v>
      </c>
      <c r="E30" s="2">
        <v>5872.54</v>
      </c>
      <c r="F30" t="s">
        <v>385</v>
      </c>
    </row>
    <row r="31" spans="1:6" x14ac:dyDescent="0.25">
      <c r="A31" s="1"/>
      <c r="B31" t="s">
        <v>376</v>
      </c>
      <c r="C31" t="s">
        <v>381</v>
      </c>
      <c r="D31" s="2">
        <v>4076.83</v>
      </c>
      <c r="F31" t="s">
        <v>385</v>
      </c>
    </row>
    <row r="32" spans="1:6" x14ac:dyDescent="0.25">
      <c r="A32" s="1"/>
      <c r="B32" t="s">
        <v>376</v>
      </c>
      <c r="C32" t="s">
        <v>382</v>
      </c>
      <c r="D32" s="2">
        <v>2895.6</v>
      </c>
      <c r="E32" s="2">
        <v>929.53</v>
      </c>
      <c r="F32" t="s">
        <v>385</v>
      </c>
    </row>
    <row r="33" spans="1:1" hidden="1" x14ac:dyDescent="0.25">
      <c r="A33" s="1"/>
    </row>
    <row r="34" spans="1:1" hidden="1" x14ac:dyDescent="0.25">
      <c r="A34" s="1"/>
    </row>
    <row r="35" spans="1:1" hidden="1" x14ac:dyDescent="0.25">
      <c r="A35" s="1"/>
    </row>
    <row r="36" spans="1:1" hidden="1" x14ac:dyDescent="0.25">
      <c r="A36" s="1"/>
    </row>
    <row r="37" spans="1:1" hidden="1" x14ac:dyDescent="0.25">
      <c r="A37" s="1"/>
    </row>
    <row r="38" spans="1:1" hidden="1" x14ac:dyDescent="0.25">
      <c r="A38" s="1"/>
    </row>
    <row r="39" spans="1:1" hidden="1" x14ac:dyDescent="0.25">
      <c r="A39" s="1"/>
    </row>
    <row r="40" spans="1:1" hidden="1" x14ac:dyDescent="0.25">
      <c r="A40" s="1"/>
    </row>
    <row r="41" spans="1:1" hidden="1" x14ac:dyDescent="0.25">
      <c r="A41" s="1"/>
    </row>
    <row r="42" spans="1:1" hidden="1" x14ac:dyDescent="0.25">
      <c r="A42" s="1"/>
    </row>
    <row r="43" spans="1:1" hidden="1" x14ac:dyDescent="0.25">
      <c r="A43" s="1"/>
    </row>
    <row r="44" spans="1:1" hidden="1" x14ac:dyDescent="0.25">
      <c r="A44" s="1"/>
    </row>
    <row r="45" spans="1:1" hidden="1" x14ac:dyDescent="0.25">
      <c r="A45" s="1"/>
    </row>
    <row r="46" spans="1:1" hidden="1" x14ac:dyDescent="0.25">
      <c r="A46" s="1"/>
    </row>
    <row r="47" spans="1:1" hidden="1" x14ac:dyDescent="0.25">
      <c r="A47" s="1"/>
    </row>
    <row r="48" spans="1:1" hidden="1" x14ac:dyDescent="0.25">
      <c r="A48" s="1"/>
    </row>
    <row r="49" spans="1:1" hidden="1" x14ac:dyDescent="0.25">
      <c r="A49" s="1"/>
    </row>
    <row r="50" spans="1:1" hidden="1" x14ac:dyDescent="0.25">
      <c r="A50" s="1"/>
    </row>
    <row r="51" spans="1:1" hidden="1" x14ac:dyDescent="0.25">
      <c r="A51" s="1"/>
    </row>
    <row r="52" spans="1:1" hidden="1" x14ac:dyDescent="0.25">
      <c r="A52" s="1"/>
    </row>
    <row r="53" spans="1:1" hidden="1" x14ac:dyDescent="0.25">
      <c r="A53" s="1"/>
    </row>
    <row r="54" spans="1:1" hidden="1" x14ac:dyDescent="0.25">
      <c r="A54" s="1"/>
    </row>
    <row r="55" spans="1:1" hidden="1" x14ac:dyDescent="0.25">
      <c r="A55" s="1"/>
    </row>
    <row r="56" spans="1:1" hidden="1" x14ac:dyDescent="0.25">
      <c r="A56" s="1"/>
    </row>
    <row r="57" spans="1:1" hidden="1" x14ac:dyDescent="0.25">
      <c r="A57" s="1"/>
    </row>
    <row r="58" spans="1:1" hidden="1" x14ac:dyDescent="0.25">
      <c r="A58" s="1"/>
    </row>
    <row r="59" spans="1:1" hidden="1" x14ac:dyDescent="0.25">
      <c r="A59" s="1"/>
    </row>
    <row r="60" spans="1:1" hidden="1" x14ac:dyDescent="0.25">
      <c r="A60" s="1"/>
    </row>
    <row r="61" spans="1:1" hidden="1" x14ac:dyDescent="0.25">
      <c r="A61" s="1"/>
    </row>
    <row r="62" spans="1:1" hidden="1" x14ac:dyDescent="0.25">
      <c r="A62" s="1"/>
    </row>
    <row r="63" spans="1:1" hidden="1" x14ac:dyDescent="0.25">
      <c r="A63" s="1"/>
    </row>
    <row r="64" spans="1:1" hidden="1" x14ac:dyDescent="0.25">
      <c r="A64" s="1"/>
    </row>
    <row r="65" spans="1:1" hidden="1" x14ac:dyDescent="0.25">
      <c r="A65" s="1"/>
    </row>
    <row r="66" spans="1:1" hidden="1" x14ac:dyDescent="0.25">
      <c r="A66" s="1"/>
    </row>
    <row r="67" spans="1:1" hidden="1" x14ac:dyDescent="0.25">
      <c r="A67" s="1"/>
    </row>
    <row r="68" spans="1:1" hidden="1" x14ac:dyDescent="0.25">
      <c r="A68" s="1"/>
    </row>
    <row r="69" spans="1:1" hidden="1" x14ac:dyDescent="0.25">
      <c r="A69" s="1"/>
    </row>
    <row r="70" spans="1:1" hidden="1" x14ac:dyDescent="0.25">
      <c r="A70" s="1"/>
    </row>
    <row r="71" spans="1:1" hidden="1" x14ac:dyDescent="0.25">
      <c r="A71" s="1"/>
    </row>
    <row r="72" spans="1:1" hidden="1" x14ac:dyDescent="0.25">
      <c r="A72" s="1"/>
    </row>
    <row r="73" spans="1:1" hidden="1" x14ac:dyDescent="0.25">
      <c r="A73" s="1"/>
    </row>
    <row r="74" spans="1:1" hidden="1" x14ac:dyDescent="0.25">
      <c r="A74" s="1"/>
    </row>
    <row r="75" spans="1:1" hidden="1" x14ac:dyDescent="0.25">
      <c r="A75" s="1"/>
    </row>
    <row r="76" spans="1:1" hidden="1" x14ac:dyDescent="0.25">
      <c r="A76" s="1"/>
    </row>
    <row r="77" spans="1:1" hidden="1" x14ac:dyDescent="0.25">
      <c r="A77" s="1"/>
    </row>
    <row r="78" spans="1:1" hidden="1" x14ac:dyDescent="0.25">
      <c r="A78" s="1"/>
    </row>
    <row r="79" spans="1:1" hidden="1" x14ac:dyDescent="0.25">
      <c r="A79" s="1"/>
    </row>
    <row r="80" spans="1:1" hidden="1" x14ac:dyDescent="0.25">
      <c r="A80" s="1"/>
    </row>
    <row r="81" spans="1:1" hidden="1" x14ac:dyDescent="0.25">
      <c r="A81" s="1"/>
    </row>
    <row r="82" spans="1:1" hidden="1" x14ac:dyDescent="0.25">
      <c r="A82" s="1"/>
    </row>
    <row r="83" spans="1:1" hidden="1" x14ac:dyDescent="0.25">
      <c r="A83" s="1"/>
    </row>
    <row r="84" spans="1:1" hidden="1" x14ac:dyDescent="0.25">
      <c r="A84" s="1"/>
    </row>
    <row r="85" spans="1:1" hidden="1" x14ac:dyDescent="0.25">
      <c r="A85" s="1"/>
    </row>
    <row r="86" spans="1:1" hidden="1" x14ac:dyDescent="0.25">
      <c r="A86" s="1"/>
    </row>
    <row r="87" spans="1:1" hidden="1" x14ac:dyDescent="0.25">
      <c r="A87" s="1"/>
    </row>
    <row r="88" spans="1:1" hidden="1" x14ac:dyDescent="0.25">
      <c r="A88" s="1"/>
    </row>
    <row r="89" spans="1:1" hidden="1" x14ac:dyDescent="0.25">
      <c r="A89" s="1"/>
    </row>
    <row r="90" spans="1:1" hidden="1" x14ac:dyDescent="0.25">
      <c r="A90" s="1"/>
    </row>
  </sheetData>
  <phoneticPr fontId="12" type="noConversion"/>
  <pageMargins left="0.511811024" right="0.511811024" top="0.78740157499999996" bottom="0.78740157499999996" header="0.31496062000000002" footer="0.31496062000000002"/>
  <ignoredErrors>
    <ignoredError sqref="A2:A12 A13:A24" calculatedColumn="1"/>
  </ignoredErrors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69BB-66C1-4749-8C23-DF559032A5D4}">
  <sheetPr>
    <pageSetUpPr fitToPage="1"/>
  </sheetPr>
  <dimension ref="A1:Y38"/>
  <sheetViews>
    <sheetView showGridLines="0" topLeftCell="Q1" workbookViewId="0">
      <selection activeCell="V9" sqref="V9"/>
    </sheetView>
  </sheetViews>
  <sheetFormatPr defaultRowHeight="14.3" x14ac:dyDescent="0.25"/>
  <cols>
    <col min="1" max="1" width="11.375" bestFit="1" customWidth="1"/>
    <col min="2" max="2" width="43.875" customWidth="1"/>
    <col min="3" max="3" width="10" customWidth="1"/>
    <col min="4" max="4" width="12.375" style="281" bestFit="1" customWidth="1"/>
    <col min="5" max="5" width="11.125" bestFit="1" customWidth="1"/>
    <col min="6" max="6" width="10.75" bestFit="1" customWidth="1"/>
    <col min="7" max="7" width="24.25" customWidth="1"/>
    <col min="11" max="11" width="11.375" bestFit="1" customWidth="1"/>
    <col min="12" max="12" width="27.625" bestFit="1" customWidth="1"/>
    <col min="13" max="13" width="14.125" bestFit="1" customWidth="1"/>
    <col min="14" max="14" width="14.125" style="302" customWidth="1"/>
    <col min="15" max="15" width="11.375" bestFit="1" customWidth="1"/>
    <col min="16" max="16" width="32.375" bestFit="1" customWidth="1"/>
    <col min="17" max="17" width="13.125" bestFit="1" customWidth="1"/>
    <col min="21" max="21" width="11.5" bestFit="1" customWidth="1"/>
    <col min="22" max="22" width="40.5" bestFit="1" customWidth="1"/>
    <col min="23" max="24" width="15.625" bestFit="1" customWidth="1"/>
    <col min="25" max="25" width="13.5" bestFit="1" customWidth="1"/>
  </cols>
  <sheetData>
    <row r="1" spans="1:25" x14ac:dyDescent="0.25">
      <c r="A1" s="328" t="s">
        <v>338</v>
      </c>
      <c r="B1" s="328"/>
      <c r="C1" s="328"/>
      <c r="D1" s="328"/>
      <c r="E1" s="328"/>
      <c r="F1" s="328"/>
      <c r="G1" s="328"/>
    </row>
    <row r="2" spans="1:25" ht="22.45" customHeight="1" x14ac:dyDescent="0.25">
      <c r="A2" s="13" t="s">
        <v>291</v>
      </c>
      <c r="B2" s="13" t="s">
        <v>2</v>
      </c>
      <c r="C2" s="13" t="s">
        <v>339</v>
      </c>
      <c r="D2" s="286" t="s">
        <v>332</v>
      </c>
      <c r="E2" s="13" t="s">
        <v>340</v>
      </c>
      <c r="F2" s="13" t="s">
        <v>341</v>
      </c>
      <c r="G2" s="13" t="s">
        <v>342</v>
      </c>
      <c r="K2" s="329" t="s">
        <v>343</v>
      </c>
      <c r="L2" s="329"/>
      <c r="M2" s="329"/>
      <c r="N2" s="303"/>
      <c r="O2" s="329" t="s">
        <v>344</v>
      </c>
      <c r="P2" s="329"/>
      <c r="Q2" s="329"/>
      <c r="U2" s="321" t="s">
        <v>291</v>
      </c>
      <c r="V2" s="322" t="s">
        <v>2</v>
      </c>
      <c r="W2" s="323" t="s">
        <v>3</v>
      </c>
      <c r="X2" s="323" t="s">
        <v>4</v>
      </c>
      <c r="Y2" s="322" t="s">
        <v>391</v>
      </c>
    </row>
    <row r="3" spans="1:25" x14ac:dyDescent="0.25">
      <c r="A3" s="13" t="s">
        <v>293</v>
      </c>
      <c r="B3" s="300" t="s">
        <v>308</v>
      </c>
      <c r="C3" s="13"/>
      <c r="D3" s="298">
        <v>99628.87</v>
      </c>
      <c r="E3" s="13"/>
      <c r="F3" s="13"/>
      <c r="G3" s="13"/>
      <c r="K3" s="301" t="s">
        <v>291</v>
      </c>
      <c r="L3" s="295" t="s">
        <v>324</v>
      </c>
      <c r="M3" s="295" t="s">
        <v>325</v>
      </c>
      <c r="N3" s="303"/>
      <c r="O3" s="301" t="s">
        <v>291</v>
      </c>
      <c r="P3" s="295" t="s">
        <v>331</v>
      </c>
      <c r="Q3" s="295" t="s">
        <v>332</v>
      </c>
      <c r="U3" s="316" t="s">
        <v>293</v>
      </c>
      <c r="V3" s="317" t="s">
        <v>359</v>
      </c>
      <c r="W3" s="318">
        <v>128239.54</v>
      </c>
      <c r="X3" s="318">
        <v>99628.87</v>
      </c>
      <c r="Y3" s="324">
        <f>IFERROR(Tabela7[[#This Row],[REALIZADO]]/Tabela7[[#This Row],[PREVISTO]],0)</f>
        <v>0.77689665761433646</v>
      </c>
    </row>
    <row r="4" spans="1:25" x14ac:dyDescent="0.25">
      <c r="A4" s="13" t="s">
        <v>293</v>
      </c>
      <c r="B4" s="300" t="s">
        <v>309</v>
      </c>
      <c r="C4" s="13"/>
      <c r="D4" s="298">
        <v>1796497.92</v>
      </c>
      <c r="E4" s="13"/>
      <c r="F4" s="13"/>
      <c r="G4" s="13"/>
      <c r="K4" s="13" t="s">
        <v>293</v>
      </c>
      <c r="L4" s="13" t="s">
        <v>326</v>
      </c>
      <c r="M4" s="296">
        <v>24869.93</v>
      </c>
      <c r="N4" s="304"/>
      <c r="O4" s="13" t="s">
        <v>293</v>
      </c>
      <c r="P4" s="13" t="s">
        <v>333</v>
      </c>
      <c r="Q4" s="296">
        <v>2956.66</v>
      </c>
      <c r="U4" s="316" t="s">
        <v>293</v>
      </c>
      <c r="V4" s="317" t="s">
        <v>360</v>
      </c>
      <c r="W4" s="318">
        <v>1578340.8</v>
      </c>
      <c r="X4" s="318">
        <v>1796497.92</v>
      </c>
      <c r="Y4" s="324">
        <f>IFERROR(Tabela7[[#This Row],[REALIZADO]]/Tabela7[[#This Row],[PREVISTO]],0)</f>
        <v>1.1382192743164212</v>
      </c>
    </row>
    <row r="5" spans="1:25" x14ac:dyDescent="0.25">
      <c r="A5" s="13" t="s">
        <v>293</v>
      </c>
      <c r="B5" s="300" t="s">
        <v>310</v>
      </c>
      <c r="C5" s="13"/>
      <c r="D5" s="298">
        <v>1667393.65</v>
      </c>
      <c r="E5" s="13"/>
      <c r="F5" s="13"/>
      <c r="G5" s="13"/>
      <c r="K5" s="13" t="s">
        <v>293</v>
      </c>
      <c r="L5" s="13" t="s">
        <v>327</v>
      </c>
      <c r="M5" s="296">
        <v>25303.09</v>
      </c>
      <c r="N5" s="304"/>
      <c r="O5" s="13" t="s">
        <v>293</v>
      </c>
      <c r="P5" s="13" t="s">
        <v>334</v>
      </c>
      <c r="Q5" s="296">
        <v>4794</v>
      </c>
      <c r="U5" s="316" t="s">
        <v>293</v>
      </c>
      <c r="V5" s="317" t="s">
        <v>361</v>
      </c>
      <c r="W5" s="318">
        <v>1556560.83</v>
      </c>
      <c r="X5" s="318">
        <v>1503391.04</v>
      </c>
      <c r="Y5" s="324">
        <f>IFERROR(Tabela7[[#This Row],[REALIZADO]]/Tabela7[[#This Row],[PREVISTO]],0)</f>
        <v>0.96584149557457388</v>
      </c>
    </row>
    <row r="6" spans="1:25" x14ac:dyDescent="0.25">
      <c r="A6" s="13" t="s">
        <v>293</v>
      </c>
      <c r="B6" s="300" t="s">
        <v>311</v>
      </c>
      <c r="C6" s="13"/>
      <c r="D6" s="298">
        <v>1301864.8799999999</v>
      </c>
      <c r="E6" s="13"/>
      <c r="F6" s="13"/>
      <c r="G6" s="13"/>
      <c r="K6" s="13" t="s">
        <v>293</v>
      </c>
      <c r="L6" s="13" t="s">
        <v>328</v>
      </c>
      <c r="M6" s="296">
        <v>30121</v>
      </c>
      <c r="N6" s="304"/>
      <c r="O6" s="13" t="s">
        <v>293</v>
      </c>
      <c r="P6" s="13" t="s">
        <v>335</v>
      </c>
      <c r="Q6" s="296">
        <v>5694.2</v>
      </c>
      <c r="U6" s="316" t="s">
        <v>293</v>
      </c>
      <c r="V6" s="317" t="s">
        <v>362</v>
      </c>
      <c r="W6" s="318">
        <v>1519361.88</v>
      </c>
      <c r="X6" s="318">
        <v>1301864.8799999999</v>
      </c>
      <c r="Y6" s="324">
        <f>IFERROR(Tabela7[[#This Row],[REALIZADO]]/Tabela7[[#This Row],[PREVISTO]],0)</f>
        <v>0.85684977169494336</v>
      </c>
    </row>
    <row r="7" spans="1:25" x14ac:dyDescent="0.25">
      <c r="A7" s="13" t="s">
        <v>293</v>
      </c>
      <c r="B7" s="300" t="s">
        <v>312</v>
      </c>
      <c r="C7" s="13"/>
      <c r="D7" s="298">
        <v>59923.97</v>
      </c>
      <c r="E7" s="13"/>
      <c r="F7" s="13"/>
      <c r="G7" s="13"/>
      <c r="K7" s="13" t="s">
        <v>293</v>
      </c>
      <c r="L7" s="13" t="s">
        <v>329</v>
      </c>
      <c r="M7" s="296">
        <v>31797.84</v>
      </c>
      <c r="N7" s="304"/>
      <c r="O7" s="13" t="s">
        <v>293</v>
      </c>
      <c r="P7" s="13" t="s">
        <v>336</v>
      </c>
      <c r="Q7" s="296">
        <v>8400.02</v>
      </c>
      <c r="U7" s="316" t="s">
        <v>293</v>
      </c>
      <c r="V7" s="317" t="s">
        <v>364</v>
      </c>
      <c r="W7" s="318">
        <v>75657.88</v>
      </c>
      <c r="X7" s="318">
        <v>22416.49</v>
      </c>
      <c r="Y7" s="324">
        <f>IFERROR(Tabela7[[#This Row],[REALIZADO]]/Tabela7[[#This Row],[PREVISTO]],0)</f>
        <v>0.2962875777116673</v>
      </c>
    </row>
    <row r="8" spans="1:25" x14ac:dyDescent="0.25">
      <c r="A8" s="13" t="s">
        <v>293</v>
      </c>
      <c r="B8" s="300" t="s">
        <v>315</v>
      </c>
      <c r="C8" s="13"/>
      <c r="D8" s="298">
        <v>22416.49</v>
      </c>
      <c r="E8" s="13"/>
      <c r="F8" s="13"/>
      <c r="G8" s="13"/>
      <c r="K8" s="13" t="s">
        <v>293</v>
      </c>
      <c r="L8" s="13" t="s">
        <v>330</v>
      </c>
      <c r="M8" s="296">
        <v>40461.699999999997</v>
      </c>
      <c r="N8" s="304"/>
      <c r="O8" s="13" t="s">
        <v>293</v>
      </c>
      <c r="P8" s="13" t="s">
        <v>337</v>
      </c>
      <c r="Q8" s="296">
        <v>12104.66</v>
      </c>
      <c r="U8" s="316" t="s">
        <v>293</v>
      </c>
      <c r="V8" s="317" t="s">
        <v>365</v>
      </c>
      <c r="W8" s="318">
        <v>1667339.8</v>
      </c>
      <c r="X8" s="318">
        <v>1606536.6</v>
      </c>
      <c r="Y8" s="324">
        <f>IFERROR(Tabela7[[#This Row],[REALIZADO]]/Tabela7[[#This Row],[PREVISTO]],0)</f>
        <v>0.96353280836935584</v>
      </c>
    </row>
    <row r="9" spans="1:25" x14ac:dyDescent="0.25">
      <c r="A9" s="13" t="s">
        <v>293</v>
      </c>
      <c r="B9" s="300" t="s">
        <v>316</v>
      </c>
      <c r="C9" s="13"/>
      <c r="D9" s="298">
        <v>1606536.6</v>
      </c>
      <c r="E9" s="13"/>
      <c r="F9" s="13"/>
      <c r="G9" s="13"/>
      <c r="M9" s="297"/>
      <c r="N9" s="305"/>
      <c r="U9" s="316" t="s">
        <v>293</v>
      </c>
      <c r="V9" s="317" t="s">
        <v>366</v>
      </c>
      <c r="W9" s="318">
        <v>530375.25</v>
      </c>
      <c r="X9" s="318">
        <v>288855.31</v>
      </c>
      <c r="Y9" s="324">
        <f>IFERROR(Tabela7[[#This Row],[REALIZADO]]/Tabela7[[#This Row],[PREVISTO]],0)</f>
        <v>0.54462441450652155</v>
      </c>
    </row>
    <row r="10" spans="1:25" ht="28.55" x14ac:dyDescent="0.25">
      <c r="A10" s="13" t="s">
        <v>293</v>
      </c>
      <c r="B10" s="300" t="s">
        <v>317</v>
      </c>
      <c r="C10" s="13"/>
      <c r="D10" s="298"/>
      <c r="E10" s="13"/>
      <c r="F10" s="13"/>
      <c r="G10" s="13"/>
      <c r="U10" s="316" t="s">
        <v>293</v>
      </c>
      <c r="V10" s="317" t="s">
        <v>367</v>
      </c>
      <c r="W10" s="318">
        <v>391586.47</v>
      </c>
      <c r="X10" s="318">
        <v>162745.32</v>
      </c>
      <c r="Y10" s="324">
        <f>IFERROR(Tabela7[[#This Row],[REALIZADO]]/Tabela7[[#This Row],[PREVISTO]],0)</f>
        <v>0.41560506418927096</v>
      </c>
    </row>
    <row r="11" spans="1:25" ht="28.55" x14ac:dyDescent="0.25">
      <c r="A11" s="13" t="s">
        <v>293</v>
      </c>
      <c r="B11" s="300" t="s">
        <v>318</v>
      </c>
      <c r="C11" s="13"/>
      <c r="D11" s="298">
        <v>326747.93</v>
      </c>
      <c r="E11" s="13"/>
      <c r="F11" s="13"/>
      <c r="G11" s="13"/>
      <c r="U11" s="316" t="s">
        <v>293</v>
      </c>
      <c r="V11" s="317" t="s">
        <v>368</v>
      </c>
      <c r="W11" s="318">
        <v>76509.75</v>
      </c>
      <c r="X11" s="318">
        <v>56091.59</v>
      </c>
      <c r="Y11" s="324">
        <f>IFERROR(Tabela7[[#This Row],[REALIZADO]]/Tabela7[[#This Row],[PREVISTO]],0)</f>
        <v>0.73312996056058211</v>
      </c>
    </row>
    <row r="12" spans="1:25" x14ac:dyDescent="0.25">
      <c r="A12" s="13" t="s">
        <v>293</v>
      </c>
      <c r="B12" s="300" t="s">
        <v>319</v>
      </c>
      <c r="C12" s="13"/>
      <c r="D12" s="298">
        <v>56091.59</v>
      </c>
      <c r="E12" s="13"/>
      <c r="F12" s="13"/>
      <c r="G12" s="13"/>
      <c r="U12" s="316" t="s">
        <v>293</v>
      </c>
      <c r="V12" s="317" t="s">
        <v>369</v>
      </c>
      <c r="W12" s="318">
        <v>169456.11</v>
      </c>
      <c r="X12" s="318">
        <v>152553.56</v>
      </c>
      <c r="Y12" s="324">
        <f>IFERROR(Tabela7[[#This Row],[REALIZADO]]/Tabela7[[#This Row],[PREVISTO]],0)</f>
        <v>0.90025411299716496</v>
      </c>
    </row>
    <row r="13" spans="1:25" x14ac:dyDescent="0.25">
      <c r="A13" s="13" t="s">
        <v>293</v>
      </c>
      <c r="B13" s="300" t="s">
        <v>320</v>
      </c>
      <c r="C13" s="13"/>
      <c r="D13" s="299">
        <v>152553.56</v>
      </c>
      <c r="E13" s="13"/>
      <c r="F13" s="13"/>
      <c r="G13" s="13"/>
      <c r="U13" s="316" t="s">
        <v>293</v>
      </c>
      <c r="V13" s="317" t="s">
        <v>370</v>
      </c>
      <c r="W13" s="318">
        <v>39811.19</v>
      </c>
      <c r="X13" s="318">
        <v>33949.54</v>
      </c>
      <c r="Y13" s="324">
        <f>IFERROR(Tabela7[[#This Row],[REALIZADO]]/Tabela7[[#This Row],[PREVISTO]],0)</f>
        <v>0.85276375812930982</v>
      </c>
    </row>
    <row r="14" spans="1:25" x14ac:dyDescent="0.25">
      <c r="A14" s="13" t="s">
        <v>293</v>
      </c>
      <c r="B14" s="300" t="s">
        <v>321</v>
      </c>
      <c r="C14" s="13"/>
      <c r="D14" s="298">
        <v>33949.54</v>
      </c>
      <c r="E14" s="13"/>
      <c r="F14" s="13"/>
      <c r="G14" s="13"/>
      <c r="U14" s="316" t="s">
        <v>293</v>
      </c>
      <c r="V14" s="317" t="s">
        <v>371</v>
      </c>
      <c r="W14" s="318">
        <v>331808.28999999998</v>
      </c>
      <c r="X14" s="318">
        <v>455960.81</v>
      </c>
      <c r="Y14" s="324">
        <f>IFERROR(Tabela7[[#This Row],[REALIZADO]]/Tabela7[[#This Row],[PREVISTO]],0)</f>
        <v>1.374169433801669</v>
      </c>
    </row>
    <row r="15" spans="1:25" x14ac:dyDescent="0.25">
      <c r="A15" s="13" t="s">
        <v>293</v>
      </c>
      <c r="B15" s="300" t="s">
        <v>322</v>
      </c>
      <c r="C15" s="13"/>
      <c r="D15" s="298"/>
      <c r="E15" s="13"/>
      <c r="F15" s="13"/>
      <c r="G15" s="13"/>
      <c r="U15" s="316" t="s">
        <v>293</v>
      </c>
      <c r="V15" s="317" t="s">
        <v>372</v>
      </c>
      <c r="W15" s="318">
        <v>0</v>
      </c>
      <c r="X15" s="318">
        <v>1356858.97</v>
      </c>
      <c r="Y15" s="324">
        <f>IFERROR(Tabela7[[#This Row],[REALIZADO]]/Tabela7[[#This Row],[PREVISTO]],0)</f>
        <v>0</v>
      </c>
    </row>
    <row r="16" spans="1:25" x14ac:dyDescent="0.25">
      <c r="A16" s="13" t="s">
        <v>293</v>
      </c>
      <c r="B16" s="300" t="s">
        <v>323</v>
      </c>
      <c r="C16" s="13"/>
      <c r="D16" s="298" t="s">
        <v>271</v>
      </c>
      <c r="E16" s="13"/>
      <c r="F16" s="13"/>
      <c r="G16" s="13"/>
      <c r="U16" s="316" t="s">
        <v>293</v>
      </c>
      <c r="V16" s="317" t="s">
        <v>372</v>
      </c>
      <c r="W16" s="318">
        <v>0</v>
      </c>
      <c r="X16" s="318">
        <v>1273982.51</v>
      </c>
      <c r="Y16" s="324">
        <f>IFERROR(Tabela7[[#This Row],[REALIZADO]]/Tabela7[[#This Row],[PREVISTO]],0)</f>
        <v>0</v>
      </c>
    </row>
    <row r="17" spans="1:25" x14ac:dyDescent="0.25">
      <c r="A17" s="13"/>
      <c r="B17" s="13"/>
      <c r="C17" s="13"/>
      <c r="D17" s="286"/>
      <c r="E17" s="13"/>
      <c r="F17" s="13"/>
      <c r="G17" s="13"/>
      <c r="U17" s="316" t="s">
        <v>293</v>
      </c>
      <c r="V17" s="317" t="s">
        <v>372</v>
      </c>
      <c r="W17" s="318">
        <v>0</v>
      </c>
      <c r="X17" s="318">
        <v>40632.07</v>
      </c>
      <c r="Y17" s="324">
        <f>IFERROR(Tabela7[[#This Row],[REALIZADO]]/Tabela7[[#This Row],[PREVISTO]],0)</f>
        <v>0</v>
      </c>
    </row>
    <row r="18" spans="1:25" x14ac:dyDescent="0.25">
      <c r="A18" s="13"/>
      <c r="B18" s="13"/>
      <c r="C18" s="13"/>
      <c r="D18" s="286"/>
      <c r="E18" s="13"/>
      <c r="F18" s="13"/>
      <c r="G18" s="13"/>
      <c r="U18" s="320" t="s">
        <v>392</v>
      </c>
      <c r="V18" s="319" t="s">
        <v>359</v>
      </c>
      <c r="W18" s="318"/>
      <c r="X18" s="318"/>
      <c r="Y18" s="324">
        <f>IFERROR(Tabela7[[#This Row],[REALIZADO]]/Tabela7[[#This Row],[PREVISTO]],0)</f>
        <v>0</v>
      </c>
    </row>
    <row r="19" spans="1:25" x14ac:dyDescent="0.25">
      <c r="A19" s="13"/>
      <c r="B19" s="13"/>
      <c r="C19" s="13"/>
      <c r="D19" s="286"/>
      <c r="E19" s="13"/>
      <c r="F19" s="13"/>
      <c r="G19" s="13"/>
      <c r="U19" s="320" t="s">
        <v>392</v>
      </c>
      <c r="V19" s="319" t="s">
        <v>360</v>
      </c>
      <c r="W19" s="318"/>
      <c r="X19" s="318"/>
      <c r="Y19" s="324">
        <f>IFERROR(Tabela7[[#This Row],[REALIZADO]]/Tabela7[[#This Row],[PREVISTO]],0)</f>
        <v>0</v>
      </c>
    </row>
    <row r="20" spans="1:25" x14ac:dyDescent="0.25">
      <c r="A20" s="13"/>
      <c r="B20" s="13"/>
      <c r="C20" s="13"/>
      <c r="D20" s="286"/>
      <c r="E20" s="13"/>
      <c r="F20" s="13"/>
      <c r="G20" s="13"/>
      <c r="U20" s="320" t="s">
        <v>392</v>
      </c>
      <c r="V20" s="319" t="s">
        <v>361</v>
      </c>
      <c r="W20" s="318"/>
      <c r="X20" s="318"/>
      <c r="Y20" s="324">
        <f>IFERROR(Tabela7[[#This Row],[REALIZADO]]/Tabela7[[#This Row],[PREVISTO]],0)</f>
        <v>0</v>
      </c>
    </row>
    <row r="21" spans="1:25" x14ac:dyDescent="0.25">
      <c r="A21" s="13"/>
      <c r="B21" s="13"/>
      <c r="C21" s="13"/>
      <c r="D21" s="286"/>
      <c r="E21" s="13"/>
      <c r="F21" s="13"/>
      <c r="G21" s="13"/>
      <c r="U21" s="320" t="s">
        <v>392</v>
      </c>
      <c r="V21" s="319" t="s">
        <v>362</v>
      </c>
      <c r="W21" s="318"/>
      <c r="X21" s="318"/>
      <c r="Y21" s="324">
        <f>IFERROR(Tabela7[[#This Row],[REALIZADO]]/Tabela7[[#This Row],[PREVISTO]],0)</f>
        <v>0</v>
      </c>
    </row>
    <row r="22" spans="1:25" x14ac:dyDescent="0.25">
      <c r="A22" s="13"/>
      <c r="B22" s="13"/>
      <c r="C22" s="13"/>
      <c r="D22" s="286"/>
      <c r="E22" s="13"/>
      <c r="F22" s="13"/>
      <c r="G22" s="13"/>
      <c r="U22" s="320" t="s">
        <v>392</v>
      </c>
      <c r="V22" s="319" t="s">
        <v>364</v>
      </c>
      <c r="W22" s="318"/>
      <c r="X22" s="318"/>
      <c r="Y22" s="324">
        <f>IFERROR(Tabela7[[#This Row],[REALIZADO]]/Tabela7[[#This Row],[PREVISTO]],0)</f>
        <v>0</v>
      </c>
    </row>
    <row r="23" spans="1:25" x14ac:dyDescent="0.25">
      <c r="A23" s="13"/>
      <c r="B23" s="13"/>
      <c r="C23" s="13"/>
      <c r="D23" s="286"/>
      <c r="E23" s="13"/>
      <c r="F23" s="13"/>
      <c r="G23" s="13"/>
      <c r="U23" s="320" t="s">
        <v>392</v>
      </c>
      <c r="V23" s="319" t="s">
        <v>365</v>
      </c>
      <c r="W23" s="318"/>
      <c r="X23" s="318"/>
      <c r="Y23" s="324">
        <f>IFERROR(Tabela7[[#This Row],[REALIZADO]]/Tabela7[[#This Row],[PREVISTO]],0)</f>
        <v>0</v>
      </c>
    </row>
    <row r="24" spans="1:25" x14ac:dyDescent="0.25">
      <c r="A24" s="13"/>
      <c r="B24" s="13"/>
      <c r="C24" s="13"/>
      <c r="D24" s="286"/>
      <c r="E24" s="13"/>
      <c r="F24" s="13"/>
      <c r="G24" s="13"/>
      <c r="U24" s="320" t="s">
        <v>392</v>
      </c>
      <c r="V24" s="319" t="s">
        <v>366</v>
      </c>
      <c r="W24" s="318"/>
      <c r="X24" s="318"/>
      <c r="Y24" s="324">
        <f>IFERROR(Tabela7[[#This Row],[REALIZADO]]/Tabela7[[#This Row],[PREVISTO]],0)</f>
        <v>0</v>
      </c>
    </row>
    <row r="25" spans="1:25" x14ac:dyDescent="0.25">
      <c r="A25" s="13"/>
      <c r="B25" s="13"/>
      <c r="C25" s="13"/>
      <c r="D25" s="286"/>
      <c r="E25" s="13"/>
      <c r="F25" s="13"/>
      <c r="G25" s="13"/>
      <c r="U25" s="320" t="s">
        <v>392</v>
      </c>
      <c r="V25" s="319" t="s">
        <v>367</v>
      </c>
      <c r="W25" s="318"/>
      <c r="X25" s="318"/>
      <c r="Y25" s="324">
        <f>IFERROR(Tabela7[[#This Row],[REALIZADO]]/Tabela7[[#This Row],[PREVISTO]],0)</f>
        <v>0</v>
      </c>
    </row>
    <row r="26" spans="1:25" x14ac:dyDescent="0.25">
      <c r="A26" s="13"/>
      <c r="B26" s="13"/>
      <c r="C26" s="13"/>
      <c r="D26" s="286"/>
      <c r="E26" s="13"/>
      <c r="F26" s="13"/>
      <c r="G26" s="13"/>
      <c r="U26" s="320" t="s">
        <v>392</v>
      </c>
      <c r="V26" s="319" t="s">
        <v>368</v>
      </c>
      <c r="W26" s="318"/>
      <c r="X26" s="318"/>
      <c r="Y26" s="324">
        <f>IFERROR(Tabela7[[#This Row],[REALIZADO]]/Tabela7[[#This Row],[PREVISTO]],0)</f>
        <v>0</v>
      </c>
    </row>
    <row r="27" spans="1:25" x14ac:dyDescent="0.25">
      <c r="A27" s="13"/>
      <c r="B27" s="13"/>
      <c r="C27" s="13"/>
      <c r="D27" s="286"/>
      <c r="E27" s="13"/>
      <c r="F27" s="13"/>
      <c r="G27" s="13"/>
      <c r="U27" s="320" t="s">
        <v>392</v>
      </c>
      <c r="V27" s="319" t="s">
        <v>369</v>
      </c>
      <c r="W27" s="318"/>
      <c r="X27" s="318"/>
      <c r="Y27" s="324">
        <f>IFERROR(Tabela7[[#This Row],[REALIZADO]]/Tabela7[[#This Row],[PREVISTO]],0)</f>
        <v>0</v>
      </c>
    </row>
    <row r="28" spans="1:25" x14ac:dyDescent="0.25">
      <c r="A28" s="13"/>
      <c r="B28" s="13"/>
      <c r="C28" s="13"/>
      <c r="D28" s="286"/>
      <c r="E28" s="13"/>
      <c r="F28" s="13"/>
      <c r="G28" s="13"/>
      <c r="U28" s="320" t="s">
        <v>392</v>
      </c>
      <c r="V28" s="319" t="s">
        <v>370</v>
      </c>
      <c r="W28" s="318"/>
      <c r="X28" s="318"/>
      <c r="Y28" s="324">
        <f>IFERROR(Tabela7[[#This Row],[REALIZADO]]/Tabela7[[#This Row],[PREVISTO]],0)</f>
        <v>0</v>
      </c>
    </row>
    <row r="29" spans="1:25" x14ac:dyDescent="0.25">
      <c r="A29" s="13"/>
      <c r="B29" s="13"/>
      <c r="C29" s="13"/>
      <c r="D29" s="286"/>
      <c r="E29" s="13"/>
      <c r="F29" s="13"/>
      <c r="G29" s="13"/>
      <c r="U29" s="320" t="s">
        <v>392</v>
      </c>
      <c r="V29" s="319" t="s">
        <v>371</v>
      </c>
      <c r="W29" s="318"/>
      <c r="X29" s="318"/>
      <c r="Y29" s="324">
        <f>IFERROR(Tabela7[[#This Row],[REALIZADO]]/Tabela7[[#This Row],[PREVISTO]],0)</f>
        <v>0</v>
      </c>
    </row>
    <row r="30" spans="1:25" x14ac:dyDescent="0.25">
      <c r="A30" s="13"/>
      <c r="B30" s="13"/>
      <c r="C30" s="13"/>
      <c r="D30" s="286"/>
      <c r="E30" s="13"/>
      <c r="F30" s="13"/>
      <c r="G30" s="13"/>
      <c r="U30" s="320" t="s">
        <v>392</v>
      </c>
      <c r="V30" s="319" t="s">
        <v>372</v>
      </c>
      <c r="W30" s="318"/>
      <c r="X30" s="318"/>
      <c r="Y30" s="324">
        <f>IFERROR(Tabela7[[#This Row],[REALIZADO]]/Tabela7[[#This Row],[PREVISTO]],0)</f>
        <v>0</v>
      </c>
    </row>
    <row r="31" spans="1:25" x14ac:dyDescent="0.25">
      <c r="A31" s="13"/>
      <c r="B31" s="13"/>
      <c r="C31" s="13"/>
      <c r="D31" s="286"/>
      <c r="E31" s="13"/>
      <c r="F31" s="13"/>
      <c r="G31" s="13"/>
      <c r="U31" s="320" t="s">
        <v>392</v>
      </c>
      <c r="V31" s="319" t="s">
        <v>372</v>
      </c>
      <c r="W31" s="318"/>
      <c r="X31" s="318"/>
      <c r="Y31" s="324">
        <f>IFERROR(Tabela7[[#This Row],[REALIZADO]]/Tabela7[[#This Row],[PREVISTO]],0)</f>
        <v>0</v>
      </c>
    </row>
    <row r="32" spans="1:25" x14ac:dyDescent="0.25">
      <c r="A32" s="13"/>
      <c r="B32" s="13"/>
      <c r="C32" s="13"/>
      <c r="D32" s="286"/>
      <c r="E32" s="13"/>
      <c r="F32" s="13"/>
      <c r="G32" s="13"/>
      <c r="U32" s="320" t="s">
        <v>392</v>
      </c>
      <c r="V32" s="319" t="s">
        <v>372</v>
      </c>
      <c r="W32" s="318"/>
      <c r="X32" s="318"/>
      <c r="Y32" s="324">
        <f>IFERROR(Tabela7[[#This Row],[REALIZADO]]/Tabela7[[#This Row],[PREVISTO]],0)</f>
        <v>0</v>
      </c>
    </row>
    <row r="33" spans="1:7" x14ac:dyDescent="0.25">
      <c r="A33" s="13"/>
      <c r="B33" s="13"/>
      <c r="C33" s="13"/>
      <c r="D33" s="286"/>
      <c r="E33" s="13"/>
      <c r="F33" s="13"/>
      <c r="G33" s="13"/>
    </row>
    <row r="34" spans="1:7" x14ac:dyDescent="0.25">
      <c r="A34" s="13"/>
      <c r="B34" s="13"/>
      <c r="C34" s="13"/>
      <c r="D34" s="286"/>
      <c r="E34" s="13"/>
      <c r="F34" s="13"/>
      <c r="G34" s="13"/>
    </row>
    <row r="35" spans="1:7" x14ac:dyDescent="0.25">
      <c r="A35" s="13"/>
      <c r="B35" s="13"/>
      <c r="C35" s="13"/>
      <c r="D35" s="286"/>
      <c r="E35" s="13"/>
      <c r="F35" s="13"/>
      <c r="G35" s="13"/>
    </row>
    <row r="36" spans="1:7" x14ac:dyDescent="0.25">
      <c r="A36" s="13"/>
      <c r="B36" s="13"/>
      <c r="C36" s="13"/>
      <c r="D36" s="286"/>
      <c r="E36" s="13"/>
      <c r="F36" s="13"/>
      <c r="G36" s="13"/>
    </row>
    <row r="37" spans="1:7" x14ac:dyDescent="0.25">
      <c r="A37" s="13"/>
      <c r="B37" s="13"/>
      <c r="C37" s="13"/>
      <c r="D37" s="286"/>
      <c r="E37" s="13"/>
      <c r="F37" s="13"/>
      <c r="G37" s="13"/>
    </row>
    <row r="38" spans="1:7" x14ac:dyDescent="0.25">
      <c r="A38" s="13"/>
      <c r="B38" s="13"/>
      <c r="C38" s="13"/>
      <c r="D38" s="286"/>
      <c r="E38" s="13"/>
      <c r="F38" s="13"/>
      <c r="G38" s="13"/>
    </row>
  </sheetData>
  <mergeCells count="3">
    <mergeCell ref="A1:G1"/>
    <mergeCell ref="K2:M2"/>
    <mergeCell ref="O2:Q2"/>
  </mergeCells>
  <phoneticPr fontId="12" type="noConversion"/>
  <pageMargins left="0.7" right="0.7" top="0.75" bottom="0.75" header="0.3" footer="0.3"/>
  <pageSetup paperSize="9" scale="66" fitToHeight="0" orientation="landscape" horizontalDpi="0" verticalDpi="0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624A-231E-4F57-86B7-B7EAD2415CCF}">
  <dimension ref="A1:S50"/>
  <sheetViews>
    <sheetView showGridLines="0" topLeftCell="I1" workbookViewId="0">
      <selection activeCell="M3" sqref="M3"/>
    </sheetView>
  </sheetViews>
  <sheetFormatPr defaultRowHeight="14.3" x14ac:dyDescent="0.25"/>
  <cols>
    <col min="1" max="1" width="16.5" bestFit="1" customWidth="1"/>
    <col min="2" max="2" width="21.25" bestFit="1" customWidth="1"/>
    <col min="3" max="3" width="14.375" bestFit="1" customWidth="1"/>
    <col min="4" max="4" width="10.875" bestFit="1" customWidth="1"/>
    <col min="5" max="5" width="16.5" bestFit="1" customWidth="1"/>
    <col min="6" max="6" width="26.25" bestFit="1" customWidth="1"/>
    <col min="7" max="7" width="4.25" customWidth="1"/>
    <col min="8" max="8" width="16.5" bestFit="1" customWidth="1"/>
    <col min="9" max="9" width="20.5" bestFit="1" customWidth="1"/>
    <col min="12" max="12" width="18.375" bestFit="1" customWidth="1"/>
    <col min="13" max="13" width="28.625" bestFit="1" customWidth="1"/>
    <col min="16" max="16" width="18" bestFit="1" customWidth="1"/>
    <col min="17" max="17" width="23.5" bestFit="1" customWidth="1"/>
    <col min="18" max="18" width="13.375" customWidth="1"/>
    <col min="19" max="19" width="20.875" bestFit="1" customWidth="1"/>
  </cols>
  <sheetData>
    <row r="1" spans="1:19" x14ac:dyDescent="0.25">
      <c r="P1" s="289" t="s">
        <v>290</v>
      </c>
      <c r="Q1" s="290" t="s">
        <v>279</v>
      </c>
      <c r="R1" s="290" t="s">
        <v>293</v>
      </c>
      <c r="S1" s="268" t="s">
        <v>304</v>
      </c>
    </row>
    <row r="2" spans="1:19" x14ac:dyDescent="0.25">
      <c r="B2" s="281">
        <f>GETPIVOTDATA("FATURAMENTO",$A$3)</f>
        <v>3353201.52</v>
      </c>
      <c r="F2">
        <f>GETPIVOTDATA("NOVOS CADASTROS ",$E$3)</f>
        <v>72</v>
      </c>
      <c r="I2">
        <f>GETPIVOTDATA("POSITIVADOS ",$H$3)</f>
        <v>38</v>
      </c>
      <c r="M2" s="8">
        <f>IFERROR(I2/F2, 0)</f>
        <v>0.52777777777777779</v>
      </c>
      <c r="P2" s="287" t="s">
        <v>282</v>
      </c>
      <c r="Q2" s="286">
        <v>63415.37</v>
      </c>
      <c r="R2" s="286">
        <v>69097.539999999994</v>
      </c>
      <c r="S2" s="288">
        <f>(R2-Q2)/Q2</f>
        <v>8.9602410267416097E-2</v>
      </c>
    </row>
    <row r="3" spans="1:19" x14ac:dyDescent="0.25">
      <c r="A3" s="19" t="s">
        <v>133</v>
      </c>
      <c r="B3" t="s">
        <v>298</v>
      </c>
      <c r="E3" s="19" t="s">
        <v>133</v>
      </c>
      <c r="F3" t="s">
        <v>375</v>
      </c>
      <c r="H3" s="19" t="s">
        <v>133</v>
      </c>
      <c r="I3" t="s">
        <v>299</v>
      </c>
      <c r="P3" s="287" t="s">
        <v>281</v>
      </c>
      <c r="Q3" s="286">
        <v>151948.82999999999</v>
      </c>
      <c r="R3" s="286">
        <v>198386.32</v>
      </c>
      <c r="S3" s="288">
        <f t="shared" ref="S3:S14" si="0">(R3-Q3)/Q3</f>
        <v>0.30561268553367621</v>
      </c>
    </row>
    <row r="4" spans="1:19" x14ac:dyDescent="0.25">
      <c r="A4" s="10" t="s">
        <v>279</v>
      </c>
      <c r="B4" s="281">
        <v>1568068.67</v>
      </c>
      <c r="E4" s="10" t="s">
        <v>279</v>
      </c>
      <c r="F4" s="15">
        <v>37</v>
      </c>
      <c r="G4" s="15"/>
      <c r="H4" s="10" t="s">
        <v>279</v>
      </c>
      <c r="I4" s="15">
        <v>23</v>
      </c>
      <c r="L4" s="13" t="s">
        <v>279</v>
      </c>
      <c r="M4" s="306">
        <f>I4/F4</f>
        <v>0.6216216216216216</v>
      </c>
      <c r="P4" s="287" t="s">
        <v>288</v>
      </c>
      <c r="Q4" s="286">
        <v>43400.49</v>
      </c>
      <c r="R4" s="286">
        <v>90578.53</v>
      </c>
      <c r="S4" s="288">
        <f t="shared" si="0"/>
        <v>1.0870393398784208</v>
      </c>
    </row>
    <row r="5" spans="1:19" x14ac:dyDescent="0.25">
      <c r="A5" s="10" t="s">
        <v>293</v>
      </c>
      <c r="B5" s="281">
        <v>1785132.85</v>
      </c>
      <c r="E5" s="10" t="s">
        <v>293</v>
      </c>
      <c r="F5" s="15">
        <v>35</v>
      </c>
      <c r="G5" s="15"/>
      <c r="H5" s="10" t="s">
        <v>293</v>
      </c>
      <c r="I5" s="15">
        <v>15</v>
      </c>
      <c r="L5" s="13" t="s">
        <v>293</v>
      </c>
      <c r="M5" s="306">
        <f>I5/F5</f>
        <v>0.42857142857142855</v>
      </c>
      <c r="P5" s="287" t="s">
        <v>285</v>
      </c>
      <c r="Q5" s="286">
        <v>4466.9799999999996</v>
      </c>
      <c r="R5" s="286">
        <v>7893.42</v>
      </c>
      <c r="S5" s="288">
        <f t="shared" si="0"/>
        <v>0.76705962417561768</v>
      </c>
    </row>
    <row r="6" spans="1:19" x14ac:dyDescent="0.25">
      <c r="A6" s="10" t="s">
        <v>160</v>
      </c>
      <c r="B6" s="281">
        <v>3353201.52</v>
      </c>
      <c r="C6" s="281"/>
      <c r="E6" s="10" t="s">
        <v>160</v>
      </c>
      <c r="F6" s="15">
        <v>72</v>
      </c>
      <c r="G6" s="15"/>
      <c r="H6" s="10" t="s">
        <v>160</v>
      </c>
      <c r="I6" s="15">
        <v>38</v>
      </c>
      <c r="P6" s="287" t="s">
        <v>388</v>
      </c>
      <c r="Q6" s="286">
        <v>621582.89</v>
      </c>
      <c r="R6" s="286">
        <v>611361.09</v>
      </c>
      <c r="S6" s="288">
        <f>(R6-Q6)/Q6</f>
        <v>-1.6444789849347441E-2</v>
      </c>
    </row>
    <row r="7" spans="1:19" x14ac:dyDescent="0.25">
      <c r="P7" s="287" t="s">
        <v>387</v>
      </c>
      <c r="Q7" s="286">
        <v>11530.23</v>
      </c>
      <c r="R7" s="286">
        <v>13773.95</v>
      </c>
      <c r="S7" s="288">
        <f>(R7-Q7)/Q7</f>
        <v>0.19459455709036172</v>
      </c>
    </row>
    <row r="8" spans="1:19" x14ac:dyDescent="0.25">
      <c r="P8" s="287" t="s">
        <v>389</v>
      </c>
      <c r="Q8" s="286">
        <v>8399.56</v>
      </c>
      <c r="R8" s="286">
        <v>34742.370000000003</v>
      </c>
      <c r="S8" s="288">
        <f>(R8-Q8)/Q8</f>
        <v>3.1362130873521954</v>
      </c>
    </row>
    <row r="9" spans="1:19" x14ac:dyDescent="0.25">
      <c r="P9" s="287" t="s">
        <v>306</v>
      </c>
      <c r="Q9" s="286">
        <v>27967.200000000001</v>
      </c>
      <c r="R9" s="286">
        <v>67412.41</v>
      </c>
      <c r="S9" s="288">
        <f t="shared" si="0"/>
        <v>1.4104096942132214</v>
      </c>
    </row>
    <row r="10" spans="1:19" x14ac:dyDescent="0.25">
      <c r="P10" s="287" t="s">
        <v>280</v>
      </c>
      <c r="Q10" s="286">
        <v>219146.11</v>
      </c>
      <c r="R10" s="286">
        <v>178980.94</v>
      </c>
      <c r="S10" s="288">
        <f t="shared" si="0"/>
        <v>-0.18328032379858344</v>
      </c>
    </row>
    <row r="11" spans="1:19" x14ac:dyDescent="0.25">
      <c r="A11" s="314" t="s">
        <v>390</v>
      </c>
      <c r="P11" s="287" t="s">
        <v>283</v>
      </c>
      <c r="Q11" s="286">
        <v>25523.71</v>
      </c>
      <c r="R11" s="286">
        <v>38237.519999999997</v>
      </c>
      <c r="S11" s="288">
        <f t="shared" si="0"/>
        <v>0.49811763258554492</v>
      </c>
    </row>
    <row r="12" spans="1:19" x14ac:dyDescent="0.25">
      <c r="A12" s="313">
        <f>GETPIVOTDATA("FATURAMENTO",$A$3,"MÊS","FEVEREIRO")
-GETPIVOTDATA("FATURAMENTO",$A$3,"MÊS","JANEIRO")</f>
        <v>217064.18000000017</v>
      </c>
      <c r="P12" s="287" t="s">
        <v>287</v>
      </c>
      <c r="Q12" s="286">
        <v>231307.25</v>
      </c>
      <c r="R12" s="286">
        <v>283757.82</v>
      </c>
      <c r="S12" s="288">
        <f t="shared" si="0"/>
        <v>0.22675713796260172</v>
      </c>
    </row>
    <row r="13" spans="1:19" x14ac:dyDescent="0.25">
      <c r="P13" s="287" t="s">
        <v>286</v>
      </c>
      <c r="Q13" s="286">
        <v>153205.51999999999</v>
      </c>
      <c r="R13" s="286">
        <v>178716.43</v>
      </c>
      <c r="S13" s="288">
        <f t="shared" si="0"/>
        <v>0.16651430052911936</v>
      </c>
    </row>
    <row r="14" spans="1:19" x14ac:dyDescent="0.25">
      <c r="A14" s="8">
        <f>IFERROR(A12 / GETPIVOTDATA("FATURAMENTO", $A$3, "MÊS", "JANEIRO"), 0)</f>
        <v>0.13842772587249014</v>
      </c>
      <c r="P14" s="291" t="s">
        <v>289</v>
      </c>
      <c r="Q14" s="292">
        <v>6174.53</v>
      </c>
      <c r="R14" s="292">
        <v>12194.51</v>
      </c>
      <c r="S14" s="293">
        <f t="shared" si="0"/>
        <v>0.97496975478295522</v>
      </c>
    </row>
    <row r="17" spans="16:17" x14ac:dyDescent="0.25">
      <c r="Q17" t="s">
        <v>307</v>
      </c>
    </row>
    <row r="18" spans="16:17" x14ac:dyDescent="0.25">
      <c r="Q18" s="3" t="str">
        <f>P20</f>
        <v>KARINY</v>
      </c>
    </row>
    <row r="19" spans="16:17" x14ac:dyDescent="0.25">
      <c r="P19" s="19" t="s">
        <v>133</v>
      </c>
      <c r="Q19" t="s">
        <v>305</v>
      </c>
    </row>
    <row r="20" spans="16:17" x14ac:dyDescent="0.25">
      <c r="P20" s="10" t="s">
        <v>389</v>
      </c>
      <c r="Q20" s="5">
        <v>3.1362130873521954</v>
      </c>
    </row>
    <row r="21" spans="16:17" x14ac:dyDescent="0.25">
      <c r="P21" s="10" t="s">
        <v>306</v>
      </c>
      <c r="Q21" s="5">
        <v>1.4104096942132214</v>
      </c>
    </row>
    <row r="22" spans="16:17" x14ac:dyDescent="0.25">
      <c r="P22" s="10" t="s">
        <v>288</v>
      </c>
      <c r="Q22" s="5">
        <v>1.0870393398784208</v>
      </c>
    </row>
    <row r="23" spans="16:17" x14ac:dyDescent="0.25">
      <c r="P23" s="10" t="s">
        <v>289</v>
      </c>
      <c r="Q23" s="5">
        <v>0.97496975478295522</v>
      </c>
    </row>
    <row r="24" spans="16:17" x14ac:dyDescent="0.25">
      <c r="P24" s="10" t="s">
        <v>285</v>
      </c>
      <c r="Q24" s="5">
        <v>0.76705962417561768</v>
      </c>
    </row>
    <row r="25" spans="16:17" x14ac:dyDescent="0.25">
      <c r="P25" s="10" t="s">
        <v>283</v>
      </c>
      <c r="Q25" s="5">
        <v>0.49811763258554492</v>
      </c>
    </row>
    <row r="26" spans="16:17" x14ac:dyDescent="0.25">
      <c r="P26" s="10" t="s">
        <v>281</v>
      </c>
      <c r="Q26" s="5">
        <v>0.30561268553367621</v>
      </c>
    </row>
    <row r="27" spans="16:17" x14ac:dyDescent="0.25">
      <c r="P27" s="10" t="s">
        <v>287</v>
      </c>
      <c r="Q27" s="5">
        <v>0.22675713796260172</v>
      </c>
    </row>
    <row r="28" spans="16:17" x14ac:dyDescent="0.25">
      <c r="P28" s="10" t="s">
        <v>387</v>
      </c>
      <c r="Q28" s="5">
        <v>0.19459455709036172</v>
      </c>
    </row>
    <row r="29" spans="16:17" x14ac:dyDescent="0.25">
      <c r="P29" s="10" t="s">
        <v>286</v>
      </c>
      <c r="Q29" s="5">
        <v>0.16651430052911936</v>
      </c>
    </row>
    <row r="30" spans="16:17" x14ac:dyDescent="0.25">
      <c r="P30" s="10" t="s">
        <v>282</v>
      </c>
      <c r="Q30" s="5">
        <v>8.9602410267416097E-2</v>
      </c>
    </row>
    <row r="31" spans="16:17" x14ac:dyDescent="0.25">
      <c r="P31" s="10" t="s">
        <v>388</v>
      </c>
      <c r="Q31" s="5">
        <v>-1.6444789849347441E-2</v>
      </c>
    </row>
    <row r="32" spans="16:17" x14ac:dyDescent="0.25">
      <c r="P32" s="10" t="s">
        <v>280</v>
      </c>
      <c r="Q32" s="5">
        <v>-0.18328032379858344</v>
      </c>
    </row>
    <row r="33" spans="16:19" x14ac:dyDescent="0.25">
      <c r="P33" s="10" t="s">
        <v>160</v>
      </c>
      <c r="Q33" s="11">
        <v>8.6571651107231986</v>
      </c>
      <c r="S33" t="s">
        <v>307</v>
      </c>
    </row>
    <row r="34" spans="16:19" x14ac:dyDescent="0.25">
      <c r="S34" t="str">
        <f>P37</f>
        <v>AMANDA</v>
      </c>
    </row>
    <row r="36" spans="16:19" x14ac:dyDescent="0.25">
      <c r="P36" t="s">
        <v>290</v>
      </c>
      <c r="Q36" t="s">
        <v>279</v>
      </c>
      <c r="R36" t="s">
        <v>293</v>
      </c>
      <c r="S36" t="s">
        <v>304</v>
      </c>
    </row>
    <row r="37" spans="16:19" x14ac:dyDescent="0.25">
      <c r="P37" s="10" t="s">
        <v>282</v>
      </c>
      <c r="Q37" s="264">
        <v>3</v>
      </c>
      <c r="R37" s="264">
        <v>4</v>
      </c>
      <c r="S37" s="294">
        <f>IFERROR((Tabela6[[#This Row],[FEVEREIRO]]-Tabela6[[#This Row],[JANEIRO]])/Tabela6[[#This Row],[JANEIRO]],0)</f>
        <v>0.33333333333333331</v>
      </c>
    </row>
    <row r="38" spans="16:19" x14ac:dyDescent="0.25">
      <c r="P38" s="10" t="s">
        <v>288</v>
      </c>
      <c r="Q38" s="264">
        <v>0</v>
      </c>
      <c r="R38" s="264">
        <v>0</v>
      </c>
      <c r="S38" s="294">
        <f>IFERROR((Tabela6[[#This Row],[FEVEREIRO]]-Tabela6[[#This Row],[JANEIRO]])/Tabela6[[#This Row],[JANEIRO]],0)</f>
        <v>0</v>
      </c>
    </row>
    <row r="39" spans="16:19" x14ac:dyDescent="0.25">
      <c r="P39" s="10" t="s">
        <v>283</v>
      </c>
      <c r="Q39" s="264">
        <v>0</v>
      </c>
      <c r="R39" s="264">
        <v>1</v>
      </c>
      <c r="S39" s="294">
        <f>IFERROR((Tabela6[[#This Row],[FEVEREIRO]]-Tabela6[[#This Row],[JANEIRO]])/Tabela6[[#This Row],[JANEIRO]],0)</f>
        <v>0</v>
      </c>
    </row>
    <row r="40" spans="16:19" x14ac:dyDescent="0.25">
      <c r="P40" s="10" t="s">
        <v>287</v>
      </c>
      <c r="Q40" s="264">
        <v>2</v>
      </c>
      <c r="R40" s="264">
        <v>2</v>
      </c>
      <c r="S40" s="294">
        <f>IFERROR((Tabela6[[#This Row],[FEVEREIRO]]-Tabela6[[#This Row],[JANEIRO]])/Tabela6[[#This Row],[JANEIRO]],0)</f>
        <v>0</v>
      </c>
    </row>
    <row r="41" spans="16:19" x14ac:dyDescent="0.25">
      <c r="P41" s="10" t="s">
        <v>388</v>
      </c>
      <c r="Q41" s="264">
        <v>0</v>
      </c>
      <c r="R41" s="264">
        <v>0</v>
      </c>
      <c r="S41" s="294">
        <f>IFERROR((Tabela6[[#This Row],[FEVEREIRO]]-Tabela6[[#This Row],[JANEIRO]])/Tabela6[[#This Row],[JANEIRO]],0)</f>
        <v>0</v>
      </c>
    </row>
    <row r="42" spans="16:19" x14ac:dyDescent="0.25">
      <c r="P42" s="10" t="s">
        <v>387</v>
      </c>
      <c r="Q42" s="264">
        <v>0</v>
      </c>
      <c r="R42" s="264">
        <v>0</v>
      </c>
      <c r="S42" s="294">
        <f>IFERROR((Tabela6[[#This Row],[FEVEREIRO]]-Tabela6[[#This Row],[JANEIRO]])/Tabela6[[#This Row],[JANEIRO]],0)</f>
        <v>0</v>
      </c>
    </row>
    <row r="43" spans="16:19" x14ac:dyDescent="0.25">
      <c r="P43" s="10" t="s">
        <v>389</v>
      </c>
      <c r="Q43" s="264">
        <v>0</v>
      </c>
      <c r="R43" s="264">
        <v>0</v>
      </c>
      <c r="S43" s="294">
        <f>IFERROR((Tabela6[[#This Row],[FEVEREIRO]]-Tabela6[[#This Row],[JANEIRO]])/Tabela6[[#This Row],[JANEIRO]],0)</f>
        <v>0</v>
      </c>
    </row>
    <row r="44" spans="16:19" x14ac:dyDescent="0.25">
      <c r="P44" s="10" t="s">
        <v>286</v>
      </c>
      <c r="Q44" s="264">
        <v>0</v>
      </c>
      <c r="R44" s="264">
        <v>1</v>
      </c>
      <c r="S44" s="294">
        <f>IFERROR((Tabela6[[#This Row],[FEVEREIRO]]-Tabela6[[#This Row],[JANEIRO]])/Tabela6[[#This Row],[JANEIRO]],0)</f>
        <v>0</v>
      </c>
    </row>
    <row r="45" spans="16:19" x14ac:dyDescent="0.25">
      <c r="P45" s="10" t="s">
        <v>289</v>
      </c>
      <c r="Q45" s="264">
        <v>3</v>
      </c>
      <c r="R45" s="264">
        <v>3</v>
      </c>
      <c r="S45" s="294">
        <f>IFERROR((Tabela6[[#This Row],[FEVEREIRO]]-Tabela6[[#This Row],[JANEIRO]])/Tabela6[[#This Row],[JANEIRO]],0)</f>
        <v>0</v>
      </c>
    </row>
    <row r="46" spans="16:19" x14ac:dyDescent="0.25">
      <c r="P46" s="10" t="s">
        <v>284</v>
      </c>
      <c r="Q46" s="264">
        <v>9</v>
      </c>
      <c r="R46" s="264">
        <v>4</v>
      </c>
      <c r="S46" s="294">
        <f>IFERROR((Tabela6[[#This Row],[FEVEREIRO]]-Tabela6[[#This Row],[JANEIRO]])/Tabela6[[#This Row],[JANEIRO]],0)</f>
        <v>-0.55555555555555558</v>
      </c>
    </row>
    <row r="47" spans="16:19" x14ac:dyDescent="0.25">
      <c r="P47" s="10" t="s">
        <v>281</v>
      </c>
      <c r="Q47" s="264">
        <v>1</v>
      </c>
      <c r="R47" s="264">
        <v>0</v>
      </c>
      <c r="S47" s="294">
        <f>IFERROR((Tabela6[[#This Row],[FEVEREIRO]]-Tabela6[[#This Row],[JANEIRO]])/Tabela6[[#This Row],[JANEIRO]],0)</f>
        <v>-1</v>
      </c>
    </row>
    <row r="48" spans="16:19" x14ac:dyDescent="0.25">
      <c r="P48" s="10" t="s">
        <v>285</v>
      </c>
      <c r="Q48" s="264">
        <v>3</v>
      </c>
      <c r="R48" s="264">
        <v>0</v>
      </c>
      <c r="S48" s="294">
        <f>IFERROR((Tabela6[[#This Row],[FEVEREIRO]]-Tabela6[[#This Row],[JANEIRO]])/Tabela6[[#This Row],[JANEIRO]],0)</f>
        <v>-1</v>
      </c>
    </row>
    <row r="49" spans="16:19" x14ac:dyDescent="0.25">
      <c r="P49" s="10" t="s">
        <v>280</v>
      </c>
      <c r="Q49" s="264">
        <v>2</v>
      </c>
      <c r="R49" s="264">
        <v>0</v>
      </c>
      <c r="S49" s="294">
        <f>IFERROR((Tabela6[[#This Row],[FEVEREIRO]]-Tabela6[[#This Row],[JANEIRO]])/Tabela6[[#This Row],[JANEIRO]],0)</f>
        <v>-1</v>
      </c>
    </row>
    <row r="50" spans="16:19" x14ac:dyDescent="0.25">
      <c r="S50" s="18"/>
    </row>
  </sheetData>
  <pageMargins left="0.511811024" right="0.511811024" top="0.78740157499999996" bottom="0.78740157499999996" header="0.31496062000000002" footer="0.31496062000000002"/>
  <tableParts count="2"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C08-DA83-49F9-9C7F-2073F986F0F9}">
  <dimension ref="A8:G35"/>
  <sheetViews>
    <sheetView showGridLines="0" workbookViewId="0">
      <selection activeCell="C9" sqref="C9"/>
    </sheetView>
  </sheetViews>
  <sheetFormatPr defaultRowHeight="14.3" x14ac:dyDescent="0.25"/>
  <cols>
    <col min="1" max="1" width="13.375" bestFit="1" customWidth="1"/>
    <col min="2" max="2" width="14.625" bestFit="1" customWidth="1"/>
    <col min="3" max="3" width="17.125" customWidth="1"/>
    <col min="4" max="4" width="28.125" bestFit="1" customWidth="1"/>
    <col min="5" max="5" width="24.5" bestFit="1" customWidth="1"/>
    <col min="6" max="7" width="24.375" bestFit="1" customWidth="1"/>
  </cols>
  <sheetData>
    <row r="8" spans="1:7" x14ac:dyDescent="0.25">
      <c r="A8" s="328" t="s">
        <v>294</v>
      </c>
      <c r="B8" s="328"/>
      <c r="C8" s="328"/>
    </row>
    <row r="9" spans="1:7" x14ac:dyDescent="0.25">
      <c r="A9" s="283" t="s">
        <v>300</v>
      </c>
      <c r="B9" s="271" t="s">
        <v>291</v>
      </c>
      <c r="C9" s="272" t="s">
        <v>290</v>
      </c>
      <c r="D9" s="273" t="s">
        <v>292</v>
      </c>
      <c r="E9" s="275" t="s">
        <v>295</v>
      </c>
      <c r="F9" s="276" t="s">
        <v>296</v>
      </c>
      <c r="G9" s="275" t="s">
        <v>297</v>
      </c>
    </row>
    <row r="10" spans="1:7" x14ac:dyDescent="0.25">
      <c r="A10" s="284" t="s">
        <v>301</v>
      </c>
      <c r="B10" s="267" t="s">
        <v>279</v>
      </c>
      <c r="C10" s="266" t="s">
        <v>280</v>
      </c>
      <c r="D10" s="265">
        <v>219146.11</v>
      </c>
      <c r="E10" s="274">
        <v>2</v>
      </c>
      <c r="F10" s="277">
        <v>2</v>
      </c>
      <c r="G10" s="280">
        <f>IFERROR(Tabela2[[#This Row],[POSITIVADOS ]]/Tabela2[[#This Row],[NOVOS CADASTROS ]],0)</f>
        <v>1</v>
      </c>
    </row>
    <row r="11" spans="1:7" x14ac:dyDescent="0.25">
      <c r="A11" s="282" t="s">
        <v>301</v>
      </c>
      <c r="B11" s="267" t="s">
        <v>279</v>
      </c>
      <c r="C11" s="266" t="s">
        <v>281</v>
      </c>
      <c r="D11" s="265">
        <v>151948.82999999999</v>
      </c>
      <c r="E11" s="274">
        <v>5</v>
      </c>
      <c r="F11" s="278">
        <v>1</v>
      </c>
      <c r="G11" s="280">
        <f>IFERROR(Tabela2[[#This Row],[POSITIVADOS ]]/Tabela2[[#This Row],[NOVOS CADASTROS ]],0)</f>
        <v>0.2</v>
      </c>
    </row>
    <row r="12" spans="1:7" x14ac:dyDescent="0.25">
      <c r="A12" s="282" t="s">
        <v>301</v>
      </c>
      <c r="B12" s="267" t="s">
        <v>279</v>
      </c>
      <c r="C12" s="266" t="s">
        <v>282</v>
      </c>
      <c r="D12" s="265">
        <v>63415.37</v>
      </c>
      <c r="E12" s="274">
        <v>3</v>
      </c>
      <c r="F12" s="278">
        <v>3</v>
      </c>
      <c r="G12" s="280">
        <f>IFERROR(Tabela2[[#This Row],[POSITIVADOS ]]/Tabela2[[#This Row],[NOVOS CADASTROS ]],0)</f>
        <v>1</v>
      </c>
    </row>
    <row r="13" spans="1:7" x14ac:dyDescent="0.25">
      <c r="A13" s="282" t="s">
        <v>301</v>
      </c>
      <c r="B13" s="267" t="s">
        <v>279</v>
      </c>
      <c r="C13" s="266" t="s">
        <v>283</v>
      </c>
      <c r="D13" s="265">
        <v>25523.71</v>
      </c>
      <c r="E13" s="274">
        <v>3</v>
      </c>
      <c r="F13" s="278">
        <v>0</v>
      </c>
      <c r="G13" s="280">
        <f>IFERROR(Tabela2[[#This Row],[POSITIVADOS ]]/Tabela2[[#This Row],[NOVOS CADASTROS ]],0)</f>
        <v>0</v>
      </c>
    </row>
    <row r="14" spans="1:7" x14ac:dyDescent="0.25">
      <c r="A14" s="282" t="s">
        <v>301</v>
      </c>
      <c r="B14" s="267" t="s">
        <v>279</v>
      </c>
      <c r="C14" s="266" t="s">
        <v>284</v>
      </c>
      <c r="D14" s="265">
        <v>27967.200000000001</v>
      </c>
      <c r="E14" s="274">
        <v>11</v>
      </c>
      <c r="F14" s="278">
        <v>9</v>
      </c>
      <c r="G14" s="280">
        <f>IFERROR(Tabela2[[#This Row],[POSITIVADOS ]]/Tabela2[[#This Row],[NOVOS CADASTROS ]],0)</f>
        <v>0.81818181818181823</v>
      </c>
    </row>
    <row r="15" spans="1:7" x14ac:dyDescent="0.25">
      <c r="A15" s="282" t="s">
        <v>301</v>
      </c>
      <c r="B15" s="267" t="s">
        <v>279</v>
      </c>
      <c r="C15" s="266" t="s">
        <v>285</v>
      </c>
      <c r="D15" s="265">
        <v>4466.9799999999996</v>
      </c>
      <c r="E15" s="274">
        <v>4</v>
      </c>
      <c r="F15" s="278">
        <v>3</v>
      </c>
      <c r="G15" s="280">
        <f>IFERROR(Tabela2[[#This Row],[POSITIVADOS ]]/Tabela2[[#This Row],[NOVOS CADASTROS ]],0)</f>
        <v>0.75</v>
      </c>
    </row>
    <row r="16" spans="1:7" x14ac:dyDescent="0.25">
      <c r="A16" s="282" t="s">
        <v>302</v>
      </c>
      <c r="B16" s="267" t="s">
        <v>279</v>
      </c>
      <c r="C16" s="266" t="s">
        <v>286</v>
      </c>
      <c r="D16" s="265">
        <v>153205.51999999999</v>
      </c>
      <c r="E16" s="274">
        <v>0</v>
      </c>
      <c r="F16" s="278">
        <v>0</v>
      </c>
      <c r="G16" s="280">
        <f>IFERROR(Tabela2[[#This Row],[POSITIVADOS ]]/Tabela2[[#This Row],[NOVOS CADASTROS ]],0)</f>
        <v>0</v>
      </c>
    </row>
    <row r="17" spans="1:7" x14ac:dyDescent="0.25">
      <c r="A17" s="282" t="s">
        <v>302</v>
      </c>
      <c r="B17" s="267" t="s">
        <v>279</v>
      </c>
      <c r="C17" s="266" t="s">
        <v>287</v>
      </c>
      <c r="D17" s="265">
        <v>231307.25</v>
      </c>
      <c r="E17" s="274">
        <v>2</v>
      </c>
      <c r="F17" s="278">
        <v>2</v>
      </c>
      <c r="G17" s="280">
        <f>IFERROR(Tabela2[[#This Row],[POSITIVADOS ]]/Tabela2[[#This Row],[NOVOS CADASTROS ]],0)</f>
        <v>1</v>
      </c>
    </row>
    <row r="18" spans="1:7" x14ac:dyDescent="0.25">
      <c r="A18" s="282" t="s">
        <v>303</v>
      </c>
      <c r="B18" s="267" t="s">
        <v>279</v>
      </c>
      <c r="C18" s="266" t="s">
        <v>288</v>
      </c>
      <c r="D18" s="265">
        <v>43400.49</v>
      </c>
      <c r="E18" s="274">
        <v>0</v>
      </c>
      <c r="F18" s="278">
        <v>0</v>
      </c>
      <c r="G18" s="280">
        <f>IFERROR(Tabela2[[#This Row],[POSITIVADOS ]]/Tabela2[[#This Row],[NOVOS CADASTROS ]],0)</f>
        <v>0</v>
      </c>
    </row>
    <row r="19" spans="1:7" x14ac:dyDescent="0.25">
      <c r="A19" s="282" t="s">
        <v>301</v>
      </c>
      <c r="B19" s="267" t="s">
        <v>279</v>
      </c>
      <c r="C19" s="266" t="s">
        <v>289</v>
      </c>
      <c r="D19" s="265">
        <v>6174.53</v>
      </c>
      <c r="E19" s="274">
        <v>7</v>
      </c>
      <c r="F19" s="278">
        <v>3</v>
      </c>
      <c r="G19" s="280">
        <f>IFERROR(Tabela2[[#This Row],[POSITIVADOS ]]/Tabela2[[#This Row],[NOVOS CADASTROS ]],0)</f>
        <v>0.42857142857142855</v>
      </c>
    </row>
    <row r="20" spans="1:7" x14ac:dyDescent="0.25">
      <c r="A20" s="282" t="s">
        <v>301</v>
      </c>
      <c r="B20" s="282" t="s">
        <v>279</v>
      </c>
      <c r="C20" s="266" t="s">
        <v>387</v>
      </c>
      <c r="D20" s="265">
        <v>11530.23</v>
      </c>
      <c r="E20" s="274">
        <v>0</v>
      </c>
      <c r="F20" s="274">
        <v>0</v>
      </c>
      <c r="G20" s="309">
        <f>IFERROR(Tabela2[[#This Row],[POSITIVADOS ]]/Tabela2[[#This Row],[NOVOS CADASTROS ]],0)</f>
        <v>0</v>
      </c>
    </row>
    <row r="21" spans="1:7" x14ac:dyDescent="0.25">
      <c r="A21" s="282" t="s">
        <v>386</v>
      </c>
      <c r="B21" s="282" t="s">
        <v>279</v>
      </c>
      <c r="C21" s="266" t="s">
        <v>388</v>
      </c>
      <c r="D21" s="265">
        <v>621582.89</v>
      </c>
      <c r="E21" s="274">
        <v>0</v>
      </c>
      <c r="F21" s="274">
        <v>0</v>
      </c>
      <c r="G21" s="309">
        <f>IFERROR(Tabela2[[#This Row],[POSITIVADOS ]]/Tabela2[[#This Row],[NOVOS CADASTROS ]],0)</f>
        <v>0</v>
      </c>
    </row>
    <row r="22" spans="1:7" x14ac:dyDescent="0.25">
      <c r="A22" s="282" t="s">
        <v>301</v>
      </c>
      <c r="B22" s="282" t="s">
        <v>279</v>
      </c>
      <c r="C22" s="266" t="s">
        <v>389</v>
      </c>
      <c r="D22" s="265">
        <v>8399.56</v>
      </c>
      <c r="E22" s="274">
        <v>0</v>
      </c>
      <c r="F22" s="274">
        <v>0</v>
      </c>
      <c r="G22" s="309">
        <f>IFERROR(Tabela2[[#This Row],[POSITIVADOS ]]/Tabela2[[#This Row],[NOVOS CADASTROS ]],0)</f>
        <v>0</v>
      </c>
    </row>
    <row r="23" spans="1:7" x14ac:dyDescent="0.25">
      <c r="A23" s="282" t="s">
        <v>301</v>
      </c>
      <c r="B23" s="267" t="s">
        <v>293</v>
      </c>
      <c r="C23" s="266" t="s">
        <v>280</v>
      </c>
      <c r="D23" s="265">
        <v>178980.94</v>
      </c>
      <c r="E23" s="274">
        <v>0</v>
      </c>
      <c r="F23" s="278">
        <v>0</v>
      </c>
      <c r="G23" s="280">
        <f>IFERROR(Tabela2[[#This Row],[POSITIVADOS ]]/Tabela2[[#This Row],[NOVOS CADASTROS ]],0)</f>
        <v>0</v>
      </c>
    </row>
    <row r="24" spans="1:7" x14ac:dyDescent="0.25">
      <c r="A24" s="282" t="s">
        <v>301</v>
      </c>
      <c r="B24" s="267" t="s">
        <v>293</v>
      </c>
      <c r="C24" s="266" t="s">
        <v>281</v>
      </c>
      <c r="D24" s="265">
        <v>198386.32</v>
      </c>
      <c r="E24" s="274">
        <v>0</v>
      </c>
      <c r="F24" s="278">
        <v>0</v>
      </c>
      <c r="G24" s="280">
        <f>IFERROR(Tabela2[[#This Row],[POSITIVADOS ]]/Tabela2[[#This Row],[NOVOS CADASTROS ]],0)</f>
        <v>0</v>
      </c>
    </row>
    <row r="25" spans="1:7" x14ac:dyDescent="0.25">
      <c r="A25" s="282" t="s">
        <v>301</v>
      </c>
      <c r="B25" s="267" t="s">
        <v>293</v>
      </c>
      <c r="C25" s="266" t="s">
        <v>282</v>
      </c>
      <c r="D25" s="265">
        <v>69097.539999999994</v>
      </c>
      <c r="E25" s="274">
        <v>4</v>
      </c>
      <c r="F25" s="278">
        <v>4</v>
      </c>
      <c r="G25" s="280">
        <f>IFERROR(Tabela2[[#This Row],[POSITIVADOS ]]/Tabela2[[#This Row],[NOVOS CADASTROS ]],0)</f>
        <v>1</v>
      </c>
    </row>
    <row r="26" spans="1:7" x14ac:dyDescent="0.25">
      <c r="A26" s="282" t="s">
        <v>301</v>
      </c>
      <c r="B26" s="267" t="s">
        <v>293</v>
      </c>
      <c r="C26" s="266" t="s">
        <v>283</v>
      </c>
      <c r="D26" s="265">
        <v>38237.519999999997</v>
      </c>
      <c r="E26" s="274">
        <v>8</v>
      </c>
      <c r="F26" s="278">
        <v>1</v>
      </c>
      <c r="G26" s="280">
        <f>IFERROR(Tabela2[[#This Row],[POSITIVADOS ]]/Tabela2[[#This Row],[NOVOS CADASTROS ]],0)</f>
        <v>0.125</v>
      </c>
    </row>
    <row r="27" spans="1:7" x14ac:dyDescent="0.25">
      <c r="A27" s="282" t="s">
        <v>301</v>
      </c>
      <c r="B27" s="267" t="s">
        <v>293</v>
      </c>
      <c r="C27" s="266" t="s">
        <v>284</v>
      </c>
      <c r="D27" s="265">
        <v>67412.41</v>
      </c>
      <c r="E27" s="274">
        <v>8</v>
      </c>
      <c r="F27" s="278">
        <v>4</v>
      </c>
      <c r="G27" s="280">
        <f>IFERROR(Tabela2[[#This Row],[POSITIVADOS ]]/Tabela2[[#This Row],[NOVOS CADASTROS ]],0)</f>
        <v>0.5</v>
      </c>
    </row>
    <row r="28" spans="1:7" x14ac:dyDescent="0.25">
      <c r="A28" s="282" t="s">
        <v>301</v>
      </c>
      <c r="B28" s="267" t="s">
        <v>293</v>
      </c>
      <c r="C28" s="266" t="s">
        <v>285</v>
      </c>
      <c r="D28" s="265">
        <v>7893.42</v>
      </c>
      <c r="E28" s="274">
        <v>0</v>
      </c>
      <c r="F28" s="278">
        <v>0</v>
      </c>
      <c r="G28" s="280">
        <f>IFERROR(Tabela2[[#This Row],[POSITIVADOS ]]/Tabela2[[#This Row],[NOVOS CADASTROS ]],0)</f>
        <v>0</v>
      </c>
    </row>
    <row r="29" spans="1:7" x14ac:dyDescent="0.25">
      <c r="A29" s="282" t="s">
        <v>302</v>
      </c>
      <c r="B29" s="267" t="s">
        <v>293</v>
      </c>
      <c r="C29" s="266" t="s">
        <v>286</v>
      </c>
      <c r="D29" s="265">
        <v>178716.43</v>
      </c>
      <c r="E29" s="274">
        <v>2</v>
      </c>
      <c r="F29" s="278">
        <v>1</v>
      </c>
      <c r="G29" s="280">
        <f>IFERROR(Tabela2[[#This Row],[POSITIVADOS ]]/Tabela2[[#This Row],[NOVOS CADASTROS ]],0)</f>
        <v>0.5</v>
      </c>
    </row>
    <row r="30" spans="1:7" x14ac:dyDescent="0.25">
      <c r="A30" s="282" t="s">
        <v>302</v>
      </c>
      <c r="B30" s="267" t="s">
        <v>293</v>
      </c>
      <c r="C30" s="266" t="s">
        <v>287</v>
      </c>
      <c r="D30" s="265">
        <v>283757.82</v>
      </c>
      <c r="E30" s="274">
        <v>5</v>
      </c>
      <c r="F30" s="278">
        <v>2</v>
      </c>
      <c r="G30" s="280">
        <f>IFERROR(Tabela2[[#This Row],[POSITIVADOS ]]/Tabela2[[#This Row],[NOVOS CADASTROS ]],0)</f>
        <v>0.4</v>
      </c>
    </row>
    <row r="31" spans="1:7" x14ac:dyDescent="0.25">
      <c r="A31" s="282" t="s">
        <v>303</v>
      </c>
      <c r="B31" s="267" t="s">
        <v>293</v>
      </c>
      <c r="C31" s="266" t="s">
        <v>288</v>
      </c>
      <c r="D31" s="265">
        <v>90578.53</v>
      </c>
      <c r="E31" s="274">
        <v>0</v>
      </c>
      <c r="F31" s="278">
        <v>0</v>
      </c>
      <c r="G31" s="280">
        <f>IFERROR(Tabela2[[#This Row],[POSITIVADOS ]]/Tabela2[[#This Row],[NOVOS CADASTROS ]],0)</f>
        <v>0</v>
      </c>
    </row>
    <row r="32" spans="1:7" x14ac:dyDescent="0.25">
      <c r="A32" s="285" t="s">
        <v>301</v>
      </c>
      <c r="B32" s="269" t="s">
        <v>293</v>
      </c>
      <c r="C32" s="270" t="s">
        <v>289</v>
      </c>
      <c r="D32" s="265">
        <v>12194.51</v>
      </c>
      <c r="E32" s="274">
        <v>8</v>
      </c>
      <c r="F32" s="279">
        <v>3</v>
      </c>
      <c r="G32" s="280">
        <f>IFERROR(Tabela2[[#This Row],[POSITIVADOS ]]/Tabela2[[#This Row],[NOVOS CADASTROS ]],0)</f>
        <v>0.375</v>
      </c>
    </row>
    <row r="33" spans="1:7" x14ac:dyDescent="0.25">
      <c r="A33" s="310" t="s">
        <v>301</v>
      </c>
      <c r="B33" s="285" t="s">
        <v>293</v>
      </c>
      <c r="C33" s="270" t="s">
        <v>387</v>
      </c>
      <c r="D33" s="311">
        <v>13773.95</v>
      </c>
      <c r="E33" s="312">
        <v>0</v>
      </c>
      <c r="F33" s="312">
        <v>0</v>
      </c>
      <c r="G33" s="312">
        <f>IFERROR(Tabela2[[#This Row],[POSITIVADOS ]]/Tabela2[[#This Row],[NOVOS CADASTROS ]],0)</f>
        <v>0</v>
      </c>
    </row>
    <row r="34" spans="1:7" x14ac:dyDescent="0.25">
      <c r="A34" s="285" t="s">
        <v>386</v>
      </c>
      <c r="B34" s="285" t="s">
        <v>293</v>
      </c>
      <c r="C34" s="270" t="s">
        <v>388</v>
      </c>
      <c r="D34" s="311">
        <v>611361.09</v>
      </c>
      <c r="E34" s="312">
        <v>0</v>
      </c>
      <c r="F34" s="312">
        <v>0</v>
      </c>
      <c r="G34" s="312">
        <f>IFERROR(Tabela2[[#This Row],[POSITIVADOS ]]/Tabela2[[#This Row],[NOVOS CADASTROS ]],0)</f>
        <v>0</v>
      </c>
    </row>
    <row r="35" spans="1:7" x14ac:dyDescent="0.25">
      <c r="A35" s="285" t="s">
        <v>301</v>
      </c>
      <c r="B35" s="285" t="s">
        <v>293</v>
      </c>
      <c r="C35" s="270" t="s">
        <v>389</v>
      </c>
      <c r="D35" s="311">
        <v>34742.370000000003</v>
      </c>
      <c r="E35" s="312">
        <v>0</v>
      </c>
      <c r="F35" s="312">
        <v>0</v>
      </c>
      <c r="G35" s="312">
        <f>IFERROR(Tabela2[[#This Row],[POSITIVADOS ]]/Tabela2[[#This Row],[NOVOS CADASTROS ]],0)</f>
        <v>0</v>
      </c>
    </row>
  </sheetData>
  <mergeCells count="1">
    <mergeCell ref="A8:C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G23:G32 G10:G19" calculatedColumn="1"/>
  </ignoredError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0C57-F916-45C4-A6C0-A77AA95B63C1}">
  <dimension ref="A1:AR21"/>
  <sheetViews>
    <sheetView showGridLines="0" topLeftCell="Y1" workbookViewId="0">
      <selection activeCell="Z3" sqref="Z3"/>
    </sheetView>
  </sheetViews>
  <sheetFormatPr defaultRowHeight="14.3" x14ac:dyDescent="0.25"/>
  <cols>
    <col min="1" max="1" width="47" bestFit="1" customWidth="1"/>
    <col min="2" max="2" width="15.375" style="281" bestFit="1" customWidth="1"/>
    <col min="4" max="4" width="21.25" bestFit="1" customWidth="1"/>
    <col min="5" max="5" width="15.375" bestFit="1" customWidth="1"/>
    <col min="6" max="6" width="14.375" bestFit="1" customWidth="1"/>
    <col min="8" max="8" width="31.25" bestFit="1" customWidth="1"/>
    <col min="9" max="9" width="15.375" bestFit="1" customWidth="1"/>
    <col min="10" max="10" width="14.375" bestFit="1" customWidth="1"/>
    <col min="12" max="12" width="43.125" bestFit="1" customWidth="1"/>
    <col min="13" max="13" width="15.375" bestFit="1" customWidth="1"/>
    <col min="14" max="14" width="14.375" bestFit="1" customWidth="1"/>
    <col min="16" max="16" width="51.875" bestFit="1" customWidth="1"/>
    <col min="17" max="17" width="15.375" bestFit="1" customWidth="1"/>
    <col min="19" max="19" width="12.75" bestFit="1" customWidth="1"/>
    <col min="20" max="20" width="14.375" bestFit="1" customWidth="1"/>
    <col min="23" max="23" width="14.375" bestFit="1" customWidth="1"/>
    <col min="24" max="24" width="14.625" bestFit="1" customWidth="1"/>
    <col min="25" max="25" width="11.75" bestFit="1" customWidth="1"/>
    <col min="26" max="26" width="18" bestFit="1" customWidth="1"/>
    <col min="27" max="27" width="18.75" bestFit="1" customWidth="1"/>
    <col min="28" max="28" width="19.625" bestFit="1" customWidth="1"/>
    <col min="29" max="29" width="11.75" bestFit="1" customWidth="1"/>
    <col min="30" max="30" width="19.5" bestFit="1" customWidth="1"/>
    <col min="31" max="31" width="18.75" bestFit="1" customWidth="1"/>
    <col min="32" max="32" width="19.625" bestFit="1" customWidth="1"/>
    <col min="34" max="34" width="21.625" bestFit="1" customWidth="1"/>
    <col min="35" max="35" width="18.75" bestFit="1" customWidth="1"/>
    <col min="36" max="36" width="19.625" bestFit="1" customWidth="1"/>
    <col min="38" max="38" width="24.75" bestFit="1" customWidth="1"/>
    <col min="39" max="39" width="18.75" bestFit="1" customWidth="1"/>
    <col min="40" max="40" width="19.625" bestFit="1" customWidth="1"/>
    <col min="42" max="42" width="29.875" bestFit="1" customWidth="1"/>
    <col min="43" max="43" width="18.75" bestFit="1" customWidth="1"/>
    <col min="44" max="44" width="19.625" bestFit="1" customWidth="1"/>
  </cols>
  <sheetData>
    <row r="1" spans="1:44" x14ac:dyDescent="0.25">
      <c r="AA1" s="314" t="s">
        <v>3</v>
      </c>
      <c r="AB1" s="314" t="s">
        <v>4</v>
      </c>
      <c r="AH1" s="281">
        <f>AJ2-AI2</f>
        <v>-241519.94</v>
      </c>
      <c r="AI1" s="314" t="s">
        <v>3</v>
      </c>
      <c r="AJ1" s="314" t="s">
        <v>4</v>
      </c>
      <c r="AM1" s="314" t="s">
        <v>3</v>
      </c>
      <c r="AN1" s="314" t="s">
        <v>4</v>
      </c>
      <c r="AP1" s="281">
        <f>AQ2-AR2</f>
        <v>-124152.52000000002</v>
      </c>
      <c r="AQ1" s="314" t="s">
        <v>395</v>
      </c>
      <c r="AR1" s="314" t="s">
        <v>4</v>
      </c>
    </row>
    <row r="2" spans="1:44" x14ac:dyDescent="0.25">
      <c r="Z2" s="8">
        <f>AB2/AA2</f>
        <v>0.77689665761433646</v>
      </c>
      <c r="AA2" s="281">
        <f>GETPIVOTDATA("Soma de PREVISTO",$Z$3)</f>
        <v>128239.54</v>
      </c>
      <c r="AB2" s="281">
        <f>GETPIVOTDATA("Soma de REALIZADO",$Z$3)</f>
        <v>99628.87</v>
      </c>
      <c r="AE2" s="281">
        <f>GETPIVOTDATA("Soma de PREVISTO",$AD$3)</f>
        <v>75657.88</v>
      </c>
      <c r="AF2" s="281">
        <f>GETPIVOTDATA("Soma de REALIZADO",$AD$3)</f>
        <v>22416.49</v>
      </c>
      <c r="AH2" s="8">
        <f>AJ2/AI2</f>
        <v>0.54462441450652155</v>
      </c>
      <c r="AI2" s="327">
        <f>GETPIVOTDATA("Soma de PREVISTO",$AH$3)</f>
        <v>530375.25</v>
      </c>
      <c r="AJ2" s="281">
        <f>GETPIVOTDATA("Soma de REALIZADO",$AH$3)</f>
        <v>288855.31</v>
      </c>
      <c r="AL2" s="8">
        <f>GETPIVOTDATA("Soma de REALIZADO",$AL$3,"INDICADOR","Resultado do mês (R$) 1468")/GETPIVOTDATA("Soma de PREVISTO",$AL$3,"INDICADOR","Resultado do mês (R$) 1468")</f>
        <v>0.73312996056058211</v>
      </c>
      <c r="AM2" s="281">
        <f>GETPIVOTDATA("Soma de PREVISTO",$AL$3)</f>
        <v>76509.75</v>
      </c>
      <c r="AN2" s="281">
        <f>GETPIVOTDATA("Soma de REALIZADO",$AL$3)</f>
        <v>56091.59</v>
      </c>
      <c r="AP2" s="8">
        <f>AP1/AQ2</f>
        <v>-0.37416943380166912</v>
      </c>
      <c r="AQ2" s="281">
        <f>GETPIVOTDATA("Soma de PREVISTO",$AP$3)</f>
        <v>331808.28999999998</v>
      </c>
      <c r="AR2" s="281">
        <f>GETPIVOTDATA("Soma de REALIZADO",$AP$3)</f>
        <v>455960.81</v>
      </c>
    </row>
    <row r="3" spans="1:44" x14ac:dyDescent="0.25">
      <c r="A3" s="19" t="s">
        <v>133</v>
      </c>
      <c r="B3" s="281" t="s">
        <v>346</v>
      </c>
      <c r="D3" s="19" t="s">
        <v>133</v>
      </c>
      <c r="E3" s="281" t="s">
        <v>346</v>
      </c>
      <c r="F3" s="281">
        <f>GETPIVOTDATA("VALOR",$D$3)</f>
        <v>1796497.92</v>
      </c>
      <c r="H3" s="19" t="s">
        <v>133</v>
      </c>
      <c r="I3" s="281" t="s">
        <v>346</v>
      </c>
      <c r="J3" s="281">
        <f>GETPIVOTDATA("VALOR",$H$3)</f>
        <v>1301864.8799999999</v>
      </c>
      <c r="L3" s="19" t="s">
        <v>133</v>
      </c>
      <c r="M3" s="281" t="s">
        <v>346</v>
      </c>
      <c r="N3" s="281">
        <f>GETPIVOTDATA("VALOR",$L$3)</f>
        <v>1667393.65</v>
      </c>
      <c r="P3" s="19" t="s">
        <v>133</v>
      </c>
      <c r="Q3" s="281" t="s">
        <v>346</v>
      </c>
      <c r="S3" s="13" t="s">
        <v>347</v>
      </c>
      <c r="T3" s="13" t="s">
        <v>292</v>
      </c>
      <c r="U3" s="13" t="s">
        <v>348</v>
      </c>
      <c r="W3" s="13" t="s">
        <v>349</v>
      </c>
      <c r="X3" s="13" t="s">
        <v>350</v>
      </c>
      <c r="Y3" s="281"/>
      <c r="Z3" s="325" t="s">
        <v>133</v>
      </c>
      <c r="AA3" s="281" t="s">
        <v>393</v>
      </c>
      <c r="AB3" s="281" t="s">
        <v>394</v>
      </c>
      <c r="AC3" s="281"/>
      <c r="AD3" s="325" t="s">
        <v>133</v>
      </c>
      <c r="AE3" s="281" t="s">
        <v>393</v>
      </c>
      <c r="AF3" s="281" t="s">
        <v>394</v>
      </c>
      <c r="AH3" s="325" t="s">
        <v>133</v>
      </c>
      <c r="AI3" s="281" t="s">
        <v>393</v>
      </c>
      <c r="AJ3" s="281" t="s">
        <v>394</v>
      </c>
      <c r="AL3" s="325" t="s">
        <v>133</v>
      </c>
      <c r="AM3" s="281" t="s">
        <v>393</v>
      </c>
      <c r="AN3" s="281" t="s">
        <v>394</v>
      </c>
      <c r="AP3" s="325" t="s">
        <v>133</v>
      </c>
      <c r="AQ3" s="281" t="s">
        <v>393</v>
      </c>
      <c r="AR3" s="281" t="s">
        <v>394</v>
      </c>
    </row>
    <row r="4" spans="1:44" x14ac:dyDescent="0.25">
      <c r="A4" s="10" t="s">
        <v>312</v>
      </c>
      <c r="B4" s="281">
        <v>59923.97</v>
      </c>
      <c r="D4" s="10" t="s">
        <v>309</v>
      </c>
      <c r="E4" s="281">
        <v>1796497.92</v>
      </c>
      <c r="H4" s="10" t="s">
        <v>311</v>
      </c>
      <c r="I4" s="281">
        <v>1301864.8799999999</v>
      </c>
      <c r="L4" s="10" t="s">
        <v>310</v>
      </c>
      <c r="M4" s="281">
        <v>1667393.65</v>
      </c>
      <c r="P4" s="10" t="s">
        <v>318</v>
      </c>
      <c r="Q4" s="281">
        <v>326747.93</v>
      </c>
      <c r="S4" s="286">
        <f>GETPIVOTDATA("VALOR",$P$3)</f>
        <v>326747.93</v>
      </c>
      <c r="T4" s="286">
        <f>F3</f>
        <v>1796497.92</v>
      </c>
      <c r="U4" s="306">
        <f>S4/T4</f>
        <v>0.18188049446781437</v>
      </c>
      <c r="W4" s="286">
        <f>F3</f>
        <v>1796497.92</v>
      </c>
      <c r="X4" s="286">
        <f>J3</f>
        <v>1301864.8799999999</v>
      </c>
      <c r="Z4" s="326" t="s">
        <v>359</v>
      </c>
      <c r="AA4" s="281">
        <v>128239.54</v>
      </c>
      <c r="AB4" s="281">
        <v>99628.87</v>
      </c>
      <c r="AD4" s="326" t="s">
        <v>364</v>
      </c>
      <c r="AE4" s="281">
        <v>75657.88</v>
      </c>
      <c r="AF4" s="281">
        <v>22416.49</v>
      </c>
      <c r="AH4" s="326" t="s">
        <v>366</v>
      </c>
      <c r="AI4" s="281">
        <v>530375.25</v>
      </c>
      <c r="AJ4" s="281">
        <v>288855.31</v>
      </c>
      <c r="AL4" s="326" t="s">
        <v>368</v>
      </c>
      <c r="AM4" s="281">
        <v>76509.75</v>
      </c>
      <c r="AN4" s="281">
        <v>56091.59</v>
      </c>
      <c r="AP4" s="326" t="s">
        <v>371</v>
      </c>
      <c r="AQ4" s="281">
        <v>331808.28999999998</v>
      </c>
      <c r="AR4" s="281">
        <v>455960.81</v>
      </c>
    </row>
    <row r="5" spans="1:44" x14ac:dyDescent="0.25">
      <c r="A5" s="10" t="s">
        <v>323</v>
      </c>
      <c r="B5" s="281">
        <v>0</v>
      </c>
      <c r="D5" s="10" t="s">
        <v>160</v>
      </c>
      <c r="E5" s="281">
        <v>1796497.92</v>
      </c>
      <c r="H5" s="10" t="s">
        <v>160</v>
      </c>
      <c r="I5" s="281">
        <v>1301864.8799999999</v>
      </c>
      <c r="L5" s="10" t="s">
        <v>160</v>
      </c>
      <c r="M5" s="281">
        <v>1667393.65</v>
      </c>
      <c r="P5" s="17" t="s">
        <v>293</v>
      </c>
      <c r="Q5" s="281">
        <v>326747.93</v>
      </c>
      <c r="Z5" s="326" t="s">
        <v>160</v>
      </c>
      <c r="AA5" s="281">
        <v>128239.54</v>
      </c>
      <c r="AB5" s="281">
        <v>99628.87</v>
      </c>
      <c r="AD5" s="326" t="s">
        <v>160</v>
      </c>
      <c r="AE5" s="281">
        <v>75657.88</v>
      </c>
      <c r="AF5" s="281">
        <v>22416.49</v>
      </c>
      <c r="AH5" s="326" t="s">
        <v>160</v>
      </c>
      <c r="AI5" s="281">
        <v>530375.25</v>
      </c>
      <c r="AJ5" s="281">
        <v>288855.31</v>
      </c>
      <c r="AL5" s="326" t="s">
        <v>160</v>
      </c>
      <c r="AM5" s="281">
        <v>76509.75</v>
      </c>
      <c r="AN5" s="281">
        <v>56091.59</v>
      </c>
      <c r="AP5" s="326" t="s">
        <v>160</v>
      </c>
      <c r="AQ5" s="281">
        <v>331808.28999999998</v>
      </c>
      <c r="AR5" s="281">
        <v>455960.81</v>
      </c>
    </row>
    <row r="6" spans="1:44" x14ac:dyDescent="0.25">
      <c r="A6" s="10" t="s">
        <v>319</v>
      </c>
      <c r="B6" s="281">
        <v>56091.59</v>
      </c>
      <c r="P6" s="10" t="s">
        <v>160</v>
      </c>
      <c r="Q6" s="281">
        <v>326747.93</v>
      </c>
    </row>
    <row r="7" spans="1:44" x14ac:dyDescent="0.25">
      <c r="A7" s="10" t="s">
        <v>318</v>
      </c>
      <c r="B7" s="281">
        <v>326747.93</v>
      </c>
      <c r="E7" s="281"/>
    </row>
    <row r="8" spans="1:44" x14ac:dyDescent="0.25">
      <c r="A8" s="10" t="s">
        <v>321</v>
      </c>
      <c r="B8" s="281">
        <v>33949.54</v>
      </c>
    </row>
    <row r="9" spans="1:44" x14ac:dyDescent="0.25">
      <c r="A9" s="10" t="s">
        <v>320</v>
      </c>
      <c r="B9" s="281">
        <v>152553.56</v>
      </c>
    </row>
    <row r="10" spans="1:44" x14ac:dyDescent="0.25">
      <c r="A10" s="10" t="s">
        <v>317</v>
      </c>
    </row>
    <row r="11" spans="1:44" x14ac:dyDescent="0.25">
      <c r="A11" s="10" t="s">
        <v>308</v>
      </c>
      <c r="B11" s="281">
        <v>99628.87</v>
      </c>
      <c r="Y11" t="s">
        <v>396</v>
      </c>
    </row>
    <row r="12" spans="1:44" x14ac:dyDescent="0.25">
      <c r="A12" s="10" t="s">
        <v>322</v>
      </c>
    </row>
    <row r="13" spans="1:44" x14ac:dyDescent="0.25">
      <c r="A13" s="10" t="s">
        <v>313</v>
      </c>
      <c r="B13" s="281">
        <v>45081.64</v>
      </c>
    </row>
    <row r="14" spans="1:44" x14ac:dyDescent="0.25">
      <c r="A14" s="10" t="s">
        <v>314</v>
      </c>
      <c r="B14" s="281">
        <v>3134.16</v>
      </c>
    </row>
    <row r="15" spans="1:44" x14ac:dyDescent="0.25">
      <c r="A15" s="10" t="s">
        <v>315</v>
      </c>
      <c r="B15" s="281">
        <v>22416.49</v>
      </c>
    </row>
    <row r="16" spans="1:44" x14ac:dyDescent="0.25">
      <c r="A16" s="10" t="s">
        <v>311</v>
      </c>
      <c r="B16" s="281">
        <v>1301864.8799999999</v>
      </c>
    </row>
    <row r="17" spans="1:2" x14ac:dyDescent="0.25">
      <c r="A17" s="10" t="s">
        <v>316</v>
      </c>
      <c r="B17" s="281">
        <v>1606536.6</v>
      </c>
    </row>
    <row r="18" spans="1:2" x14ac:dyDescent="0.25">
      <c r="A18" s="10" t="s">
        <v>310</v>
      </c>
      <c r="B18" s="281">
        <v>1667393.65</v>
      </c>
    </row>
    <row r="19" spans="1:2" x14ac:dyDescent="0.25">
      <c r="A19" s="10" t="s">
        <v>309</v>
      </c>
      <c r="B19" s="281">
        <v>1796497.92</v>
      </c>
    </row>
    <row r="20" spans="1:2" x14ac:dyDescent="0.25">
      <c r="A20" s="10" t="s">
        <v>345</v>
      </c>
    </row>
    <row r="21" spans="1:2" x14ac:dyDescent="0.25">
      <c r="A21" s="10" t="s">
        <v>160</v>
      </c>
      <c r="B21" s="281">
        <v>7171820.7999999998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DECE-5271-4621-B3D5-04772CDC71AA}">
  <dimension ref="A1"/>
  <sheetViews>
    <sheetView showGridLines="0" workbookViewId="0">
      <selection activeCell="I22" sqref="I22"/>
    </sheetView>
  </sheetViews>
  <sheetFormatPr defaultRowHeight="14.3" x14ac:dyDescent="0.25"/>
  <sheetData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0542-92FA-41A3-BC59-9CB1DB4900B8}">
  <dimension ref="A4:Z295"/>
  <sheetViews>
    <sheetView showGridLines="0" topLeftCell="A104" zoomScale="70" zoomScaleNormal="70" workbookViewId="0">
      <selection activeCell="B130" sqref="B130"/>
    </sheetView>
  </sheetViews>
  <sheetFormatPr defaultRowHeight="14.3" x14ac:dyDescent="0.25"/>
  <cols>
    <col min="1" max="1" width="24" bestFit="1" customWidth="1"/>
    <col min="2" max="2" width="28.75" bestFit="1" customWidth="1"/>
    <col min="3" max="3" width="41.125" bestFit="1" customWidth="1"/>
    <col min="4" max="4" width="12.875" bestFit="1" customWidth="1"/>
    <col min="5" max="5" width="24" bestFit="1" customWidth="1"/>
    <col min="6" max="6" width="41.125" bestFit="1" customWidth="1"/>
    <col min="7" max="7" width="27.125" bestFit="1" customWidth="1"/>
    <col min="8" max="8" width="25.125" bestFit="1" customWidth="1"/>
    <col min="9" max="9" width="17.375" bestFit="1" customWidth="1"/>
    <col min="10" max="10" width="23.625" bestFit="1" customWidth="1"/>
    <col min="11" max="11" width="12.625" bestFit="1" customWidth="1"/>
    <col min="12" max="12" width="14.25" bestFit="1" customWidth="1"/>
    <col min="13" max="13" width="28.375" bestFit="1" customWidth="1"/>
    <col min="25" max="25" width="24" bestFit="1" customWidth="1"/>
    <col min="26" max="26" width="32.625" bestFit="1" customWidth="1"/>
  </cols>
  <sheetData>
    <row r="4" spans="25:26" x14ac:dyDescent="0.25">
      <c r="Z4" s="20">
        <f>GETPIVOTDATA("DESEMPENHO  %",$Y$6)</f>
        <v>0.99963433938370616</v>
      </c>
    </row>
    <row r="6" spans="25:26" x14ac:dyDescent="0.25">
      <c r="Y6" s="19" t="s">
        <v>133</v>
      </c>
      <c r="Z6" t="s">
        <v>201</v>
      </c>
    </row>
    <row r="7" spans="25:26" x14ac:dyDescent="0.25">
      <c r="Y7" s="9" t="s">
        <v>384</v>
      </c>
      <c r="Z7" s="5">
        <v>0.99927103786816251</v>
      </c>
    </row>
    <row r="8" spans="25:26" x14ac:dyDescent="0.25">
      <c r="Y8" s="9" t="s">
        <v>202</v>
      </c>
      <c r="Z8" s="5">
        <v>1</v>
      </c>
    </row>
    <row r="9" spans="25:26" x14ac:dyDescent="0.25">
      <c r="Y9" s="9" t="s">
        <v>160</v>
      </c>
      <c r="Z9" s="5">
        <v>0.99963433938370616</v>
      </c>
    </row>
    <row r="13" spans="25:26" x14ac:dyDescent="0.25">
      <c r="Y13" s="12" t="s">
        <v>191</v>
      </c>
      <c r="Z13" s="12" t="s">
        <v>192</v>
      </c>
    </row>
    <row r="14" spans="25:26" x14ac:dyDescent="0.25">
      <c r="Y14" s="13" t="s">
        <v>203</v>
      </c>
      <c r="Z14" s="14">
        <f>Z4</f>
        <v>0.99963433938370616</v>
      </c>
    </row>
    <row r="15" spans="25:26" x14ac:dyDescent="0.25">
      <c r="Y15" s="13" t="s">
        <v>204</v>
      </c>
      <c r="Z15" s="14">
        <f>100%-Z14</f>
        <v>3.6566061629383917E-4</v>
      </c>
    </row>
    <row r="17" spans="3:4" x14ac:dyDescent="0.25">
      <c r="C17" t="s">
        <v>205</v>
      </c>
    </row>
    <row r="18" spans="3:4" x14ac:dyDescent="0.25">
      <c r="C18" s="21"/>
      <c r="D18" s="21"/>
    </row>
    <row r="26" spans="3:4" ht="15.8" customHeight="1" x14ac:dyDescent="0.25"/>
    <row r="47" spans="2:3" x14ac:dyDescent="0.25">
      <c r="B47" s="19" t="s">
        <v>133</v>
      </c>
      <c r="C47" t="s">
        <v>206</v>
      </c>
    </row>
    <row r="48" spans="2:3" x14ac:dyDescent="0.25">
      <c r="B48" s="10" t="s">
        <v>383</v>
      </c>
      <c r="C48" s="15">
        <v>6.8042291770160617</v>
      </c>
    </row>
    <row r="49" spans="2:5" x14ac:dyDescent="0.25">
      <c r="B49" s="10" t="s">
        <v>207</v>
      </c>
      <c r="C49" s="15">
        <v>6.7789225589225595</v>
      </c>
    </row>
    <row r="50" spans="2:5" x14ac:dyDescent="0.25">
      <c r="B50" s="10" t="s">
        <v>208</v>
      </c>
      <c r="C50" s="15">
        <v>6.2642847108211308</v>
      </c>
    </row>
    <row r="51" spans="2:5" x14ac:dyDescent="0.25">
      <c r="B51" s="10" t="s">
        <v>209</v>
      </c>
      <c r="C51" s="15">
        <v>5.9220389805097451</v>
      </c>
    </row>
    <row r="52" spans="2:5" x14ac:dyDescent="0.25">
      <c r="B52" s="10" t="s">
        <v>210</v>
      </c>
      <c r="C52" s="15">
        <v>5.8280556921204587</v>
      </c>
    </row>
    <row r="53" spans="2:5" x14ac:dyDescent="0.25">
      <c r="B53" s="10" t="s">
        <v>211</v>
      </c>
      <c r="C53" s="15">
        <v>5.8012034497847322</v>
      </c>
    </row>
    <row r="54" spans="2:5" x14ac:dyDescent="0.25">
      <c r="B54" s="10" t="s">
        <v>212</v>
      </c>
      <c r="C54" s="15">
        <v>5.6000514982969669</v>
      </c>
    </row>
    <row r="55" spans="2:5" x14ac:dyDescent="0.25">
      <c r="B55" s="10" t="s">
        <v>213</v>
      </c>
      <c r="C55" s="15">
        <v>5.1560504446533866</v>
      </c>
    </row>
    <row r="56" spans="2:5" x14ac:dyDescent="0.25">
      <c r="B56" s="10" t="s">
        <v>214</v>
      </c>
      <c r="C56" s="15">
        <v>4.9767605873359795</v>
      </c>
    </row>
    <row r="57" spans="2:5" x14ac:dyDescent="0.25">
      <c r="B57" s="10" t="s">
        <v>215</v>
      </c>
      <c r="C57" s="15">
        <v>4.1380162466369352</v>
      </c>
    </row>
    <row r="58" spans="2:5" x14ac:dyDescent="0.25">
      <c r="B58" s="10" t="s">
        <v>216</v>
      </c>
      <c r="C58" s="15">
        <v>3.8488635783720921</v>
      </c>
    </row>
    <row r="59" spans="2:5" x14ac:dyDescent="0.25">
      <c r="B59" s="10" t="s">
        <v>160</v>
      </c>
      <c r="C59" s="15">
        <v>5.3260761783007853</v>
      </c>
    </row>
    <row r="61" spans="2:5" x14ac:dyDescent="0.25">
      <c r="D61" t="s">
        <v>217</v>
      </c>
    </row>
    <row r="62" spans="2:5" x14ac:dyDescent="0.25">
      <c r="D62" s="15">
        <f>GETPIVOTDATA("MEDIA SKU POR PEDIDO",$B$47)</f>
        <v>5.3260761783007853</v>
      </c>
      <c r="E62" s="15"/>
    </row>
    <row r="90" spans="1:2" x14ac:dyDescent="0.25">
      <c r="A90" s="19" t="s">
        <v>133</v>
      </c>
      <c r="B90" t="s">
        <v>218</v>
      </c>
    </row>
    <row r="91" spans="1:2" x14ac:dyDescent="0.25">
      <c r="A91" s="10" t="s">
        <v>209</v>
      </c>
      <c r="B91">
        <v>1302</v>
      </c>
    </row>
    <row r="92" spans="1:2" x14ac:dyDescent="0.25">
      <c r="A92" s="10" t="s">
        <v>207</v>
      </c>
      <c r="B92">
        <v>5304</v>
      </c>
    </row>
    <row r="93" spans="1:2" x14ac:dyDescent="0.25">
      <c r="A93" s="10" t="s">
        <v>383</v>
      </c>
      <c r="B93">
        <v>5318</v>
      </c>
    </row>
    <row r="94" spans="1:2" x14ac:dyDescent="0.25">
      <c r="A94" s="10" t="s">
        <v>215</v>
      </c>
      <c r="B94">
        <v>5655</v>
      </c>
    </row>
    <row r="95" spans="1:2" x14ac:dyDescent="0.25">
      <c r="A95" s="10" t="s">
        <v>216</v>
      </c>
      <c r="B95">
        <v>8408</v>
      </c>
    </row>
    <row r="96" spans="1:2" x14ac:dyDescent="0.25">
      <c r="A96" s="10" t="s">
        <v>213</v>
      </c>
      <c r="B96">
        <v>10417</v>
      </c>
    </row>
    <row r="97" spans="1:3" x14ac:dyDescent="0.25">
      <c r="A97" s="10" t="s">
        <v>210</v>
      </c>
      <c r="B97">
        <v>19717</v>
      </c>
    </row>
    <row r="98" spans="1:3" x14ac:dyDescent="0.25">
      <c r="A98" s="10" t="s">
        <v>214</v>
      </c>
      <c r="B98">
        <v>26267</v>
      </c>
    </row>
    <row r="99" spans="1:3" x14ac:dyDescent="0.25">
      <c r="A99" s="10" t="s">
        <v>211</v>
      </c>
      <c r="B99">
        <v>27768</v>
      </c>
    </row>
    <row r="100" spans="1:3" x14ac:dyDescent="0.25">
      <c r="A100" s="10" t="s">
        <v>212</v>
      </c>
      <c r="B100">
        <v>29463</v>
      </c>
    </row>
    <row r="101" spans="1:3" x14ac:dyDescent="0.25">
      <c r="A101" s="10" t="s">
        <v>208</v>
      </c>
      <c r="B101">
        <v>52504</v>
      </c>
    </row>
    <row r="102" spans="1:3" x14ac:dyDescent="0.25">
      <c r="A102" s="10" t="s">
        <v>160</v>
      </c>
      <c r="B102">
        <v>192123</v>
      </c>
    </row>
    <row r="104" spans="1:3" x14ac:dyDescent="0.25">
      <c r="C104" s="3">
        <f>GETPIVOTDATA("ITENS SEPARADOS",$A$90)</f>
        <v>192123</v>
      </c>
    </row>
    <row r="126" spans="12:13" x14ac:dyDescent="0.25">
      <c r="L126" s="22" t="s">
        <v>219</v>
      </c>
      <c r="M126" s="22"/>
    </row>
    <row r="127" spans="12:13" x14ac:dyDescent="0.25">
      <c r="L127" s="13" t="s">
        <v>220</v>
      </c>
      <c r="M127" s="14">
        <f>G158</f>
        <v>0.98</v>
      </c>
    </row>
    <row r="128" spans="12:13" x14ac:dyDescent="0.25">
      <c r="L128" s="13" t="s">
        <v>221</v>
      </c>
      <c r="M128" s="14">
        <f>H184</f>
        <v>0.14285714285714285</v>
      </c>
    </row>
    <row r="129" spans="1:13" x14ac:dyDescent="0.25">
      <c r="A129" s="19" t="s">
        <v>133</v>
      </c>
      <c r="B129" t="s">
        <v>222</v>
      </c>
      <c r="L129" s="13" t="s">
        <v>223</v>
      </c>
      <c r="M129" s="14">
        <f>H208</f>
        <v>0.14285714285714285</v>
      </c>
    </row>
    <row r="130" spans="1:13" x14ac:dyDescent="0.25">
      <c r="A130" s="10" t="s">
        <v>209</v>
      </c>
      <c r="B130">
        <v>52</v>
      </c>
      <c r="L130" s="13" t="s">
        <v>224</v>
      </c>
      <c r="M130" s="23">
        <f>G235</f>
        <v>5.3260761783007853</v>
      </c>
    </row>
    <row r="131" spans="1:13" x14ac:dyDescent="0.25">
      <c r="A131" s="10" t="s">
        <v>207</v>
      </c>
      <c r="B131">
        <v>114</v>
      </c>
    </row>
    <row r="132" spans="1:13" x14ac:dyDescent="0.25">
      <c r="A132" s="10" t="s">
        <v>383</v>
      </c>
      <c r="B132">
        <v>133</v>
      </c>
    </row>
    <row r="133" spans="1:13" x14ac:dyDescent="0.25">
      <c r="A133" s="10" t="s">
        <v>215</v>
      </c>
      <c r="B133">
        <v>230</v>
      </c>
    </row>
    <row r="134" spans="1:13" x14ac:dyDescent="0.25">
      <c r="A134" s="10" t="s">
        <v>213</v>
      </c>
      <c r="B134">
        <v>272</v>
      </c>
    </row>
    <row r="135" spans="1:13" x14ac:dyDescent="0.25">
      <c r="A135" s="10" t="s">
        <v>216</v>
      </c>
      <c r="B135">
        <v>329</v>
      </c>
    </row>
    <row r="136" spans="1:13" x14ac:dyDescent="0.25">
      <c r="A136" s="10" t="s">
        <v>210</v>
      </c>
      <c r="B136">
        <v>518</v>
      </c>
    </row>
    <row r="137" spans="1:13" x14ac:dyDescent="0.25">
      <c r="A137" s="10" t="s">
        <v>211</v>
      </c>
      <c r="B137">
        <v>707</v>
      </c>
    </row>
    <row r="138" spans="1:13" x14ac:dyDescent="0.25">
      <c r="A138" s="10" t="s">
        <v>212</v>
      </c>
      <c r="B138">
        <v>831</v>
      </c>
      <c r="C138" s="3">
        <f>GETPIVOTDATA("QTD PEDIDOS",$A$129)</f>
        <v>5401</v>
      </c>
    </row>
    <row r="139" spans="1:13" x14ac:dyDescent="0.25">
      <c r="A139" s="10" t="s">
        <v>214</v>
      </c>
      <c r="B139">
        <v>914</v>
      </c>
    </row>
    <row r="140" spans="1:13" x14ac:dyDescent="0.25">
      <c r="A140" s="10" t="s">
        <v>208</v>
      </c>
      <c r="B140">
        <v>1301</v>
      </c>
    </row>
    <row r="141" spans="1:13" x14ac:dyDescent="0.25">
      <c r="A141" s="10" t="s">
        <v>160</v>
      </c>
      <c r="B141">
        <v>5401</v>
      </c>
    </row>
    <row r="151" spans="1:12" x14ac:dyDescent="0.25">
      <c r="L151" s="19" t="s">
        <v>0</v>
      </c>
    </row>
    <row r="152" spans="1:12" x14ac:dyDescent="0.25">
      <c r="L152" s="10" t="s">
        <v>225</v>
      </c>
    </row>
    <row r="153" spans="1:12" x14ac:dyDescent="0.25">
      <c r="L153" s="10" t="s">
        <v>160</v>
      </c>
    </row>
    <row r="154" spans="1:12" ht="14.95" thickBot="1" x14ac:dyDescent="0.3"/>
    <row r="155" spans="1:12" ht="14.95" thickBot="1" x14ac:dyDescent="0.3">
      <c r="E155" s="24" t="s">
        <v>226</v>
      </c>
      <c r="F155" s="25"/>
      <c r="G155" s="26"/>
      <c r="H155" s="27"/>
    </row>
    <row r="156" spans="1:12" x14ac:dyDescent="0.25">
      <c r="E156" s="28"/>
      <c r="H156" s="29"/>
    </row>
    <row r="157" spans="1:12" x14ac:dyDescent="0.25">
      <c r="B157" s="15" t="e">
        <f>GETPIVOTDATA("UNIDADES POR MINUTO",$A$159)</f>
        <v>#REF!</v>
      </c>
      <c r="E157" s="30" t="s">
        <v>227</v>
      </c>
      <c r="F157" s="12" t="s">
        <v>228</v>
      </c>
      <c r="G157" s="12" t="s">
        <v>229</v>
      </c>
      <c r="H157" s="12" t="s">
        <v>230</v>
      </c>
    </row>
    <row r="158" spans="1:12" x14ac:dyDescent="0.25">
      <c r="E158" s="31">
        <f>COUNTA(E161:E168)</f>
        <v>8</v>
      </c>
      <c r="F158" s="32">
        <f>GETPIVOTDATA("DESEMPENHO  %",$E$160)</f>
        <v>0.99963433938370594</v>
      </c>
      <c r="G158" s="33">
        <v>0.98</v>
      </c>
      <c r="H158" s="33">
        <v>0.98</v>
      </c>
    </row>
    <row r="159" spans="1:12" ht="14.95" thickBot="1" x14ac:dyDescent="0.3">
      <c r="A159" s="246" t="s">
        <v>133</v>
      </c>
      <c r="E159" s="28"/>
      <c r="H159" s="29"/>
    </row>
    <row r="160" spans="1:12" ht="14.95" thickBot="1" x14ac:dyDescent="0.3">
      <c r="A160" s="34" t="s">
        <v>225</v>
      </c>
      <c r="E160" s="245" t="s">
        <v>133</v>
      </c>
      <c r="F160" s="35" t="s">
        <v>201</v>
      </c>
      <c r="G160" s="36"/>
      <c r="H160" s="37" t="s">
        <v>231</v>
      </c>
    </row>
    <row r="161" spans="1:8" x14ac:dyDescent="0.25">
      <c r="A161" s="38" t="s">
        <v>232</v>
      </c>
      <c r="E161" s="39" t="s">
        <v>216</v>
      </c>
      <c r="F161" s="40">
        <v>1</v>
      </c>
      <c r="G161" s="33"/>
      <c r="H161" s="41" t="str">
        <f>IF(GETPIVOTDATA("DESEMPENHO  %",$E$160,"COLABORADOR","ARMANDO SANTOS")&gt;=G158,"ATINGIDO","NÃO ATINGIDO")</f>
        <v>ATINGIDO</v>
      </c>
    </row>
    <row r="162" spans="1:8" x14ac:dyDescent="0.25">
      <c r="A162" s="34" t="s">
        <v>160</v>
      </c>
      <c r="E162" s="42" t="s">
        <v>215</v>
      </c>
      <c r="F162" s="43">
        <v>1</v>
      </c>
      <c r="G162" s="33"/>
      <c r="H162" s="41" t="str">
        <f>IF(GETPIVOTDATA("DESEMPENHO  %",$E$160,"COLABORADOR","WILSON JUNIOR")&gt;=G158,"ATINGIDO","NÃO ATINGIDO")</f>
        <v>ATINGIDO</v>
      </c>
    </row>
    <row r="163" spans="1:8" x14ac:dyDescent="0.25">
      <c r="E163" s="42" t="s">
        <v>210</v>
      </c>
      <c r="F163" s="43">
        <v>0.99888888888888894</v>
      </c>
      <c r="G163" s="33"/>
      <c r="H163" s="41" t="str">
        <f>IF(GETPIVOTDATA("DESEMPENHO  %",$E$160,"COLABORADOR","MARILEUZA")&gt;=G158,"ATINGIDO","NÃO ATINGIDO")</f>
        <v>ATINGIDO</v>
      </c>
    </row>
    <row r="164" spans="1:8" x14ac:dyDescent="0.25">
      <c r="E164" s="42" t="s">
        <v>208</v>
      </c>
      <c r="F164" s="43">
        <v>1</v>
      </c>
      <c r="G164" s="33"/>
      <c r="H164" s="41" t="str">
        <f>IF(GETPIVOTDATA("DESEMPENHO  %",$E$160,"COLABORADOR","RONALDO JOSE")&gt;=G158,"ATINGIDO","NÃO ATINGIDO")</f>
        <v>ATINGIDO</v>
      </c>
    </row>
    <row r="165" spans="1:8" x14ac:dyDescent="0.25">
      <c r="E165" s="42" t="s">
        <v>213</v>
      </c>
      <c r="F165" s="43">
        <v>1</v>
      </c>
      <c r="G165" s="33"/>
      <c r="H165" s="41" t="str">
        <f>IF(GETPIVOTDATA("DESEMPENHO  %",$E$160,"COLABORADOR","WARLEY GABRIEL")&gt;=G158,"ATINGIDO","NÃO ATINGIDO")</f>
        <v>ATINGIDO</v>
      </c>
    </row>
    <row r="166" spans="1:8" x14ac:dyDescent="0.25">
      <c r="E166" s="42" t="s">
        <v>383</v>
      </c>
      <c r="F166" s="43">
        <v>1</v>
      </c>
      <c r="G166" s="33"/>
      <c r="H166" s="41" t="str">
        <f>IF(GETPIVOTDATA("DESEMPENHO  %",$E$160,"COLABORADOR","IGOR")&gt;=G158,"ATINGIDO","NÃO ATINGIDO")</f>
        <v>ATINGIDO</v>
      </c>
    </row>
    <row r="167" spans="1:8" x14ac:dyDescent="0.25">
      <c r="E167" s="42" t="s">
        <v>214</v>
      </c>
      <c r="F167" s="43">
        <v>1</v>
      </c>
      <c r="G167" s="33"/>
      <c r="H167" s="41" t="str">
        <f>IF(GETPIVOTDATA("DESEMPENHO  %",$E$160,"COLABORADOR","FERNANDO BORGES")&gt;=G158,"ATINGIDO","NÃO ATINGIDO")</f>
        <v>ATINGIDO</v>
      </c>
    </row>
    <row r="168" spans="1:8" x14ac:dyDescent="0.25">
      <c r="E168" s="42" t="s">
        <v>212</v>
      </c>
      <c r="F168" s="43">
        <v>0.99844696969696978</v>
      </c>
      <c r="G168" s="33"/>
      <c r="H168" s="41" t="str">
        <f>IF(GETPIVOTDATA("DESEMPENHO  %",$E$160,"COLABORADOR","JAILSON")&gt;=G158,"ATINGIDO","NÃO ATINGIDO")</f>
        <v>ATINGIDO</v>
      </c>
    </row>
    <row r="169" spans="1:8" x14ac:dyDescent="0.25">
      <c r="E169" s="42" t="s">
        <v>211</v>
      </c>
      <c r="F169" s="43">
        <v>0.99916387959866226</v>
      </c>
      <c r="G169" s="33"/>
      <c r="H169" s="41" t="str">
        <f>IF(GETPIVOTDATA("DESEMPENHO  %",$E$160,"COLABORADOR","PABLYNE SANTANA")&gt;=G158,"ATINGIDO","NÃO ATINGIDO")</f>
        <v>ATINGIDO</v>
      </c>
    </row>
    <row r="170" spans="1:8" ht="14.95" thickBot="1" x14ac:dyDescent="0.3">
      <c r="E170" s="42" t="s">
        <v>207</v>
      </c>
      <c r="F170" s="43">
        <v>1</v>
      </c>
      <c r="G170" s="44"/>
      <c r="H170" s="45"/>
    </row>
    <row r="171" spans="1:8" ht="14.95" thickBot="1" x14ac:dyDescent="0.3">
      <c r="E171" s="46" t="s">
        <v>209</v>
      </c>
      <c r="F171" s="43">
        <v>1</v>
      </c>
    </row>
    <row r="172" spans="1:8" ht="14.95" thickBot="1" x14ac:dyDescent="0.3">
      <c r="E172" s="47" t="s">
        <v>160</v>
      </c>
      <c r="F172" s="48">
        <v>0.99963433938370594</v>
      </c>
    </row>
    <row r="179" spans="5:8" ht="14.95" thickBot="1" x14ac:dyDescent="0.3"/>
    <row r="180" spans="5:8" x14ac:dyDescent="0.25">
      <c r="E180" s="49" t="s">
        <v>233</v>
      </c>
      <c r="F180" s="50"/>
      <c r="G180" s="50"/>
      <c r="H180" s="51"/>
    </row>
    <row r="181" spans="5:8" ht="14.95" thickBot="1" x14ac:dyDescent="0.3">
      <c r="E181" s="52"/>
      <c r="F181" s="53"/>
      <c r="G181" s="53"/>
      <c r="H181" s="54"/>
    </row>
    <row r="182" spans="5:8" x14ac:dyDescent="0.25">
      <c r="E182" s="28"/>
      <c r="H182" s="29"/>
    </row>
    <row r="183" spans="5:8" x14ac:dyDescent="0.25">
      <c r="E183" s="30" t="s">
        <v>227</v>
      </c>
      <c r="F183" s="13" t="s">
        <v>234</v>
      </c>
      <c r="G183" s="13" t="s">
        <v>235</v>
      </c>
      <c r="H183" s="55" t="s">
        <v>236</v>
      </c>
    </row>
    <row r="184" spans="5:8" x14ac:dyDescent="0.25">
      <c r="E184" s="31">
        <f>COUNTA(E188:E196)-2</f>
        <v>7</v>
      </c>
      <c r="F184" s="23">
        <f>GETPIVOTDATA("QTD PEDIDOS",$E$187)</f>
        <v>5401</v>
      </c>
      <c r="G184" s="23">
        <f>F184/E184</f>
        <v>771.57142857142856</v>
      </c>
      <c r="H184" s="56">
        <f>100%/E184</f>
        <v>0.14285714285714285</v>
      </c>
    </row>
    <row r="185" spans="5:8" x14ac:dyDescent="0.25">
      <c r="E185" s="28"/>
      <c r="H185" s="29"/>
    </row>
    <row r="186" spans="5:8" ht="14.95" thickBot="1" x14ac:dyDescent="0.3">
      <c r="E186" s="28"/>
      <c r="H186" s="29"/>
    </row>
    <row r="187" spans="5:8" ht="14.95" thickBot="1" x14ac:dyDescent="0.3">
      <c r="E187" s="249" t="s">
        <v>133</v>
      </c>
      <c r="F187" s="57" t="s">
        <v>222</v>
      </c>
      <c r="G187" s="36" t="s">
        <v>237</v>
      </c>
      <c r="H187" s="58" t="s">
        <v>231</v>
      </c>
    </row>
    <row r="188" spans="5:8" x14ac:dyDescent="0.25">
      <c r="E188" s="39" t="s">
        <v>209</v>
      </c>
      <c r="F188" s="12">
        <v>52</v>
      </c>
      <c r="G188" s="59">
        <f>GETPIVOTDATA("QTD PEDIDOS",$E$187,"COLABORADOR","PABLYNE SANTANA")/F184</f>
        <v>2.1107202369931494E-2</v>
      </c>
      <c r="H188" s="55" t="str">
        <f>IF(GETPIVOTDATA("QTD PEDIDOS",$E$187,"COLABORADOR","PABLYNE SANTANA")&gt;=G184,"ATINGIDO","NÃO ATINGIDO")</f>
        <v>NÃO ATINGIDO</v>
      </c>
    </row>
    <row r="189" spans="5:8" x14ac:dyDescent="0.25">
      <c r="E189" s="42" t="s">
        <v>207</v>
      </c>
      <c r="F189" s="12">
        <v>114</v>
      </c>
      <c r="G189" s="59">
        <f>GETPIVOTDATA("QTD PEDIDOS",$E$187,"COLABORADOR","WILSON JUNIOR")/F184</f>
        <v>4.2584706535826695E-2</v>
      </c>
      <c r="H189" s="55" t="str">
        <f>IF(GETPIVOTDATA("QTD PEDIDOS",$E$187,"COLABORADOR","WILSON JUNIOR")&gt;=G184,"ATINGIDO","NÃO ATINGIDO")</f>
        <v>NÃO ATINGIDO</v>
      </c>
    </row>
    <row r="190" spans="5:8" x14ac:dyDescent="0.25">
      <c r="E190" s="42" t="s">
        <v>383</v>
      </c>
      <c r="F190" s="12">
        <v>133</v>
      </c>
      <c r="G190" s="59">
        <f>GETPIVOTDATA("QTD PEDIDOS",$E$187,"COLABORADOR","WARLEY GABRIEL")/F184</f>
        <v>5.0361044251064621E-2</v>
      </c>
      <c r="H190" s="55" t="str">
        <f>IF(GETPIVOTDATA("QTD PEDIDOS",$E$187,"COLABORADOR","WARLEY GABRIEL")&gt;=G184,"ATINGIDO","NÃO ATINGIDO")</f>
        <v>NÃO ATINGIDO</v>
      </c>
    </row>
    <row r="191" spans="5:8" x14ac:dyDescent="0.25">
      <c r="E191" s="42" t="s">
        <v>215</v>
      </c>
      <c r="F191" s="12">
        <v>230</v>
      </c>
      <c r="G191" s="59">
        <f>GETPIVOTDATA("QTD PEDIDOS",$E$187,"COLABORADOR","ARMANDO SANTOS")/F184</f>
        <v>6.0914645436030368E-2</v>
      </c>
      <c r="H191" s="55" t="str">
        <f>IF(GETPIVOTDATA("QTD PEDIDOS",$E$187,"COLABORADOR","ARMANDO SANTOS")&gt;=G184,"ATINGIDO","NÃO ATINGIDO")</f>
        <v>NÃO ATINGIDO</v>
      </c>
    </row>
    <row r="192" spans="5:8" x14ac:dyDescent="0.25">
      <c r="E192" s="42" t="s">
        <v>213</v>
      </c>
      <c r="F192" s="12">
        <v>272</v>
      </c>
      <c r="G192" s="59">
        <f>GETPIVOTDATA("QTD PEDIDOS",$E$187,"COLABORADOR","FERNANDO BORGES")/F184</f>
        <v>0.15386039622292169</v>
      </c>
      <c r="H192" s="55" t="str">
        <f>IF(GETPIVOTDATA("QTD PEDIDOS",$E$187,"COLABORADOR","FERNANDO BORGES")&gt;=G184,"ATINGIDO","NÃO ATINGIDO")</f>
        <v>ATINGIDO</v>
      </c>
    </row>
    <row r="193" spans="1:8" x14ac:dyDescent="0.25">
      <c r="E193" s="42" t="s">
        <v>216</v>
      </c>
      <c r="F193" s="12">
        <v>329</v>
      </c>
      <c r="G193" s="59">
        <f>GETPIVOTDATA("QTD PEDIDOS",$E$187,"COLABORADOR","RONALDO JOSE")/F184</f>
        <v>0.24088131827439363</v>
      </c>
      <c r="H193" s="55" t="str">
        <f>IF(GETPIVOTDATA("QTD PEDIDOS",$E$187,"COLABORADOR","RONALDO JOSE")&gt;=G184,"ATINGIDO","NÃO ATINGIDO")</f>
        <v>ATINGIDO</v>
      </c>
    </row>
    <row r="194" spans="1:8" x14ac:dyDescent="0.25">
      <c r="E194" s="42" t="s">
        <v>210</v>
      </c>
      <c r="F194" s="12">
        <v>518</v>
      </c>
      <c r="G194" s="59">
        <f>GETPIVOTDATA("QTD PEDIDOS",$E$187,"COLABORADOR","IGOR")/F184</f>
        <v>0.16922792075541565</v>
      </c>
      <c r="H194" s="55" t="str">
        <f>IF(GETPIVOTDATA("QTD PEDIDOS",$E$187,"COLABORADOR","IGOR")&gt;=G184,"ATINGIDO","NÃO ATINGIDO")</f>
        <v>ATINGIDO</v>
      </c>
    </row>
    <row r="195" spans="1:8" x14ac:dyDescent="0.25">
      <c r="E195" s="42" t="s">
        <v>211</v>
      </c>
      <c r="F195" s="12">
        <v>707</v>
      </c>
      <c r="G195" s="59">
        <f>GETPIVOTDATA("QTD PEDIDOS",$E$187,"COLABORADOR","MARILEUZA")/F184</f>
        <v>9.5908165154601002E-2</v>
      </c>
      <c r="H195" s="55" t="str">
        <f>IF(GETPIVOTDATA("QTD PEDIDOS",$E$187,"COLABORADOR","MARILEUZA")&gt;=G184,"ATINGIDO","NÃO ATINGIDO")</f>
        <v>NÃO ATINGIDO</v>
      </c>
    </row>
    <row r="196" spans="1:8" x14ac:dyDescent="0.25">
      <c r="E196" s="42" t="s">
        <v>212</v>
      </c>
      <c r="F196" s="12">
        <v>831</v>
      </c>
      <c r="G196" s="59">
        <f>GETPIVOTDATA("QTD PEDIDOS",$E$187,"COLABORADOR","JAILSON")/F184</f>
        <v>0.13090168487317164</v>
      </c>
      <c r="H196" s="55" t="str">
        <f>IF(GETPIVOTDATA("QTD PEDIDOS",$E$187,"COLABORADOR","JAILSON")&gt;=G185,"ATINGIDO","NÃO ATINGIDO")</f>
        <v>ATINGIDO</v>
      </c>
    </row>
    <row r="197" spans="1:8" x14ac:dyDescent="0.25">
      <c r="E197" s="42" t="s">
        <v>214</v>
      </c>
      <c r="F197" s="12">
        <v>914</v>
      </c>
    </row>
    <row r="198" spans="1:8" ht="14.95" thickBot="1" x14ac:dyDescent="0.3">
      <c r="A198" s="13"/>
      <c r="E198" s="46" t="s">
        <v>208</v>
      </c>
      <c r="F198" s="12">
        <v>1301</v>
      </c>
    </row>
    <row r="199" spans="1:8" ht="14.95" thickBot="1" x14ac:dyDescent="0.3">
      <c r="A199" s="13"/>
      <c r="E199" s="47" t="s">
        <v>160</v>
      </c>
      <c r="F199" s="307">
        <v>5401</v>
      </c>
    </row>
    <row r="200" spans="1:8" x14ac:dyDescent="0.25">
      <c r="A200" s="13"/>
    </row>
    <row r="201" spans="1:8" x14ac:dyDescent="0.25">
      <c r="A201" s="13"/>
    </row>
    <row r="202" spans="1:8" x14ac:dyDescent="0.25">
      <c r="A202" s="13"/>
    </row>
    <row r="203" spans="1:8" ht="14.95" thickBot="1" x14ac:dyDescent="0.3">
      <c r="A203" s="13"/>
      <c r="G203" s="60"/>
      <c r="H203" s="60"/>
    </row>
    <row r="204" spans="1:8" x14ac:dyDescent="0.25">
      <c r="A204" s="13"/>
      <c r="G204" s="61"/>
      <c r="H204" s="62"/>
    </row>
    <row r="205" spans="1:8" ht="14.95" thickBot="1" x14ac:dyDescent="0.3">
      <c r="A205" s="13"/>
      <c r="G205" s="63"/>
      <c r="H205" s="64"/>
    </row>
    <row r="206" spans="1:8" x14ac:dyDescent="0.25">
      <c r="A206" s="13"/>
      <c r="G206" s="60"/>
      <c r="H206" s="65"/>
    </row>
    <row r="207" spans="1:8" x14ac:dyDescent="0.25">
      <c r="A207" s="13"/>
      <c r="E207" s="66" t="s">
        <v>227</v>
      </c>
      <c r="F207" s="67" t="s">
        <v>238</v>
      </c>
      <c r="G207" s="67" t="s">
        <v>239</v>
      </c>
      <c r="H207" s="37" t="s">
        <v>236</v>
      </c>
    </row>
    <row r="208" spans="1:8" x14ac:dyDescent="0.25">
      <c r="A208" s="13"/>
      <c r="E208" s="66">
        <f>COUNTA(E213:E221)-2</f>
        <v>7</v>
      </c>
      <c r="F208" s="68">
        <f>GETPIVOTDATA("ITENS SEPARADOS",$E$212)</f>
        <v>192123</v>
      </c>
      <c r="G208" s="68">
        <f>F208/E208</f>
        <v>27446.142857142859</v>
      </c>
      <c r="H208" s="69">
        <f>100%/E208</f>
        <v>0.14285714285714285</v>
      </c>
    </row>
    <row r="209" spans="1:8" x14ac:dyDescent="0.25">
      <c r="A209" s="13"/>
      <c r="E209" s="70"/>
      <c r="F209" s="60"/>
      <c r="G209" s="60"/>
      <c r="H209" s="65"/>
    </row>
    <row r="210" spans="1:8" x14ac:dyDescent="0.25">
      <c r="A210" s="13"/>
      <c r="E210" s="70"/>
      <c r="F210" s="60"/>
      <c r="G210" s="60"/>
      <c r="H210" s="65"/>
    </row>
    <row r="211" spans="1:8" ht="14.95" thickBot="1" x14ac:dyDescent="0.3">
      <c r="A211" s="13"/>
      <c r="E211" s="70"/>
      <c r="F211" s="60"/>
      <c r="G211" s="60"/>
      <c r="H211" s="65"/>
    </row>
    <row r="212" spans="1:8" ht="14.95" thickBot="1" x14ac:dyDescent="0.3">
      <c r="A212" s="13"/>
      <c r="E212" s="248" t="s">
        <v>133</v>
      </c>
      <c r="F212" s="71" t="s">
        <v>218</v>
      </c>
      <c r="G212" s="36" t="s">
        <v>237</v>
      </c>
      <c r="H212" s="37" t="s">
        <v>231</v>
      </c>
    </row>
    <row r="213" spans="1:8" x14ac:dyDescent="0.25">
      <c r="A213" s="13"/>
      <c r="E213" s="72" t="s">
        <v>208</v>
      </c>
      <c r="F213" s="73">
        <v>52504</v>
      </c>
      <c r="G213" s="74">
        <f>GETPIVOTDATA("ITENS SEPARADOS",$E$212,"COLABORADOR","JAILSON")/F208</f>
        <v>0.14453240892553207</v>
      </c>
      <c r="H213" s="37" t="str">
        <f>IF(GETPIVOTDATA("ITENS SEPARADOS",$E$212,"COLABORADOR","JAILSON")&lt;G208,"NÃO ATINGIDO","ATINGIDO")</f>
        <v>ATINGIDO</v>
      </c>
    </row>
    <row r="214" spans="1:8" x14ac:dyDescent="0.25">
      <c r="A214" s="13"/>
      <c r="E214" s="75" t="s">
        <v>212</v>
      </c>
      <c r="F214" s="73">
        <v>29463</v>
      </c>
      <c r="G214" s="74">
        <f>GETPIVOTDATA("ITENS SEPARADOS",$E$212,"COLABORADOR","IGOR")/F208</f>
        <v>0.13671970560526331</v>
      </c>
      <c r="H214" s="37" t="str">
        <f>IF(GETPIVOTDATA("ITENS SEPARADOS",$E$212,"COLABORADOR","IGOR")&lt;G208,"NÃO ATINGIDO","ATINGIDO")</f>
        <v>NÃO ATINGIDO</v>
      </c>
    </row>
    <row r="215" spans="1:8" x14ac:dyDescent="0.25">
      <c r="A215" s="13"/>
      <c r="E215" s="75" t="s">
        <v>211</v>
      </c>
      <c r="F215" s="73">
        <v>27768</v>
      </c>
      <c r="G215" s="74">
        <f>GETPIVOTDATA("ITENS SEPARADOS",$E$212,"COLABORADOR","MARILEUZA")/F208</f>
        <v>0.10262696293520297</v>
      </c>
      <c r="H215" s="37" t="str">
        <f>IF(GETPIVOTDATA("ITENS SEPARADOS",$E$212,"COLABORADOR","MARILEUZA")&lt;G208,"NÃO ATINGIDO","ATINGIDO")</f>
        <v>NÃO ATINGIDO</v>
      </c>
    </row>
    <row r="216" spans="1:8" x14ac:dyDescent="0.25">
      <c r="A216" s="13"/>
      <c r="E216" s="75" t="s">
        <v>214</v>
      </c>
      <c r="F216" s="73">
        <v>26267</v>
      </c>
      <c r="G216" s="74">
        <f>GETPIVOTDATA("ITENS SEPARADOS",$E$212,"COLABORADOR","FERNANDO BORGES")/F208</f>
        <v>0.15335488202870037</v>
      </c>
      <c r="H216" s="37" t="str">
        <f>IF(GETPIVOTDATA("ITENS SEPARADOS",$E$212,"COLABORADOR","FERNANDO BORGES")&lt;G208,"NÃO ATINGIDO","ATINGIDO")</f>
        <v>ATINGIDO</v>
      </c>
    </row>
    <row r="217" spans="1:8" x14ac:dyDescent="0.25">
      <c r="A217" s="13"/>
      <c r="E217" s="75" t="s">
        <v>210</v>
      </c>
      <c r="F217" s="73">
        <v>19717</v>
      </c>
      <c r="G217" s="74">
        <f>GETPIVOTDATA("ITENS SEPARADOS",$E$212,"COLABORADOR","RONALDO JOSE")/F208</f>
        <v>0.27328326124409885</v>
      </c>
      <c r="H217" s="37" t="str">
        <f>IF(GETPIVOTDATA("ITENS SEPARADOS",$E$212,"COLABORADOR","RONALDO JOSE")&lt;G208,"NÃO ATINGIDO","ATINGIDO")</f>
        <v>ATINGIDO</v>
      </c>
    </row>
    <row r="218" spans="1:8" x14ac:dyDescent="0.25">
      <c r="A218" s="13"/>
      <c r="E218" s="75" t="s">
        <v>213</v>
      </c>
      <c r="F218" s="73">
        <v>10417</v>
      </c>
      <c r="G218" s="76">
        <f>GETPIVOTDATA("ITENS SEPARADOS",$E$212,"COLABORADOR","ARMANDO SANTOS")/F208</f>
        <v>4.3763630590819426E-2</v>
      </c>
      <c r="H218" s="77" t="str">
        <f>IF(GETPIVOTDATA("ITENS SEPARADOS",$E$212,"COLABORADOR","ARMANDO SANTOS")&lt;G208,"NÃO ATINGIDO","ATINGIDO")</f>
        <v>NÃO ATINGIDO</v>
      </c>
    </row>
    <row r="219" spans="1:8" x14ac:dyDescent="0.25">
      <c r="A219" s="13"/>
      <c r="E219" s="75" t="s">
        <v>216</v>
      </c>
      <c r="F219" s="73">
        <v>8408</v>
      </c>
      <c r="G219" s="74">
        <f>GETPIVOTDATA("ITENS SEPARADOS",$E$212,"COLABORADOR","WARLEY GABRIEL")/F208</f>
        <v>5.4220473342598233E-2</v>
      </c>
      <c r="H219" s="36" t="str">
        <f>IF(GETPIVOTDATA("ITENS SEPARADOS",$E$212,"COLABORADOR","WARLEY GABRIEL")&lt;G208,"NÃO ATINGIDO","ATINGIDO")</f>
        <v>NÃO ATINGIDO</v>
      </c>
    </row>
    <row r="220" spans="1:8" x14ac:dyDescent="0.25">
      <c r="A220" s="13"/>
      <c r="E220" s="78" t="s">
        <v>215</v>
      </c>
      <c r="F220" s="67">
        <v>5655</v>
      </c>
      <c r="G220" s="74">
        <f>GETPIVOTDATA("ITENS SEPARADOS",$E$212,"COLABORADOR","WILSON JUNIOR")/F208</f>
        <v>2.9434268671632235E-2</v>
      </c>
      <c r="H220" s="36" t="str">
        <f>IF(GETPIVOTDATA("ITENS SEPARADOS",$E$212,"COLABORADOR","WILSON JUNIOR")&lt;G208,"NÃO ATINGIDO","ATINGIDO")</f>
        <v>NÃO ATINGIDO</v>
      </c>
    </row>
    <row r="221" spans="1:8" x14ac:dyDescent="0.25">
      <c r="A221" s="13"/>
      <c r="E221" s="75" t="s">
        <v>383</v>
      </c>
      <c r="F221" s="37">
        <v>5318</v>
      </c>
      <c r="G221" s="74">
        <f>GETPIVOTDATA("ITENS SEPARADOS",$E$212,"COLABORADOR","PABLYNE SANTANA")/F208</f>
        <v>2.7607314064427475E-2</v>
      </c>
      <c r="H221" s="36" t="str">
        <f>IF(GETPIVOTDATA("ITENS SEPARADOS",$E$212,"COLABORADOR","PABLYNE SANTANA")&lt;G209,"NÃO ATINGIDO","ATINGIDO")</f>
        <v>ATINGIDO</v>
      </c>
    </row>
    <row r="222" spans="1:8" x14ac:dyDescent="0.25">
      <c r="A222" s="13"/>
      <c r="E222" s="75" t="s">
        <v>207</v>
      </c>
      <c r="F222" s="73">
        <v>5304</v>
      </c>
      <c r="G222" s="60"/>
      <c r="H222" s="60"/>
    </row>
    <row r="223" spans="1:8" ht="14.95" thickBot="1" x14ac:dyDescent="0.3">
      <c r="A223" s="13"/>
      <c r="E223" s="79" t="s">
        <v>209</v>
      </c>
      <c r="F223" s="37">
        <v>1302</v>
      </c>
      <c r="G223" s="60"/>
      <c r="H223" s="60"/>
    </row>
    <row r="224" spans="1:8" ht="14.95" thickBot="1" x14ac:dyDescent="0.3">
      <c r="A224" s="13"/>
      <c r="E224" s="80" t="s">
        <v>160</v>
      </c>
      <c r="F224" s="308">
        <v>192123</v>
      </c>
      <c r="G224" s="60"/>
      <c r="H224" s="60"/>
    </row>
    <row r="225" spans="1:8" x14ac:dyDescent="0.25">
      <c r="A225" s="13"/>
      <c r="G225" s="60"/>
      <c r="H225" s="60"/>
    </row>
    <row r="226" spans="1:8" x14ac:dyDescent="0.25">
      <c r="A226" s="13"/>
    </row>
    <row r="227" spans="1:8" x14ac:dyDescent="0.25">
      <c r="A227" s="13"/>
    </row>
    <row r="228" spans="1:8" x14ac:dyDescent="0.25">
      <c r="A228" s="13"/>
    </row>
    <row r="229" spans="1:8" ht="14.95" thickBot="1" x14ac:dyDescent="0.3">
      <c r="A229" s="13"/>
    </row>
    <row r="230" spans="1:8" x14ac:dyDescent="0.25">
      <c r="A230" s="13"/>
      <c r="G230" s="61"/>
      <c r="H230" s="62"/>
    </row>
    <row r="231" spans="1:8" ht="14.95" thickBot="1" x14ac:dyDescent="0.3">
      <c r="A231" s="13"/>
      <c r="G231" s="63"/>
      <c r="H231" s="64"/>
    </row>
    <row r="232" spans="1:8" x14ac:dyDescent="0.25">
      <c r="A232" s="13"/>
      <c r="E232" s="28"/>
      <c r="H232" s="29"/>
    </row>
    <row r="233" spans="1:8" x14ac:dyDescent="0.25">
      <c r="A233" s="13"/>
      <c r="E233" s="28"/>
      <c r="H233" s="29"/>
    </row>
    <row r="234" spans="1:8" x14ac:dyDescent="0.25">
      <c r="A234" s="13"/>
      <c r="E234" s="66" t="s">
        <v>227</v>
      </c>
      <c r="F234" s="67" t="s">
        <v>240</v>
      </c>
      <c r="G234" s="67" t="s">
        <v>241</v>
      </c>
      <c r="H234" s="36" t="s">
        <v>236</v>
      </c>
    </row>
    <row r="235" spans="1:8" x14ac:dyDescent="0.25">
      <c r="A235" s="13"/>
      <c r="E235" s="66">
        <f>COUNTA(E241:E249)-2</f>
        <v>7</v>
      </c>
      <c r="F235" s="68">
        <f>GETPIVOTDATA("MEDIA SKU POR PEDIDO",$E$240)</f>
        <v>5.3260761783007853</v>
      </c>
      <c r="G235" s="68">
        <f>F235</f>
        <v>5.3260761783007853</v>
      </c>
      <c r="H235" s="33">
        <f>100%/E235</f>
        <v>0.14285714285714285</v>
      </c>
    </row>
    <row r="236" spans="1:8" x14ac:dyDescent="0.25">
      <c r="A236" s="13"/>
      <c r="E236" s="28"/>
      <c r="H236" s="29"/>
    </row>
    <row r="237" spans="1:8" x14ac:dyDescent="0.25">
      <c r="A237" s="13"/>
      <c r="E237" s="28"/>
      <c r="H237" s="29"/>
    </row>
    <row r="238" spans="1:8" x14ac:dyDescent="0.25">
      <c r="A238" s="13"/>
      <c r="E238" s="28"/>
      <c r="H238" s="29"/>
    </row>
    <row r="239" spans="1:8" x14ac:dyDescent="0.25">
      <c r="A239" s="13"/>
      <c r="E239" s="28"/>
      <c r="H239" s="29"/>
    </row>
    <row r="240" spans="1:8" ht="14.95" thickBot="1" x14ac:dyDescent="0.3">
      <c r="A240" s="13"/>
      <c r="E240" s="247" t="s">
        <v>133</v>
      </c>
      <c r="F240" s="81" t="s">
        <v>206</v>
      </c>
      <c r="G240" s="82" t="s">
        <v>231</v>
      </c>
      <c r="H240" s="36" t="s">
        <v>242</v>
      </c>
    </row>
    <row r="241" spans="1:8" x14ac:dyDescent="0.25">
      <c r="A241" s="13"/>
      <c r="E241" s="83" t="s">
        <v>383</v>
      </c>
      <c r="F241" s="84">
        <v>6.8042291770160617</v>
      </c>
      <c r="G241" s="32" t="str">
        <f>IF(GETPIVOTDATA("MEDIA SKU POR PEDIDO",$E$240,"COLABORADOR","PABLYNE SANTANA")&gt;=G235,"ATINGIDO","NÃO ATINGIDO")</f>
        <v>ATINGIDO</v>
      </c>
      <c r="H241" s="32">
        <f>GETPIVOTDATA("MEDIA SKU POR PEDIDO",$E$240,"COLABORADOR","PABLYNE SANTANA")/G235</f>
        <v>1.2727798724586183</v>
      </c>
    </row>
    <row r="242" spans="1:8" x14ac:dyDescent="0.25">
      <c r="A242" s="13"/>
      <c r="E242" s="83" t="s">
        <v>207</v>
      </c>
      <c r="F242" s="84">
        <v>6.7789225589225595</v>
      </c>
      <c r="G242" s="32" t="str">
        <f>IF(GETPIVOTDATA("MEDIA SKU POR PEDIDO",$E$240,"COLABORADOR","IGOR")&gt;=G235,"ATINGIDO","NÃO ATINGIDO")</f>
        <v>NÃO ATINGIDO</v>
      </c>
      <c r="H242" s="32">
        <f>GETPIVOTDATA("MEDIA SKU POR PEDIDO",$E$240,"COLABORADOR","IGOR")/G235</f>
        <v>0.93441408284996585</v>
      </c>
    </row>
    <row r="243" spans="1:8" x14ac:dyDescent="0.25">
      <c r="A243" s="13"/>
      <c r="E243" s="83" t="s">
        <v>208</v>
      </c>
      <c r="F243" s="84">
        <v>6.2642847108211308</v>
      </c>
      <c r="G243" s="32" t="str">
        <f>IF(GETPIVOTDATA("MEDIA SKU POR PEDIDO",$E$240,"COLABORADOR","JAILSON")&gt;=G235,"ATINGIDO","NÃO ATINGIDO")</f>
        <v>ATINGIDO</v>
      </c>
      <c r="H243" s="32">
        <f>GETPIVOTDATA("MEDIA SKU POR PEDIDO",$E$240,"COLABORADOR","JAILSON")/G235</f>
        <v>1.0892077498665311</v>
      </c>
    </row>
    <row r="244" spans="1:8" x14ac:dyDescent="0.25">
      <c r="A244" s="13"/>
      <c r="E244" s="83" t="s">
        <v>209</v>
      </c>
      <c r="F244" s="84">
        <v>5.9220389805097451</v>
      </c>
      <c r="G244" s="12" t="str">
        <f>IF(GETPIVOTDATA("MEDIA SKU POR PEDIDO",$E$240,"COLABORADOR","FERNANDO BORGES")&gt;=G235,"ATINGIDO","NÃO ATINGIDO")</f>
        <v>ATINGIDO</v>
      </c>
      <c r="H244" s="32">
        <f>GETPIVOTDATA("MEDIA SKU POR PEDIDO",$E$240,"COLABORADOR","FERNANDO BORGES")/G235</f>
        <v>1.0514403682606714</v>
      </c>
    </row>
    <row r="245" spans="1:8" x14ac:dyDescent="0.25">
      <c r="A245" s="13"/>
      <c r="E245" s="83" t="s">
        <v>210</v>
      </c>
      <c r="F245" s="84">
        <v>5.8280556921204587</v>
      </c>
      <c r="G245" s="12" t="str">
        <f>IF(GETPIVOTDATA("MEDIA SKU POR PEDIDO",$E$240,"COLABORADOR","MARILEUZA")&gt;=G235,"ATINGIDO","NÃO ATINGIDO")</f>
        <v>ATINGIDO</v>
      </c>
      <c r="H245" s="32">
        <f>GETPIVOTDATA("MEDIA SKU POR PEDIDO",$E$240,"COLABORADOR","MARILEUZA")/G235</f>
        <v>1.0942494055689274</v>
      </c>
    </row>
    <row r="246" spans="1:8" x14ac:dyDescent="0.25">
      <c r="A246" s="13"/>
      <c r="E246" s="83" t="s">
        <v>211</v>
      </c>
      <c r="F246" s="84">
        <v>5.8012034497847322</v>
      </c>
      <c r="G246" s="12" t="str">
        <f>IF(GETPIVOTDATA("MEDIA SKU POR PEDIDO",$E$240,"COLABORADOR","WARLEY GABRIEL")&gt;=G235,"ATINGIDO","NÃO ATINGIDO")</f>
        <v>NÃO ATINGIDO</v>
      </c>
      <c r="H246" s="32">
        <f>GETPIVOTDATA("MEDIA SKU POR PEDIDO",$E$240,"COLABORADOR","WARLEY GABRIEL")/G235</f>
        <v>0.96807673642744574</v>
      </c>
    </row>
    <row r="247" spans="1:8" x14ac:dyDescent="0.25">
      <c r="A247" s="13"/>
      <c r="E247" s="83" t="s">
        <v>212</v>
      </c>
      <c r="F247" s="84">
        <v>5.6000514982969669</v>
      </c>
      <c r="G247" s="12" t="str">
        <f>IF(GETPIVOTDATA("MEDIA SKU POR PEDIDO",$E$240,"COLABORADOR","RONALDO JOSE")&gt;=G235,"ATINGIDO","NÃO ATINGIDO")</f>
        <v>ATINGIDO</v>
      </c>
      <c r="H247" s="32">
        <f>GETPIVOTDATA("MEDIA SKU POR PEDIDO",$E$240,"COLABORADOR","RONALDO JOSE")/G235</f>
        <v>1.1761537952353638</v>
      </c>
    </row>
    <row r="248" spans="1:8" x14ac:dyDescent="0.25">
      <c r="A248" s="13"/>
      <c r="E248" s="83" t="s">
        <v>213</v>
      </c>
      <c r="F248" s="84">
        <v>5.1560504446533866</v>
      </c>
      <c r="G248" s="85" t="str">
        <f>IF(GETPIVOTDATA("MEDIA SKU POR PEDIDO",$E$240,"COLABORADOR","ARMANDO SANTOS")&gt;=G235,"ATINGIDO","NÃO ATINGIDO")</f>
        <v>NÃO ATINGIDO</v>
      </c>
      <c r="H248" s="32">
        <f>GETPIVOTDATA("MEDIA SKU POR PEDIDO",$E$240,"COLABORADOR","ARMANDO SANTOS")/G235</f>
        <v>0.7226452362910103</v>
      </c>
    </row>
    <row r="249" spans="1:8" x14ac:dyDescent="0.25">
      <c r="A249" s="13"/>
      <c r="E249" s="83" t="s">
        <v>214</v>
      </c>
      <c r="F249" s="84">
        <v>4.9767605873359795</v>
      </c>
      <c r="G249" s="85" t="str">
        <f>IF(GETPIVOTDATA("MEDIA SKU POR PEDIDO",$E$240,"COLABORADOR","WILSON JUNIOR")&gt;=G235,"ATINGIDO","NÃO ATINGIDO")</f>
        <v>NÃO ATINGIDO</v>
      </c>
      <c r="H249" s="32">
        <f>GETPIVOTDATA("MEDIA SKU POR PEDIDO",$E$240,"COLABORADOR","WILSON JUNIOR")/G235</f>
        <v>0.77693523489127314</v>
      </c>
    </row>
    <row r="250" spans="1:8" x14ac:dyDescent="0.25">
      <c r="A250" s="13"/>
      <c r="E250" s="83" t="s">
        <v>215</v>
      </c>
      <c r="F250" s="23">
        <v>4.1380162466369352</v>
      </c>
    </row>
    <row r="251" spans="1:8" ht="14.95" thickBot="1" x14ac:dyDescent="0.3">
      <c r="A251" s="13"/>
      <c r="E251" s="86" t="s">
        <v>216</v>
      </c>
      <c r="F251" s="84">
        <v>3.8488635783720921</v>
      </c>
    </row>
    <row r="252" spans="1:8" ht="14.95" thickBot="1" x14ac:dyDescent="0.3">
      <c r="A252" s="13"/>
      <c r="E252" s="86" t="s">
        <v>160</v>
      </c>
      <c r="F252" s="23">
        <v>5.3260761783007853</v>
      </c>
    </row>
    <row r="253" spans="1:8" x14ac:dyDescent="0.25">
      <c r="A253" s="13"/>
    </row>
    <row r="254" spans="1:8" x14ac:dyDescent="0.25">
      <c r="A254" s="13"/>
    </row>
    <row r="255" spans="1:8" x14ac:dyDescent="0.25">
      <c r="A255" s="13"/>
      <c r="H255" s="87"/>
    </row>
    <row r="256" spans="1:8" x14ac:dyDescent="0.25">
      <c r="A256" s="13"/>
      <c r="H256" s="88"/>
    </row>
    <row r="257" spans="1:12" x14ac:dyDescent="0.25">
      <c r="A257" s="13"/>
      <c r="G257" s="36"/>
      <c r="H257" s="36"/>
      <c r="I257" s="36"/>
      <c r="J257" s="36"/>
      <c r="K257" s="36"/>
      <c r="L257" s="36"/>
    </row>
    <row r="258" spans="1:12" ht="14.95" thickBot="1" x14ac:dyDescent="0.3">
      <c r="A258" s="13"/>
      <c r="G258" s="89"/>
      <c r="H258" s="90" t="s">
        <v>243</v>
      </c>
      <c r="I258" s="91" t="s">
        <v>244</v>
      </c>
      <c r="J258" s="92" t="s">
        <v>245</v>
      </c>
      <c r="K258" s="93" t="s">
        <v>246</v>
      </c>
      <c r="L258" s="94" t="s">
        <v>247</v>
      </c>
    </row>
    <row r="259" spans="1:12" ht="14.95" thickBot="1" x14ac:dyDescent="0.3">
      <c r="A259" s="13"/>
      <c r="G259" s="95"/>
      <c r="H259" s="96" t="str">
        <f>IF(J259&gt;=I259,"ATINGIDO","NÃO ATINGIDO")</f>
        <v>ATINGIDO</v>
      </c>
      <c r="I259" s="97">
        <v>0.98</v>
      </c>
      <c r="J259" s="98">
        <f>F163</f>
        <v>0.99888888888888894</v>
      </c>
      <c r="K259" s="99">
        <f>J259-I259</f>
        <v>1.8888888888888955E-2</v>
      </c>
      <c r="L259" s="100">
        <f>AVERAGE(J259:J262)</f>
        <v>0.57291835563690507</v>
      </c>
    </row>
    <row r="260" spans="1:12" ht="14.95" thickBot="1" x14ac:dyDescent="0.3">
      <c r="A260" s="13"/>
      <c r="E260" s="101" t="s">
        <v>210</v>
      </c>
      <c r="F260" s="102" t="s">
        <v>248</v>
      </c>
      <c r="G260" s="103"/>
      <c r="H260" s="96" t="str">
        <f>IF(J260&gt;=I260,"ATINGIDO","NÃO ATINGIDO")</f>
        <v>NÃO ATINGIDO</v>
      </c>
      <c r="I260" s="98">
        <v>0.1429</v>
      </c>
      <c r="J260" s="98">
        <f>G195</f>
        <v>9.5908165154601002E-2</v>
      </c>
      <c r="K260" s="99">
        <f t="shared" ref="K260:K294" si="0">J260-I260</f>
        <v>-4.6991834845398997E-2</v>
      </c>
      <c r="L260" s="104"/>
    </row>
    <row r="261" spans="1:12" ht="14.95" thickBot="1" x14ac:dyDescent="0.3">
      <c r="A261" s="13"/>
      <c r="E261" s="101" t="s">
        <v>210</v>
      </c>
      <c r="F261" s="102" t="s">
        <v>249</v>
      </c>
      <c r="G261" s="103"/>
      <c r="H261" s="96" t="str">
        <f t="shared" ref="H261:H294" si="1">IF(J261&gt;=I261,"ATINGIDO","NÃO ATINGIDO")</f>
        <v>NÃO ATINGIDO</v>
      </c>
      <c r="I261" s="98">
        <v>0.1429</v>
      </c>
      <c r="J261" s="98">
        <f>G215</f>
        <v>0.10262696293520297</v>
      </c>
      <c r="K261" s="99">
        <f t="shared" si="0"/>
        <v>-4.0273037064797026E-2</v>
      </c>
      <c r="L261" s="104"/>
    </row>
    <row r="262" spans="1:12" ht="14.95" thickBot="1" x14ac:dyDescent="0.3">
      <c r="A262" s="13"/>
      <c r="E262" s="101" t="s">
        <v>210</v>
      </c>
      <c r="F262" s="105" t="s">
        <v>250</v>
      </c>
      <c r="G262" s="106"/>
      <c r="H262" s="107" t="str">
        <f t="shared" si="1"/>
        <v>ATINGIDO</v>
      </c>
      <c r="I262" s="108">
        <v>1</v>
      </c>
      <c r="J262" s="108">
        <f>H245</f>
        <v>1.0942494055689274</v>
      </c>
      <c r="K262" s="109">
        <f t="shared" si="0"/>
        <v>9.4249405568927358E-2</v>
      </c>
      <c r="L262" s="110"/>
    </row>
    <row r="263" spans="1:12" ht="14.95" thickBot="1" x14ac:dyDescent="0.3">
      <c r="A263" s="13"/>
      <c r="E263" s="111" t="s">
        <v>213</v>
      </c>
      <c r="F263" s="112" t="s">
        <v>251</v>
      </c>
      <c r="G263" s="113"/>
      <c r="H263" s="96" t="str">
        <f t="shared" si="1"/>
        <v>ATINGIDO</v>
      </c>
      <c r="I263" s="114">
        <v>0.98</v>
      </c>
      <c r="J263" s="115">
        <f>GETPIVOTDATA("DESEMPENHO  %",$E$160,"COLABORADOR","WARLEY GABRIEL")</f>
        <v>1</v>
      </c>
      <c r="K263" s="116">
        <f t="shared" si="0"/>
        <v>2.0000000000000018E-2</v>
      </c>
      <c r="L263" s="117">
        <f>AVERAGE(J263:J266)</f>
        <v>0.51816456350527718</v>
      </c>
    </row>
    <row r="264" spans="1:12" ht="14.95" thickBot="1" x14ac:dyDescent="0.3">
      <c r="A264" s="13"/>
      <c r="E264" s="111" t="s">
        <v>213</v>
      </c>
      <c r="F264" s="118" t="s">
        <v>248</v>
      </c>
      <c r="G264" s="119"/>
      <c r="H264" s="96" t="str">
        <f t="shared" si="1"/>
        <v>NÃO ATINGIDO</v>
      </c>
      <c r="I264" s="120">
        <f>14.29%/2</f>
        <v>7.145E-2</v>
      </c>
      <c r="J264" s="120">
        <f>G190</f>
        <v>5.0361044251064621E-2</v>
      </c>
      <c r="K264" s="121">
        <f t="shared" si="0"/>
        <v>-2.1088955748935378E-2</v>
      </c>
      <c r="L264" s="122"/>
    </row>
    <row r="265" spans="1:12" ht="14.95" thickBot="1" x14ac:dyDescent="0.3">
      <c r="A265" s="13"/>
      <c r="E265" s="111" t="s">
        <v>213</v>
      </c>
      <c r="F265" s="118" t="s">
        <v>249</v>
      </c>
      <c r="G265" s="119"/>
      <c r="H265" s="96" t="str">
        <f t="shared" si="1"/>
        <v>NÃO ATINGIDO</v>
      </c>
      <c r="I265" s="120">
        <f>14.29%/2</f>
        <v>7.145E-2</v>
      </c>
      <c r="J265" s="120">
        <f>G219</f>
        <v>5.4220473342598233E-2</v>
      </c>
      <c r="K265" s="121">
        <f t="shared" si="0"/>
        <v>-1.7229526657401767E-2</v>
      </c>
      <c r="L265" s="122"/>
    </row>
    <row r="266" spans="1:12" ht="14.95" thickBot="1" x14ac:dyDescent="0.3">
      <c r="A266" s="13"/>
      <c r="E266" s="111" t="s">
        <v>213</v>
      </c>
      <c r="F266" s="123" t="s">
        <v>250</v>
      </c>
      <c r="G266" s="124"/>
      <c r="H266" s="107" t="str">
        <f t="shared" si="1"/>
        <v>NÃO ATINGIDO</v>
      </c>
      <c r="I266" s="125">
        <v>1</v>
      </c>
      <c r="J266" s="126">
        <f>H246</f>
        <v>0.96807673642744574</v>
      </c>
      <c r="K266" s="121">
        <f t="shared" si="0"/>
        <v>-3.1923263572554261E-2</v>
      </c>
      <c r="L266" s="127"/>
    </row>
    <row r="267" spans="1:12" ht="14.95" thickBot="1" x14ac:dyDescent="0.3">
      <c r="A267" s="13"/>
      <c r="E267" s="128" t="s">
        <v>211</v>
      </c>
      <c r="F267" s="129" t="s">
        <v>251</v>
      </c>
      <c r="G267" s="130"/>
      <c r="H267" s="96" t="str">
        <f t="shared" si="1"/>
        <v>ATINGIDO</v>
      </c>
      <c r="I267" s="131">
        <v>0.98</v>
      </c>
      <c r="J267" s="132">
        <f>GETPIVOTDATA("DESEMPENHO  %",$E$160,"COLABORADOR","JAILSON")</f>
        <v>0.99916387959866226</v>
      </c>
      <c r="K267" s="133">
        <f t="shared" si="0"/>
        <v>1.9163879598662281E-2</v>
      </c>
      <c r="L267" s="134">
        <f>AVERAGE(J267:J270)</f>
        <v>0.59095143081597423</v>
      </c>
    </row>
    <row r="268" spans="1:12" ht="14.95" thickBot="1" x14ac:dyDescent="0.3">
      <c r="A268" s="13"/>
      <c r="E268" s="135" t="s">
        <v>211</v>
      </c>
      <c r="F268" s="136" t="s">
        <v>248</v>
      </c>
      <c r="G268" s="137"/>
      <c r="H268" s="96" t="str">
        <f t="shared" si="1"/>
        <v>NÃO ATINGIDO</v>
      </c>
      <c r="I268" s="138">
        <v>0.1429</v>
      </c>
      <c r="J268" s="138">
        <f>G196</f>
        <v>0.13090168487317164</v>
      </c>
      <c r="K268" s="133">
        <f t="shared" si="0"/>
        <v>-1.1998315126828363E-2</v>
      </c>
      <c r="L268" s="139"/>
    </row>
    <row r="269" spans="1:12" ht="14.95" thickBot="1" x14ac:dyDescent="0.3">
      <c r="A269" s="13"/>
      <c r="E269" s="135" t="s">
        <v>211</v>
      </c>
      <c r="F269" s="136" t="s">
        <v>249</v>
      </c>
      <c r="G269" s="137"/>
      <c r="H269" s="96" t="str">
        <f t="shared" si="1"/>
        <v>ATINGIDO</v>
      </c>
      <c r="I269" s="138">
        <v>0.1429</v>
      </c>
      <c r="J269" s="138">
        <f>G213</f>
        <v>0.14453240892553207</v>
      </c>
      <c r="K269" s="133">
        <f t="shared" si="0"/>
        <v>1.6324089255320695E-3</v>
      </c>
      <c r="L269" s="139"/>
    </row>
    <row r="270" spans="1:12" ht="14.95" thickBot="1" x14ac:dyDescent="0.3">
      <c r="A270" s="13"/>
      <c r="E270" s="140" t="s">
        <v>211</v>
      </c>
      <c r="F270" s="141" t="s">
        <v>250</v>
      </c>
      <c r="G270" s="142"/>
      <c r="H270" s="107" t="str">
        <f t="shared" si="1"/>
        <v>ATINGIDO</v>
      </c>
      <c r="I270" s="143">
        <v>1</v>
      </c>
      <c r="J270" s="143">
        <f>H243</f>
        <v>1.0892077498665311</v>
      </c>
      <c r="K270" s="133">
        <f t="shared" si="0"/>
        <v>8.9207749866531127E-2</v>
      </c>
      <c r="L270" s="144"/>
    </row>
    <row r="271" spans="1:12" ht="14.95" thickBot="1" x14ac:dyDescent="0.3">
      <c r="A271" s="13"/>
      <c r="E271" s="145" t="s">
        <v>252</v>
      </c>
      <c r="F271" s="146" t="s">
        <v>251</v>
      </c>
      <c r="G271" s="147"/>
      <c r="H271" s="148" t="str">
        <f t="shared" si="1"/>
        <v>ATINGIDO</v>
      </c>
      <c r="I271" s="149">
        <v>0.98</v>
      </c>
      <c r="J271" s="150">
        <f>GETPIVOTDATA("DESEMPENHO  %",$E$160,"COLABORADOR","PABLYNE SANTANA")</f>
        <v>1</v>
      </c>
      <c r="K271" s="151">
        <f t="shared" si="0"/>
        <v>2.0000000000000018E-2</v>
      </c>
      <c r="L271" s="152">
        <f>AVERAGE(J271:J274)</f>
        <v>0.58037359722324433</v>
      </c>
    </row>
    <row r="272" spans="1:12" ht="14.95" thickBot="1" x14ac:dyDescent="0.3">
      <c r="A272" s="13"/>
      <c r="E272" s="145" t="s">
        <v>252</v>
      </c>
      <c r="F272" s="153" t="s">
        <v>248</v>
      </c>
      <c r="G272" s="154"/>
      <c r="H272" s="148" t="str">
        <f t="shared" si="1"/>
        <v>NÃO ATINGIDO</v>
      </c>
      <c r="I272" s="155">
        <v>0.1429</v>
      </c>
      <c r="J272" s="155">
        <f>G188</f>
        <v>2.1107202369931494E-2</v>
      </c>
      <c r="K272" s="151">
        <f t="shared" si="0"/>
        <v>-0.12179279763006851</v>
      </c>
      <c r="L272" s="156"/>
    </row>
    <row r="273" spans="1:12" ht="14.95" thickBot="1" x14ac:dyDescent="0.3">
      <c r="A273" s="13"/>
      <c r="E273" s="145" t="s">
        <v>252</v>
      </c>
      <c r="F273" s="153" t="s">
        <v>249</v>
      </c>
      <c r="G273" s="154"/>
      <c r="H273" s="148" t="str">
        <f t="shared" si="1"/>
        <v>NÃO ATINGIDO</v>
      </c>
      <c r="I273" s="155">
        <v>0.1429</v>
      </c>
      <c r="J273" s="155">
        <f>G221</f>
        <v>2.7607314064427475E-2</v>
      </c>
      <c r="K273" s="151">
        <f t="shared" si="0"/>
        <v>-0.11529268593557253</v>
      </c>
      <c r="L273" s="156"/>
    </row>
    <row r="274" spans="1:12" ht="14.95" thickBot="1" x14ac:dyDescent="0.3">
      <c r="A274" s="13"/>
      <c r="E274" s="157" t="s">
        <v>252</v>
      </c>
      <c r="F274" s="158" t="s">
        <v>250</v>
      </c>
      <c r="G274" s="159"/>
      <c r="H274" s="160" t="str">
        <f t="shared" si="1"/>
        <v>ATINGIDO</v>
      </c>
      <c r="I274" s="161">
        <v>1</v>
      </c>
      <c r="J274" s="161">
        <f>H241</f>
        <v>1.2727798724586183</v>
      </c>
      <c r="K274" s="151">
        <f t="shared" si="0"/>
        <v>0.27277987245861834</v>
      </c>
      <c r="L274" s="162"/>
    </row>
    <row r="275" spans="1:12" ht="14.95" thickBot="1" x14ac:dyDescent="0.3">
      <c r="A275" s="13"/>
      <c r="E275" s="163" t="s">
        <v>214</v>
      </c>
      <c r="F275" s="164" t="s">
        <v>251</v>
      </c>
      <c r="G275" s="165"/>
      <c r="H275" s="96" t="str">
        <f t="shared" si="1"/>
        <v>ATINGIDO</v>
      </c>
      <c r="I275" s="166">
        <v>0.98</v>
      </c>
      <c r="J275" s="167">
        <f>GETPIVOTDATA("DESEMPENHO  %",$E$160,"COLABORADOR","IGOR")</f>
        <v>1</v>
      </c>
      <c r="K275" s="168">
        <f t="shared" si="0"/>
        <v>2.0000000000000018E-2</v>
      </c>
      <c r="L275" s="169">
        <f>AVERAGE(J275:J278)</f>
        <v>0.56009042730266123</v>
      </c>
    </row>
    <row r="276" spans="1:12" ht="14.95" thickBot="1" x14ac:dyDescent="0.3">
      <c r="A276" s="13"/>
      <c r="E276" s="163" t="s">
        <v>214</v>
      </c>
      <c r="F276" s="170" t="s">
        <v>248</v>
      </c>
      <c r="G276" s="171"/>
      <c r="H276" s="96" t="str">
        <f t="shared" si="1"/>
        <v>ATINGIDO</v>
      </c>
      <c r="I276" s="172">
        <v>0.1429</v>
      </c>
      <c r="J276" s="172">
        <f>G194</f>
        <v>0.16922792075541565</v>
      </c>
      <c r="K276" s="168">
        <f t="shared" si="0"/>
        <v>2.6327920755415651E-2</v>
      </c>
      <c r="L276" s="173"/>
    </row>
    <row r="277" spans="1:12" ht="14.95" thickBot="1" x14ac:dyDescent="0.3">
      <c r="A277" s="13"/>
      <c r="E277" s="163" t="s">
        <v>214</v>
      </c>
      <c r="F277" s="170" t="s">
        <v>249</v>
      </c>
      <c r="G277" s="171"/>
      <c r="H277" s="96" t="str">
        <f t="shared" si="1"/>
        <v>NÃO ATINGIDO</v>
      </c>
      <c r="I277" s="172">
        <v>0.1429</v>
      </c>
      <c r="J277" s="172">
        <f>G214</f>
        <v>0.13671970560526331</v>
      </c>
      <c r="K277" s="168">
        <f t="shared" si="0"/>
        <v>-6.1802943947366906E-3</v>
      </c>
      <c r="L277" s="173"/>
    </row>
    <row r="278" spans="1:12" ht="14.95" thickBot="1" x14ac:dyDescent="0.3">
      <c r="A278" s="13"/>
      <c r="E278" s="174" t="s">
        <v>214</v>
      </c>
      <c r="F278" s="175" t="s">
        <v>250</v>
      </c>
      <c r="G278" s="176"/>
      <c r="H278" s="107" t="str">
        <f t="shared" si="1"/>
        <v>NÃO ATINGIDO</v>
      </c>
      <c r="I278" s="177">
        <v>1</v>
      </c>
      <c r="J278" s="177">
        <f>H242</f>
        <v>0.93441408284996585</v>
      </c>
      <c r="K278" s="168">
        <f t="shared" si="0"/>
        <v>-6.5585917150034145E-2</v>
      </c>
      <c r="L278" s="178"/>
    </row>
    <row r="279" spans="1:12" ht="14.95" thickBot="1" x14ac:dyDescent="0.3">
      <c r="A279" s="13"/>
      <c r="E279" s="179" t="s">
        <v>212</v>
      </c>
      <c r="F279" s="180" t="s">
        <v>251</v>
      </c>
      <c r="G279" s="181"/>
      <c r="H279" s="96" t="str">
        <f t="shared" si="1"/>
        <v>ATINGIDO</v>
      </c>
      <c r="I279" s="182">
        <v>0.98</v>
      </c>
      <c r="J279" s="183">
        <f>GETPIVOTDATA("DESEMPENHO  %",$E$160,"COLABORADOR","FERNANDO BORGES")</f>
        <v>0.99844696969696978</v>
      </c>
      <c r="K279" s="184">
        <f t="shared" si="0"/>
        <v>1.8446969696969795E-2</v>
      </c>
      <c r="L279" s="185">
        <f>AVERAGE(J279:J282)</f>
        <v>0.58927565405231586</v>
      </c>
    </row>
    <row r="280" spans="1:12" ht="14.95" thickBot="1" x14ac:dyDescent="0.3">
      <c r="A280" s="13"/>
      <c r="E280" s="179" t="s">
        <v>212</v>
      </c>
      <c r="F280" s="186" t="s">
        <v>248</v>
      </c>
      <c r="G280" s="187"/>
      <c r="H280" s="96" t="str">
        <f t="shared" si="1"/>
        <v>ATINGIDO</v>
      </c>
      <c r="I280" s="188">
        <v>0.1429</v>
      </c>
      <c r="J280" s="188">
        <f>G192</f>
        <v>0.15386039622292169</v>
      </c>
      <c r="K280" s="184">
        <f t="shared" si="0"/>
        <v>1.0960396222921692E-2</v>
      </c>
      <c r="L280" s="189"/>
    </row>
    <row r="281" spans="1:12" ht="14.95" thickBot="1" x14ac:dyDescent="0.3">
      <c r="A281" s="13"/>
      <c r="E281" s="179" t="s">
        <v>212</v>
      </c>
      <c r="F281" s="186" t="s">
        <v>249</v>
      </c>
      <c r="G281" s="187"/>
      <c r="H281" s="96" t="str">
        <f t="shared" si="1"/>
        <v>ATINGIDO</v>
      </c>
      <c r="I281" s="188">
        <v>0.1429</v>
      </c>
      <c r="J281" s="188">
        <f>G216</f>
        <v>0.15335488202870037</v>
      </c>
      <c r="K281" s="184">
        <f t="shared" si="0"/>
        <v>1.0454882028700374E-2</v>
      </c>
      <c r="L281" s="189"/>
    </row>
    <row r="282" spans="1:12" ht="14.95" thickBot="1" x14ac:dyDescent="0.3">
      <c r="A282" s="13"/>
      <c r="E282" s="190" t="s">
        <v>212</v>
      </c>
      <c r="F282" s="191" t="s">
        <v>250</v>
      </c>
      <c r="G282" s="192"/>
      <c r="H282" s="107" t="str">
        <f t="shared" si="1"/>
        <v>ATINGIDO</v>
      </c>
      <c r="I282" s="193">
        <v>1</v>
      </c>
      <c r="J282" s="193">
        <f>H244</f>
        <v>1.0514403682606714</v>
      </c>
      <c r="K282" s="184">
        <f t="shared" si="0"/>
        <v>5.1440368260671443E-2</v>
      </c>
      <c r="L282" s="194"/>
    </row>
    <row r="283" spans="1:12" ht="14.95" thickBot="1" x14ac:dyDescent="0.3">
      <c r="A283" s="13"/>
      <c r="E283" s="195" t="s">
        <v>253</v>
      </c>
      <c r="F283" s="196" t="s">
        <v>251</v>
      </c>
      <c r="G283" s="197"/>
      <c r="H283" s="96" t="str">
        <f>IF(J283&gt;=I283,"ATINGIDO","NÃO ATINGIDO")</f>
        <v>ATINGIDO</v>
      </c>
      <c r="I283" s="198">
        <v>0.98</v>
      </c>
      <c r="J283" s="199">
        <f>GETPIVOTDATA("DESEMPENHO  %",$E$160,"COLABORADOR","ARMANDO SANTOS")</f>
        <v>1</v>
      </c>
      <c r="K283" s="200">
        <f t="shared" si="0"/>
        <v>2.0000000000000018E-2</v>
      </c>
      <c r="L283" s="201">
        <f>AVERAGE(J283:J286)</f>
        <v>0.45683087807946499</v>
      </c>
    </row>
    <row r="284" spans="1:12" ht="14.95" thickBot="1" x14ac:dyDescent="0.3">
      <c r="A284" s="13"/>
      <c r="E284" s="195" t="s">
        <v>253</v>
      </c>
      <c r="F284" s="202" t="s">
        <v>248</v>
      </c>
      <c r="G284" s="203"/>
      <c r="H284" s="96" t="str">
        <f t="shared" si="1"/>
        <v>NÃO ATINGIDO</v>
      </c>
      <c r="I284" s="204">
        <v>0.1429</v>
      </c>
      <c r="J284" s="204">
        <f>G191</f>
        <v>6.0914645436030368E-2</v>
      </c>
      <c r="K284" s="200">
        <f t="shared" si="0"/>
        <v>-8.1985354563969631E-2</v>
      </c>
      <c r="L284" s="205"/>
    </row>
    <row r="285" spans="1:12" ht="14.95" thickBot="1" x14ac:dyDescent="0.3">
      <c r="A285" s="13"/>
      <c r="E285" s="195" t="s">
        <v>253</v>
      </c>
      <c r="F285" s="202" t="s">
        <v>249</v>
      </c>
      <c r="G285" s="203"/>
      <c r="H285" s="96" t="str">
        <f t="shared" si="1"/>
        <v>NÃO ATINGIDO</v>
      </c>
      <c r="I285" s="204">
        <v>0.1429</v>
      </c>
      <c r="J285" s="204">
        <f>G218</f>
        <v>4.3763630590819426E-2</v>
      </c>
      <c r="K285" s="200">
        <f t="shared" si="0"/>
        <v>-9.913636940918058E-2</v>
      </c>
      <c r="L285" s="205"/>
    </row>
    <row r="286" spans="1:12" ht="14.95" thickBot="1" x14ac:dyDescent="0.3">
      <c r="A286" s="13"/>
      <c r="E286" s="206" t="s">
        <v>253</v>
      </c>
      <c r="F286" s="207" t="s">
        <v>250</v>
      </c>
      <c r="G286" s="208"/>
      <c r="H286" s="107" t="str">
        <f t="shared" si="1"/>
        <v>NÃO ATINGIDO</v>
      </c>
      <c r="I286" s="209">
        <v>1</v>
      </c>
      <c r="J286" s="210">
        <f>H248</f>
        <v>0.7226452362910103</v>
      </c>
      <c r="K286" s="200">
        <f t="shared" si="0"/>
        <v>-0.2773547637089897</v>
      </c>
      <c r="L286" s="211"/>
    </row>
    <row r="287" spans="1:12" ht="14.95" thickBot="1" x14ac:dyDescent="0.3">
      <c r="A287" s="13"/>
      <c r="E287" s="212" t="s">
        <v>215</v>
      </c>
      <c r="F287" s="213" t="s">
        <v>251</v>
      </c>
      <c r="G287" s="214"/>
      <c r="H287" s="96" t="str">
        <f t="shared" si="1"/>
        <v>ATINGIDO</v>
      </c>
      <c r="I287" s="215">
        <v>0.98</v>
      </c>
      <c r="J287" s="216">
        <f>GETPIVOTDATA("DESEMPENHO  %",$E$160,"COLABORADOR","WILSON JUNIOR")</f>
        <v>1</v>
      </c>
      <c r="K287" s="217">
        <f t="shared" si="0"/>
        <v>2.0000000000000018E-2</v>
      </c>
      <c r="L287" s="218">
        <f>AVERAGE(J287:J290)</f>
        <v>0.46178181387288186</v>
      </c>
    </row>
    <row r="288" spans="1:12" ht="14.95" thickBot="1" x14ac:dyDescent="0.3">
      <c r="A288" s="13"/>
      <c r="E288" s="212" t="s">
        <v>215</v>
      </c>
      <c r="F288" s="219" t="s">
        <v>248</v>
      </c>
      <c r="G288" s="220"/>
      <c r="H288" s="96" t="str">
        <f t="shared" si="1"/>
        <v>NÃO ATINGIDO</v>
      </c>
      <c r="I288" s="221">
        <v>0.1429</v>
      </c>
      <c r="J288" s="221">
        <f>G189</f>
        <v>4.2584706535826695E-2</v>
      </c>
      <c r="K288" s="217">
        <f t="shared" si="0"/>
        <v>-0.10031529346417331</v>
      </c>
      <c r="L288" s="222"/>
    </row>
    <row r="289" spans="1:12" ht="14.95" thickBot="1" x14ac:dyDescent="0.3">
      <c r="A289" s="13"/>
      <c r="E289" s="212" t="s">
        <v>215</v>
      </c>
      <c r="F289" s="219" t="s">
        <v>249</v>
      </c>
      <c r="G289" s="220"/>
      <c r="H289" s="96" t="str">
        <f t="shared" si="1"/>
        <v>NÃO ATINGIDO</v>
      </c>
      <c r="I289" s="221">
        <v>0.1429</v>
      </c>
      <c r="J289" s="221">
        <f>G221</f>
        <v>2.7607314064427475E-2</v>
      </c>
      <c r="K289" s="217">
        <f t="shared" si="0"/>
        <v>-0.11529268593557253</v>
      </c>
      <c r="L289" s="222"/>
    </row>
    <row r="290" spans="1:12" ht="14.95" thickBot="1" x14ac:dyDescent="0.3">
      <c r="A290" s="13"/>
      <c r="E290" s="223" t="s">
        <v>215</v>
      </c>
      <c r="F290" s="224" t="s">
        <v>250</v>
      </c>
      <c r="G290" s="225"/>
      <c r="H290" s="107" t="str">
        <f t="shared" si="1"/>
        <v>NÃO ATINGIDO</v>
      </c>
      <c r="I290" s="226">
        <v>1</v>
      </c>
      <c r="J290" s="227">
        <f>H249</f>
        <v>0.77693523489127314</v>
      </c>
      <c r="K290" s="217">
        <f t="shared" si="0"/>
        <v>-0.22306476510872686</v>
      </c>
      <c r="L290" s="228"/>
    </row>
    <row r="291" spans="1:12" ht="14.95" thickBot="1" x14ac:dyDescent="0.3">
      <c r="A291" s="13"/>
      <c r="E291" s="229" t="s">
        <v>254</v>
      </c>
      <c r="F291" s="230" t="s">
        <v>251</v>
      </c>
      <c r="G291" s="231"/>
      <c r="H291" s="96" t="str">
        <f t="shared" si="1"/>
        <v>ATINGIDO</v>
      </c>
      <c r="I291" s="232">
        <v>0.98</v>
      </c>
      <c r="J291" s="233">
        <f>GETPIVOTDATA("DESEMPENHO  %",$E$160,"COLABORADOR","RONALDO JOSE")</f>
        <v>1</v>
      </c>
      <c r="K291" s="234">
        <f t="shared" si="0"/>
        <v>2.0000000000000018E-2</v>
      </c>
      <c r="L291" s="235">
        <f>AVERAGE(J291:J294)</f>
        <v>0.67257959368846398</v>
      </c>
    </row>
    <row r="292" spans="1:12" ht="14.95" thickBot="1" x14ac:dyDescent="0.3">
      <c r="A292" s="13"/>
      <c r="E292" s="229" t="s">
        <v>254</v>
      </c>
      <c r="F292" s="236" t="s">
        <v>248</v>
      </c>
      <c r="G292" s="237"/>
      <c r="H292" s="96" t="str">
        <f t="shared" si="1"/>
        <v>ATINGIDO</v>
      </c>
      <c r="I292" s="238">
        <v>0.1429</v>
      </c>
      <c r="J292" s="238">
        <f>G193</f>
        <v>0.24088131827439363</v>
      </c>
      <c r="K292" s="234">
        <f t="shared" si="0"/>
        <v>9.7981318274393631E-2</v>
      </c>
      <c r="L292" s="239"/>
    </row>
    <row r="293" spans="1:12" ht="14.95" thickBot="1" x14ac:dyDescent="0.3">
      <c r="A293" s="13"/>
      <c r="E293" s="229" t="s">
        <v>254</v>
      </c>
      <c r="F293" s="236" t="s">
        <v>249</v>
      </c>
      <c r="G293" s="237"/>
      <c r="H293" s="96" t="str">
        <f t="shared" si="1"/>
        <v>ATINGIDO</v>
      </c>
      <c r="I293" s="238">
        <v>0.1429</v>
      </c>
      <c r="J293" s="238">
        <f>G217</f>
        <v>0.27328326124409885</v>
      </c>
      <c r="K293" s="234">
        <f t="shared" si="0"/>
        <v>0.13038326124409885</v>
      </c>
      <c r="L293" s="239"/>
    </row>
    <row r="294" spans="1:12" ht="14.95" thickBot="1" x14ac:dyDescent="0.3">
      <c r="A294" s="13"/>
      <c r="E294" s="240" t="s">
        <v>254</v>
      </c>
      <c r="F294" s="241" t="s">
        <v>250</v>
      </c>
      <c r="G294" s="242"/>
      <c r="H294" s="107" t="str">
        <f t="shared" si="1"/>
        <v>ATINGIDO</v>
      </c>
      <c r="I294" s="243">
        <v>1</v>
      </c>
      <c r="J294" s="243">
        <f>H247</f>
        <v>1.1761537952353638</v>
      </c>
      <c r="K294" s="234">
        <f t="shared" si="0"/>
        <v>0.17615379523536379</v>
      </c>
      <c r="L294" s="244"/>
    </row>
    <row r="295" spans="1:12" x14ac:dyDescent="0.25">
      <c r="A295" s="13"/>
    </row>
  </sheetData>
  <conditionalFormatting sqref="H259:H294">
    <cfRule type="containsText" dxfId="15" priority="1" operator="containsText" text="NÃO">
      <formula>NOT(ISERROR(SEARCH("NÃO",H259)))</formula>
    </cfRule>
    <cfRule type="containsText" dxfId="14" priority="2" operator="containsText" text="ATINGIDO">
      <formula>NOT(ISERROR(SEARCH("ATINGIDO",H259)))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1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7EDE-90B9-4A39-BF54-D8AF4343F77F}">
  <dimension ref="A1:K343"/>
  <sheetViews>
    <sheetView showGridLines="0" topLeftCell="A91" zoomScale="80" zoomScaleNormal="80" workbookViewId="0">
      <selection activeCell="C95" sqref="C95"/>
    </sheetView>
  </sheetViews>
  <sheetFormatPr defaultRowHeight="14.3" x14ac:dyDescent="0.25"/>
  <cols>
    <col min="1" max="1" width="23.625" bestFit="1" customWidth="1"/>
    <col min="2" max="2" width="26.125" bestFit="1" customWidth="1"/>
    <col min="3" max="3" width="28.875" bestFit="1" customWidth="1"/>
    <col min="4" max="4" width="23.625" bestFit="1" customWidth="1"/>
    <col min="5" max="5" width="26.125" bestFit="1" customWidth="1"/>
    <col min="6" max="6" width="20.375" bestFit="1" customWidth="1"/>
    <col min="7" max="7" width="23.625" bestFit="1" customWidth="1"/>
    <col min="8" max="8" width="32.875" bestFit="1" customWidth="1"/>
    <col min="9" max="9" width="23" bestFit="1" customWidth="1"/>
    <col min="10" max="10" width="12.625" bestFit="1" customWidth="1"/>
    <col min="11" max="11" width="20" bestFit="1" customWidth="1"/>
  </cols>
  <sheetData>
    <row r="1" spans="4:5" x14ac:dyDescent="0.25">
      <c r="D1" s="12" t="s">
        <v>191</v>
      </c>
      <c r="E1" s="12" t="s">
        <v>192</v>
      </c>
    </row>
    <row r="2" spans="4:5" x14ac:dyDescent="0.25">
      <c r="D2" s="13" t="s">
        <v>203</v>
      </c>
      <c r="E2" s="14">
        <f>C44</f>
        <v>0.99969579865239788</v>
      </c>
    </row>
    <row r="3" spans="4:5" x14ac:dyDescent="0.25">
      <c r="D3" s="13" t="s">
        <v>204</v>
      </c>
      <c r="E3" s="14">
        <f>100%-E2</f>
        <v>3.042013476021177E-4</v>
      </c>
    </row>
    <row r="29" spans="1:2" x14ac:dyDescent="0.25">
      <c r="A29" s="19" t="s">
        <v>0</v>
      </c>
      <c r="B29" t="s">
        <v>201</v>
      </c>
    </row>
    <row r="30" spans="1:2" x14ac:dyDescent="0.25">
      <c r="A30" s="9">
        <v>46024</v>
      </c>
      <c r="B30" s="5">
        <v>1</v>
      </c>
    </row>
    <row r="31" spans="1:2" x14ac:dyDescent="0.25">
      <c r="A31" s="9">
        <v>46027</v>
      </c>
      <c r="B31" s="5">
        <v>1</v>
      </c>
    </row>
    <row r="32" spans="1:2" x14ac:dyDescent="0.25">
      <c r="A32" s="9">
        <v>46028</v>
      </c>
      <c r="B32" s="5">
        <v>1</v>
      </c>
    </row>
    <row r="33" spans="1:4" x14ac:dyDescent="0.25">
      <c r="A33" s="9">
        <v>46029</v>
      </c>
      <c r="B33" s="5">
        <v>1</v>
      </c>
    </row>
    <row r="34" spans="1:4" x14ac:dyDescent="0.25">
      <c r="A34" s="9">
        <v>46030</v>
      </c>
      <c r="B34" s="5">
        <v>1</v>
      </c>
    </row>
    <row r="35" spans="1:4" x14ac:dyDescent="0.25">
      <c r="A35" s="9">
        <v>46031</v>
      </c>
      <c r="B35" s="5">
        <v>1</v>
      </c>
    </row>
    <row r="36" spans="1:4" x14ac:dyDescent="0.25">
      <c r="A36" s="9">
        <v>46032</v>
      </c>
      <c r="B36" s="5">
        <v>1</v>
      </c>
    </row>
    <row r="37" spans="1:4" x14ac:dyDescent="0.25">
      <c r="A37" s="9">
        <v>46034</v>
      </c>
      <c r="B37" s="5">
        <v>1</v>
      </c>
    </row>
    <row r="38" spans="1:4" x14ac:dyDescent="0.25">
      <c r="A38" s="9">
        <v>46035</v>
      </c>
      <c r="B38" s="5">
        <v>1</v>
      </c>
    </row>
    <row r="39" spans="1:4" x14ac:dyDescent="0.25">
      <c r="A39" s="9">
        <v>46036</v>
      </c>
      <c r="B39" s="5">
        <v>1</v>
      </c>
    </row>
    <row r="40" spans="1:4" x14ac:dyDescent="0.25">
      <c r="A40" s="9">
        <v>46037</v>
      </c>
      <c r="B40" s="5">
        <v>1</v>
      </c>
    </row>
    <row r="41" spans="1:4" x14ac:dyDescent="0.25">
      <c r="A41" s="9">
        <v>46038</v>
      </c>
      <c r="B41" s="5">
        <v>1</v>
      </c>
    </row>
    <row r="42" spans="1:4" x14ac:dyDescent="0.25">
      <c r="A42" s="9">
        <v>46039</v>
      </c>
      <c r="B42" s="5">
        <v>1</v>
      </c>
    </row>
    <row r="43" spans="1:4" x14ac:dyDescent="0.25">
      <c r="A43" s="9">
        <v>46041</v>
      </c>
      <c r="B43" s="5">
        <v>1</v>
      </c>
      <c r="C43" s="328" t="s">
        <v>205</v>
      </c>
      <c r="D43" s="328"/>
    </row>
    <row r="44" spans="1:4" x14ac:dyDescent="0.25">
      <c r="A44" s="9">
        <v>46042</v>
      </c>
      <c r="B44" s="5">
        <v>1</v>
      </c>
      <c r="C44" s="339">
        <f>GETPIVOTDATA("DESEMPENHO  %",$A$29)</f>
        <v>0.99969579865239788</v>
      </c>
      <c r="D44" s="339"/>
    </row>
    <row r="45" spans="1:4" x14ac:dyDescent="0.25">
      <c r="A45" s="9">
        <v>46043</v>
      </c>
      <c r="B45" s="5">
        <v>1</v>
      </c>
    </row>
    <row r="46" spans="1:4" ht="15.8" customHeight="1" x14ac:dyDescent="0.25">
      <c r="A46" s="9">
        <v>46044</v>
      </c>
      <c r="B46" s="5">
        <v>1</v>
      </c>
    </row>
    <row r="47" spans="1:4" x14ac:dyDescent="0.25">
      <c r="A47" s="9">
        <v>46045</v>
      </c>
      <c r="B47" s="5">
        <v>0.99655172413793092</v>
      </c>
    </row>
    <row r="48" spans="1:4" x14ac:dyDescent="0.25">
      <c r="A48" s="9">
        <v>46046</v>
      </c>
      <c r="B48" s="5">
        <v>1</v>
      </c>
    </row>
    <row r="49" spans="1:2" x14ac:dyDescent="0.25">
      <c r="A49" s="9">
        <v>46048</v>
      </c>
      <c r="B49" s="5">
        <v>1</v>
      </c>
    </row>
    <row r="50" spans="1:2" x14ac:dyDescent="0.25">
      <c r="A50" s="9">
        <v>46049</v>
      </c>
      <c r="B50" s="5">
        <v>1</v>
      </c>
    </row>
    <row r="51" spans="1:2" x14ac:dyDescent="0.25">
      <c r="A51" s="9">
        <v>46050</v>
      </c>
      <c r="B51" s="5">
        <v>1</v>
      </c>
    </row>
    <row r="52" spans="1:2" x14ac:dyDescent="0.25">
      <c r="A52" s="9">
        <v>46051</v>
      </c>
      <c r="B52" s="5">
        <v>0.995</v>
      </c>
    </row>
    <row r="53" spans="1:2" x14ac:dyDescent="0.25">
      <c r="A53" s="9">
        <v>46052</v>
      </c>
      <c r="B53" s="5">
        <v>0.99444444444444446</v>
      </c>
    </row>
    <row r="54" spans="1:2" x14ac:dyDescent="0.25">
      <c r="A54" s="9">
        <v>46053</v>
      </c>
      <c r="B54" s="5">
        <v>1</v>
      </c>
    </row>
    <row r="55" spans="1:2" x14ac:dyDescent="0.25">
      <c r="A55" s="9">
        <v>46055</v>
      </c>
      <c r="B55" s="5">
        <v>1</v>
      </c>
    </row>
    <row r="56" spans="1:2" x14ac:dyDescent="0.25">
      <c r="A56" s="9">
        <v>46056</v>
      </c>
      <c r="B56" s="5">
        <v>1</v>
      </c>
    </row>
    <row r="57" spans="1:2" x14ac:dyDescent="0.25">
      <c r="A57" s="9">
        <v>46057</v>
      </c>
      <c r="B57" s="5">
        <v>1</v>
      </c>
    </row>
    <row r="58" spans="1:2" x14ac:dyDescent="0.25">
      <c r="A58" s="9">
        <v>46058</v>
      </c>
      <c r="B58" s="5">
        <v>1</v>
      </c>
    </row>
    <row r="59" spans="1:2" x14ac:dyDescent="0.25">
      <c r="A59" s="9">
        <v>46059</v>
      </c>
      <c r="B59" s="5">
        <v>1</v>
      </c>
    </row>
    <row r="60" spans="1:2" x14ac:dyDescent="0.25">
      <c r="A60" s="9">
        <v>46060</v>
      </c>
      <c r="B60" s="5">
        <v>1</v>
      </c>
    </row>
    <row r="61" spans="1:2" x14ac:dyDescent="0.25">
      <c r="A61" s="9">
        <v>46062</v>
      </c>
      <c r="B61" s="5">
        <v>1</v>
      </c>
    </row>
    <row r="62" spans="1:2" x14ac:dyDescent="0.25">
      <c r="A62" s="9">
        <v>46063</v>
      </c>
      <c r="B62" s="5">
        <v>1</v>
      </c>
    </row>
    <row r="63" spans="1:2" x14ac:dyDescent="0.25">
      <c r="A63" s="9">
        <v>46064</v>
      </c>
      <c r="B63" s="5">
        <v>1</v>
      </c>
    </row>
    <row r="64" spans="1:2" x14ac:dyDescent="0.25">
      <c r="A64" s="9">
        <v>46065</v>
      </c>
      <c r="B64" s="5">
        <v>1</v>
      </c>
    </row>
    <row r="65" spans="1:2" x14ac:dyDescent="0.25">
      <c r="A65" s="9">
        <v>46066</v>
      </c>
      <c r="B65" s="5">
        <v>1</v>
      </c>
    </row>
    <row r="66" spans="1:2" x14ac:dyDescent="0.25">
      <c r="A66" s="9">
        <v>46067</v>
      </c>
      <c r="B66" s="5">
        <v>1</v>
      </c>
    </row>
    <row r="67" spans="1:2" x14ac:dyDescent="0.25">
      <c r="A67" s="9">
        <v>46069</v>
      </c>
      <c r="B67" s="5">
        <v>1</v>
      </c>
    </row>
    <row r="68" spans="1:2" x14ac:dyDescent="0.25">
      <c r="A68" s="9">
        <v>46070</v>
      </c>
      <c r="B68" s="5">
        <v>1</v>
      </c>
    </row>
    <row r="69" spans="1:2" x14ac:dyDescent="0.25">
      <c r="A69" s="9">
        <v>46071</v>
      </c>
      <c r="B69" s="5">
        <v>1</v>
      </c>
    </row>
    <row r="70" spans="1:2" x14ac:dyDescent="0.25">
      <c r="A70" s="9">
        <v>46072</v>
      </c>
      <c r="B70" s="5">
        <v>1</v>
      </c>
    </row>
    <row r="71" spans="1:2" x14ac:dyDescent="0.25">
      <c r="A71" s="9">
        <v>46073</v>
      </c>
      <c r="B71" s="5">
        <v>1</v>
      </c>
    </row>
    <row r="72" spans="1:2" x14ac:dyDescent="0.25">
      <c r="A72" s="9">
        <v>46074</v>
      </c>
      <c r="B72" s="5">
        <v>1</v>
      </c>
    </row>
    <row r="73" spans="1:2" x14ac:dyDescent="0.25">
      <c r="A73" s="9">
        <v>46075</v>
      </c>
      <c r="B73" s="5">
        <v>1</v>
      </c>
    </row>
    <row r="74" spans="1:2" x14ac:dyDescent="0.25">
      <c r="A74" s="9">
        <v>46077</v>
      </c>
      <c r="B74" s="5">
        <v>1</v>
      </c>
    </row>
    <row r="75" spans="1:2" x14ac:dyDescent="0.25">
      <c r="A75" s="9">
        <v>46078</v>
      </c>
      <c r="B75" s="5">
        <v>1</v>
      </c>
    </row>
    <row r="76" spans="1:2" x14ac:dyDescent="0.25">
      <c r="A76" s="9">
        <v>46079</v>
      </c>
      <c r="B76" s="5">
        <v>1</v>
      </c>
    </row>
    <row r="77" spans="1:2" x14ac:dyDescent="0.25">
      <c r="A77" s="9">
        <v>46080</v>
      </c>
      <c r="B77" s="5">
        <v>1</v>
      </c>
    </row>
    <row r="78" spans="1:2" x14ac:dyDescent="0.25">
      <c r="A78" s="9">
        <v>46081</v>
      </c>
      <c r="B78" s="5">
        <v>1</v>
      </c>
    </row>
    <row r="79" spans="1:2" x14ac:dyDescent="0.25">
      <c r="A79" s="9" t="s">
        <v>160</v>
      </c>
      <c r="B79" s="5">
        <v>0.99969579865239788</v>
      </c>
    </row>
    <row r="81" spans="4:8" x14ac:dyDescent="0.25">
      <c r="D81" s="328" t="s">
        <v>217</v>
      </c>
      <c r="E81" s="328"/>
    </row>
    <row r="82" spans="4:8" x14ac:dyDescent="0.25">
      <c r="D82" s="340">
        <f>GETPIVOTDATA("MEDIA SKU POR PEDIDO",$G$92)</f>
        <v>5.3223688233423641</v>
      </c>
      <c r="E82" s="340"/>
    </row>
    <row r="92" spans="4:8" x14ac:dyDescent="0.25">
      <c r="G92" s="19" t="s">
        <v>133</v>
      </c>
      <c r="H92" t="s">
        <v>206</v>
      </c>
    </row>
    <row r="93" spans="4:8" x14ac:dyDescent="0.25">
      <c r="G93" s="10" t="s">
        <v>255</v>
      </c>
      <c r="H93" s="15">
        <v>6.5</v>
      </c>
    </row>
    <row r="94" spans="4:8" x14ac:dyDescent="0.25">
      <c r="G94" s="10" t="s">
        <v>256</v>
      </c>
      <c r="H94" s="15">
        <v>6.4987249386150134</v>
      </c>
    </row>
    <row r="95" spans="4:8" x14ac:dyDescent="0.25">
      <c r="G95" s="10" t="s">
        <v>257</v>
      </c>
      <c r="H95" s="15">
        <v>6.0018004057016716</v>
      </c>
    </row>
    <row r="96" spans="4:8" x14ac:dyDescent="0.25">
      <c r="G96" s="10" t="s">
        <v>258</v>
      </c>
      <c r="H96" s="15">
        <v>5.7190103371127403</v>
      </c>
    </row>
    <row r="97" spans="1:8" x14ac:dyDescent="0.25">
      <c r="G97" s="10" t="s">
        <v>259</v>
      </c>
      <c r="H97" s="15">
        <v>5.6749999999999998</v>
      </c>
    </row>
    <row r="98" spans="1:8" x14ac:dyDescent="0.25">
      <c r="G98" s="10" t="s">
        <v>263</v>
      </c>
      <c r="H98" s="15">
        <v>5.5420207703897644</v>
      </c>
    </row>
    <row r="99" spans="1:8" x14ac:dyDescent="0.25">
      <c r="G99" s="10" t="s">
        <v>278</v>
      </c>
      <c r="H99" s="15">
        <v>5.4898809523809522</v>
      </c>
    </row>
    <row r="100" spans="1:8" x14ac:dyDescent="0.25">
      <c r="G100" s="10" t="s">
        <v>213</v>
      </c>
      <c r="H100" s="15">
        <v>4.8</v>
      </c>
    </row>
    <row r="101" spans="1:8" x14ac:dyDescent="0.25">
      <c r="G101" s="10" t="s">
        <v>260</v>
      </c>
      <c r="H101" s="15">
        <v>4.5130952380952376</v>
      </c>
    </row>
    <row r="102" spans="1:8" x14ac:dyDescent="0.25">
      <c r="G102" s="10" t="s">
        <v>261</v>
      </c>
      <c r="H102" s="15">
        <v>4.3763878691455629</v>
      </c>
    </row>
    <row r="103" spans="1:8" x14ac:dyDescent="0.25">
      <c r="G103" s="10" t="s">
        <v>262</v>
      </c>
      <c r="H103" s="15">
        <v>3.7443721719457019</v>
      </c>
    </row>
    <row r="104" spans="1:8" x14ac:dyDescent="0.25">
      <c r="G104" s="10" t="s">
        <v>160</v>
      </c>
      <c r="H104" s="15">
        <v>5.3223688233423641</v>
      </c>
    </row>
    <row r="110" spans="1:8" x14ac:dyDescent="0.25">
      <c r="A110" s="19" t="s">
        <v>133</v>
      </c>
      <c r="B110" t="s">
        <v>218</v>
      </c>
    </row>
    <row r="111" spans="1:8" x14ac:dyDescent="0.25">
      <c r="A111" s="10" t="s">
        <v>256</v>
      </c>
      <c r="B111">
        <v>59607</v>
      </c>
    </row>
    <row r="112" spans="1:8" x14ac:dyDescent="0.25">
      <c r="A112" s="10" t="s">
        <v>258</v>
      </c>
      <c r="B112">
        <v>47208</v>
      </c>
    </row>
    <row r="113" spans="1:3" x14ac:dyDescent="0.25">
      <c r="A113" s="10" t="s">
        <v>257</v>
      </c>
      <c r="B113">
        <v>30829</v>
      </c>
    </row>
    <row r="114" spans="1:3" x14ac:dyDescent="0.25">
      <c r="A114" s="10" t="s">
        <v>261</v>
      </c>
      <c r="B114">
        <v>27245</v>
      </c>
    </row>
    <row r="115" spans="1:3" x14ac:dyDescent="0.25">
      <c r="A115" s="10" t="s">
        <v>263</v>
      </c>
      <c r="B115">
        <v>20115</v>
      </c>
    </row>
    <row r="116" spans="1:3" x14ac:dyDescent="0.25">
      <c r="A116" s="10" t="s">
        <v>262</v>
      </c>
      <c r="B116">
        <v>8912</v>
      </c>
    </row>
    <row r="117" spans="1:3" x14ac:dyDescent="0.25">
      <c r="A117" s="10" t="s">
        <v>278</v>
      </c>
      <c r="B117">
        <v>2301</v>
      </c>
    </row>
    <row r="118" spans="1:3" x14ac:dyDescent="0.25">
      <c r="A118" s="10" t="s">
        <v>259</v>
      </c>
      <c r="B118">
        <v>1615</v>
      </c>
    </row>
    <row r="119" spans="1:3" x14ac:dyDescent="0.25">
      <c r="A119" s="10" t="s">
        <v>260</v>
      </c>
      <c r="B119">
        <v>688</v>
      </c>
    </row>
    <row r="120" spans="1:3" x14ac:dyDescent="0.25">
      <c r="A120" s="10" t="s">
        <v>213</v>
      </c>
      <c r="B120">
        <v>283</v>
      </c>
    </row>
    <row r="121" spans="1:3" x14ac:dyDescent="0.25">
      <c r="A121" s="10" t="s">
        <v>255</v>
      </c>
      <c r="B121">
        <v>34</v>
      </c>
    </row>
    <row r="122" spans="1:3" x14ac:dyDescent="0.25">
      <c r="A122" s="10" t="s">
        <v>160</v>
      </c>
      <c r="B122">
        <v>198837</v>
      </c>
    </row>
    <row r="124" spans="1:3" x14ac:dyDescent="0.25">
      <c r="C124" s="3">
        <f>GETPIVOTDATA("ITENS SEPARADOS",$A$110)</f>
        <v>198837</v>
      </c>
    </row>
    <row r="149" spans="1:3" x14ac:dyDescent="0.25">
      <c r="A149" s="19" t="s">
        <v>133</v>
      </c>
      <c r="B149" t="s">
        <v>222</v>
      </c>
    </row>
    <row r="150" spans="1:3" x14ac:dyDescent="0.25">
      <c r="A150" s="10" t="s">
        <v>256</v>
      </c>
      <c r="B150">
        <v>1747</v>
      </c>
    </row>
    <row r="151" spans="1:3" x14ac:dyDescent="0.25">
      <c r="A151" s="10" t="s">
        <v>258</v>
      </c>
      <c r="B151">
        <v>1385</v>
      </c>
    </row>
    <row r="152" spans="1:3" x14ac:dyDescent="0.25">
      <c r="A152" s="10" t="s">
        <v>257</v>
      </c>
      <c r="B152">
        <v>890</v>
      </c>
    </row>
    <row r="153" spans="1:3" x14ac:dyDescent="0.25">
      <c r="A153" s="10" t="s">
        <v>261</v>
      </c>
      <c r="B153">
        <v>647</v>
      </c>
    </row>
    <row r="154" spans="1:3" x14ac:dyDescent="0.25">
      <c r="A154" s="10" t="s">
        <v>263</v>
      </c>
      <c r="B154">
        <v>474</v>
      </c>
    </row>
    <row r="155" spans="1:3" x14ac:dyDescent="0.25">
      <c r="A155" s="10" t="s">
        <v>262</v>
      </c>
      <c r="B155">
        <v>186</v>
      </c>
    </row>
    <row r="156" spans="1:3" x14ac:dyDescent="0.25">
      <c r="A156" s="10" t="s">
        <v>278</v>
      </c>
      <c r="B156">
        <v>70</v>
      </c>
    </row>
    <row r="157" spans="1:3" x14ac:dyDescent="0.25">
      <c r="A157" s="10" t="s">
        <v>260</v>
      </c>
      <c r="B157">
        <v>32</v>
      </c>
    </row>
    <row r="158" spans="1:3" x14ac:dyDescent="0.25">
      <c r="A158" s="10" t="s">
        <v>259</v>
      </c>
      <c r="B158">
        <v>29</v>
      </c>
      <c r="C158" s="3">
        <f>GETPIVOTDATA("QTD PEDIDOS",$A$149)</f>
        <v>5472</v>
      </c>
    </row>
    <row r="159" spans="1:3" x14ac:dyDescent="0.25">
      <c r="A159" s="10" t="s">
        <v>213</v>
      </c>
      <c r="B159">
        <v>10</v>
      </c>
    </row>
    <row r="160" spans="1:3" x14ac:dyDescent="0.25">
      <c r="A160" s="10" t="s">
        <v>255</v>
      </c>
      <c r="B160">
        <v>2</v>
      </c>
    </row>
    <row r="161" spans="1:2" x14ac:dyDescent="0.25">
      <c r="A161" s="10" t="s">
        <v>160</v>
      </c>
      <c r="B161">
        <v>5472</v>
      </c>
    </row>
    <row r="182" spans="1:7" ht="14.95" thickBot="1" x14ac:dyDescent="0.3">
      <c r="A182" s="19" t="s">
        <v>0</v>
      </c>
      <c r="B182" t="s">
        <v>201</v>
      </c>
    </row>
    <row r="183" spans="1:7" x14ac:dyDescent="0.25">
      <c r="A183" s="10" t="s">
        <v>261</v>
      </c>
      <c r="B183" s="5">
        <v>1</v>
      </c>
      <c r="D183" s="330" t="s">
        <v>233</v>
      </c>
      <c r="E183" s="331"/>
      <c r="F183" s="331"/>
      <c r="G183" s="332"/>
    </row>
    <row r="184" spans="1:7" ht="14.95" thickBot="1" x14ac:dyDescent="0.3">
      <c r="A184" s="10" t="s">
        <v>262</v>
      </c>
      <c r="B184" s="5">
        <v>1</v>
      </c>
      <c r="D184" s="336"/>
      <c r="E184" s="337"/>
      <c r="F184" s="337"/>
      <c r="G184" s="338"/>
    </row>
    <row r="185" spans="1:7" x14ac:dyDescent="0.25">
      <c r="A185" s="10" t="s">
        <v>256</v>
      </c>
      <c r="B185" s="5">
        <v>1</v>
      </c>
      <c r="D185" s="28"/>
      <c r="G185" s="29"/>
    </row>
    <row r="186" spans="1:7" x14ac:dyDescent="0.25">
      <c r="A186" s="10" t="s">
        <v>257</v>
      </c>
      <c r="B186" s="5">
        <v>0.99909909909909911</v>
      </c>
      <c r="D186" s="30" t="s">
        <v>227</v>
      </c>
      <c r="E186" s="13" t="s">
        <v>234</v>
      </c>
      <c r="F186" s="13" t="s">
        <v>235</v>
      </c>
      <c r="G186" s="55" t="s">
        <v>236</v>
      </c>
    </row>
    <row r="187" spans="1:7" x14ac:dyDescent="0.25">
      <c r="A187" s="10" t="s">
        <v>278</v>
      </c>
      <c r="B187" s="5">
        <v>1</v>
      </c>
      <c r="D187" s="31">
        <f>COUNTA(D191:D196)-2</f>
        <v>4</v>
      </c>
      <c r="E187" s="23">
        <f>GETPIVOTDATA("QTD PEDIDOS",$A$149)</f>
        <v>5472</v>
      </c>
      <c r="F187" s="23">
        <f>E187/D187</f>
        <v>1368</v>
      </c>
      <c r="G187" s="56">
        <f>100%/D187</f>
        <v>0.25</v>
      </c>
    </row>
    <row r="188" spans="1:7" x14ac:dyDescent="0.25">
      <c r="A188" s="10" t="s">
        <v>263</v>
      </c>
      <c r="B188" s="5">
        <v>1</v>
      </c>
      <c r="D188" s="28"/>
      <c r="G188" s="29"/>
    </row>
    <row r="189" spans="1:7" x14ac:dyDescent="0.25">
      <c r="A189" s="10" t="s">
        <v>258</v>
      </c>
      <c r="B189" s="5">
        <v>0.99906896551724134</v>
      </c>
      <c r="D189" s="28"/>
      <c r="G189" s="29"/>
    </row>
    <row r="190" spans="1:7" ht="14.95" thickBot="1" x14ac:dyDescent="0.3">
      <c r="A190" s="10" t="s">
        <v>259</v>
      </c>
      <c r="B190" s="5">
        <v>1</v>
      </c>
      <c r="D190" s="247" t="s">
        <v>264</v>
      </c>
      <c r="E190" s="250" t="s">
        <v>265</v>
      </c>
      <c r="F190" s="36" t="s">
        <v>237</v>
      </c>
      <c r="G190" s="73" t="s">
        <v>231</v>
      </c>
    </row>
    <row r="191" spans="1:7" x14ac:dyDescent="0.25">
      <c r="A191" s="10" t="s">
        <v>260</v>
      </c>
      <c r="B191" s="5">
        <v>1</v>
      </c>
      <c r="D191" s="83" t="s">
        <v>255</v>
      </c>
      <c r="E191" s="251">
        <v>2</v>
      </c>
      <c r="F191" s="33">
        <f>GETPIVOTDATA("QTD PEDIDOS",$D$190,"COLABORADOR","Fernando")/E187</f>
        <v>8.6622807017543865E-2</v>
      </c>
      <c r="G191" s="55" t="str">
        <f>IF(F191&lt;G187,"NÃO ATINGIDO","ATINGIDO")</f>
        <v>NÃO ATINGIDO</v>
      </c>
    </row>
    <row r="192" spans="1:7" x14ac:dyDescent="0.25">
      <c r="A192" s="10" t="s">
        <v>213</v>
      </c>
      <c r="B192" s="5">
        <v>1</v>
      </c>
      <c r="D192" s="83" t="s">
        <v>213</v>
      </c>
      <c r="E192" s="251">
        <v>10</v>
      </c>
      <c r="F192" s="33">
        <f>GETPIVOTDATA("QTD PEDIDOS",$D$190,"COLABORADOR","Wilson")/E187</f>
        <v>3.399122807017544E-2</v>
      </c>
      <c r="G192" s="55" t="str">
        <f>IF(F192&lt;G187,"NÃO ATINGIDO","ATINGIDO")</f>
        <v>NÃO ATINGIDO</v>
      </c>
    </row>
    <row r="193" spans="1:7" x14ac:dyDescent="0.25">
      <c r="A193" s="10" t="s">
        <v>255</v>
      </c>
      <c r="B193" s="5">
        <v>1</v>
      </c>
      <c r="D193" s="83" t="s">
        <v>259</v>
      </c>
      <c r="E193" s="251">
        <v>29</v>
      </c>
      <c r="F193" s="33">
        <f>GETPIVOTDATA("QTD PEDIDOS",$D$190,"COLABORADOR","Armando")/E187</f>
        <v>0.11823830409356725</v>
      </c>
      <c r="G193" s="55" t="str">
        <f>IF(F193&lt;G187,"NÃO ATINGIDO","ATINGIDO")</f>
        <v>NÃO ATINGIDO</v>
      </c>
    </row>
    <row r="194" spans="1:7" x14ac:dyDescent="0.25">
      <c r="A194" s="10" t="s">
        <v>160</v>
      </c>
      <c r="B194" s="5">
        <v>0.99969579865239788</v>
      </c>
      <c r="D194" s="83" t="s">
        <v>260</v>
      </c>
      <c r="E194" s="251">
        <v>32</v>
      </c>
      <c r="F194" s="33">
        <f>GETPIVOTDATA("QTD PEDIDOS",$D$190,"COLABORADOR","Ronaldo ")/E187</f>
        <v>0.16264619883040934</v>
      </c>
      <c r="G194" s="55" t="str">
        <f>IF(F194&lt;G187,"NÃO ATINGIDO","ATINGIDO")</f>
        <v>NÃO ATINGIDO</v>
      </c>
    </row>
    <row r="195" spans="1:7" x14ac:dyDescent="0.25">
      <c r="D195" s="83" t="s">
        <v>278</v>
      </c>
      <c r="E195" s="251">
        <v>70</v>
      </c>
      <c r="F195" s="33">
        <f>GETPIVOTDATA("QTD PEDIDOS",$D$190,"COLABORADOR","Igor")/E187</f>
        <v>0.25310672514619881</v>
      </c>
      <c r="G195" s="13" t="str">
        <f>IF(F195&lt;G187,"NÃO ATINGIDO","ATINGIDO")</f>
        <v>ATINGIDO</v>
      </c>
    </row>
    <row r="196" spans="1:7" x14ac:dyDescent="0.25">
      <c r="D196" s="83" t="s">
        <v>262</v>
      </c>
      <c r="E196" s="251">
        <v>186</v>
      </c>
      <c r="F196" s="33">
        <f>GETPIVOTDATA("QTD PEDIDOS",$D$190,"COLABORADOR","Marileuza")/E187</f>
        <v>0.31926169590643277</v>
      </c>
      <c r="G196" s="13" t="str">
        <f>IF(F196&lt;G187,"NÃO ATINGIDO","ATINGIDO")</f>
        <v>ATINGIDO</v>
      </c>
    </row>
    <row r="197" spans="1:7" x14ac:dyDescent="0.25">
      <c r="D197" s="83" t="s">
        <v>263</v>
      </c>
      <c r="E197" s="251">
        <v>474</v>
      </c>
      <c r="F197" s="252"/>
    </row>
    <row r="198" spans="1:7" x14ac:dyDescent="0.25">
      <c r="D198" s="83" t="s">
        <v>261</v>
      </c>
      <c r="E198" s="251">
        <v>647</v>
      </c>
      <c r="F198" s="252"/>
    </row>
    <row r="199" spans="1:7" x14ac:dyDescent="0.25">
      <c r="D199" s="83" t="s">
        <v>257</v>
      </c>
      <c r="E199" s="251">
        <v>890</v>
      </c>
      <c r="F199" s="252"/>
    </row>
    <row r="200" spans="1:7" x14ac:dyDescent="0.25">
      <c r="D200" s="83" t="s">
        <v>258</v>
      </c>
      <c r="E200" s="251">
        <v>1385</v>
      </c>
    </row>
    <row r="201" spans="1:7" ht="14.95" thickBot="1" x14ac:dyDescent="0.3">
      <c r="D201" s="86" t="s">
        <v>256</v>
      </c>
      <c r="E201" s="251">
        <v>1747</v>
      </c>
    </row>
    <row r="202" spans="1:7" ht="14.95" thickBot="1" x14ac:dyDescent="0.3">
      <c r="D202" s="86" t="s">
        <v>160</v>
      </c>
      <c r="E202" s="13">
        <v>5472</v>
      </c>
    </row>
    <row r="210" spans="4:7" ht="14.95" thickBot="1" x14ac:dyDescent="0.3"/>
    <row r="211" spans="4:7" x14ac:dyDescent="0.25">
      <c r="D211" s="330" t="s">
        <v>266</v>
      </c>
      <c r="E211" s="331"/>
      <c r="F211" s="331"/>
      <c r="G211" s="332"/>
    </row>
    <row r="212" spans="4:7" x14ac:dyDescent="0.25">
      <c r="D212" s="333"/>
      <c r="E212" s="334"/>
      <c r="F212" s="334"/>
      <c r="G212" s="335"/>
    </row>
    <row r="213" spans="4:7" ht="14.95" thickBot="1" x14ac:dyDescent="0.3">
      <c r="D213" s="336"/>
      <c r="E213" s="337"/>
      <c r="F213" s="337"/>
      <c r="G213" s="338"/>
    </row>
    <row r="214" spans="4:7" x14ac:dyDescent="0.25">
      <c r="D214" s="70"/>
      <c r="E214" s="60"/>
      <c r="F214" s="60"/>
      <c r="G214" s="65"/>
    </row>
    <row r="215" spans="4:7" x14ac:dyDescent="0.25">
      <c r="D215" s="66" t="s">
        <v>227</v>
      </c>
      <c r="E215" s="67" t="s">
        <v>267</v>
      </c>
      <c r="F215" s="67" t="s">
        <v>239</v>
      </c>
      <c r="G215" s="37" t="s">
        <v>236</v>
      </c>
    </row>
    <row r="216" spans="4:7" x14ac:dyDescent="0.25">
      <c r="D216" s="66">
        <f>COUNTA(D221:D226)-2</f>
        <v>4</v>
      </c>
      <c r="E216" s="68">
        <f>GETPIVOTDATA("ITENS SEPARADOS",$A$110)</f>
        <v>198837</v>
      </c>
      <c r="F216" s="68">
        <f>E216/D216</f>
        <v>49709.25</v>
      </c>
      <c r="G216" s="69">
        <f>100%/D216</f>
        <v>0.25</v>
      </c>
    </row>
    <row r="217" spans="4:7" x14ac:dyDescent="0.25">
      <c r="D217" s="28"/>
      <c r="G217" s="29"/>
    </row>
    <row r="218" spans="4:7" x14ac:dyDescent="0.25">
      <c r="D218" s="28"/>
      <c r="G218" s="29"/>
    </row>
    <row r="219" spans="4:7" x14ac:dyDescent="0.25">
      <c r="D219" s="28"/>
      <c r="G219" s="29"/>
    </row>
    <row r="220" spans="4:7" x14ac:dyDescent="0.25">
      <c r="D220" s="263" t="s">
        <v>264</v>
      </c>
      <c r="E220" s="251" t="s">
        <v>268</v>
      </c>
      <c r="F220" s="36" t="s">
        <v>269</v>
      </c>
      <c r="G220" s="67" t="s">
        <v>231</v>
      </c>
    </row>
    <row r="221" spans="4:7" x14ac:dyDescent="0.25">
      <c r="D221" s="83" t="s">
        <v>256</v>
      </c>
      <c r="E221" s="253">
        <v>59607</v>
      </c>
      <c r="F221" s="33">
        <f>GETPIVOTDATA("ITENS SEPARADOS",$D$220,"COLABORADOR","Marileuza")/E216</f>
        <v>0.29977821029285295</v>
      </c>
      <c r="G221" s="13" t="str">
        <f>IF(F221&lt;G216,"NÃO ATINGIDO","ATINGIDO")</f>
        <v>ATINGIDO</v>
      </c>
    </row>
    <row r="222" spans="4:7" x14ac:dyDescent="0.25">
      <c r="D222" s="83" t="s">
        <v>258</v>
      </c>
      <c r="E222" s="253">
        <v>47208</v>
      </c>
      <c r="F222" s="33">
        <f>GETPIVOTDATA("ITENS SEPARADOS",$D$220,"COLABORADOR","Igor")/E216</f>
        <v>0.23742060079361488</v>
      </c>
      <c r="G222" s="13" t="str">
        <f>IF(F222&lt;G216,"NÃO ATINGIDO","ATINGIDO")</f>
        <v>NÃO ATINGIDO</v>
      </c>
    </row>
    <row r="223" spans="4:7" x14ac:dyDescent="0.25">
      <c r="D223" s="83" t="s">
        <v>257</v>
      </c>
      <c r="E223" s="253">
        <v>30829</v>
      </c>
      <c r="F223" s="33">
        <f>GETPIVOTDATA("ITENS SEPARADOS",$D$220,"COLABORADOR","Ronaldo ")/E216</f>
        <v>0.15504659595548112</v>
      </c>
      <c r="G223" s="13" t="str">
        <f>IF(F223&lt;G216,"NÃO ATINGIDO","ATINGIDO")</f>
        <v>NÃO ATINGIDO</v>
      </c>
    </row>
    <row r="224" spans="4:7" x14ac:dyDescent="0.25">
      <c r="D224" s="83" t="s">
        <v>261</v>
      </c>
      <c r="E224" s="253">
        <v>27245</v>
      </c>
      <c r="F224" s="33">
        <f>GETPIVOTDATA("ITENS SEPARADOS",$D$220,"COLABORADOR","Marileuza")/E216</f>
        <v>0.29977821029285295</v>
      </c>
      <c r="G224" s="13" t="str">
        <f>IF(F224&lt;G216,"NÃO ATINGIDO","ATINGIDO")</f>
        <v>ATINGIDO</v>
      </c>
    </row>
    <row r="225" spans="4:7" x14ac:dyDescent="0.25">
      <c r="D225" s="83" t="s">
        <v>263</v>
      </c>
      <c r="E225" s="253">
        <v>20115</v>
      </c>
      <c r="F225" s="33">
        <f>GETPIVOTDATA("ITENS SEPARADOS",$D$220,"COLABORADOR","Fernando")/E216</f>
        <v>0.10116326438238356</v>
      </c>
      <c r="G225" s="13" t="str">
        <f>IF(F225&lt;G216,"NÃO ATINGIDO","ATINGIDO")</f>
        <v>NÃO ATINGIDO</v>
      </c>
    </row>
    <row r="226" spans="4:7" x14ac:dyDescent="0.25">
      <c r="D226" s="83" t="s">
        <v>262</v>
      </c>
      <c r="E226" s="13">
        <v>8912</v>
      </c>
      <c r="F226" s="59">
        <f>GETPIVOTDATA("ITENS SEPARADOS",$D$220,"COLABORADOR","Wilson")/E216</f>
        <v>4.4820631974934244E-2</v>
      </c>
      <c r="G226" s="13" t="str">
        <f>IF(F226&lt;G216,"NÃO ATINGIDO","ATINGIDO")</f>
        <v>NÃO ATINGIDO</v>
      </c>
    </row>
    <row r="227" spans="4:7" x14ac:dyDescent="0.25">
      <c r="D227" s="83" t="s">
        <v>278</v>
      </c>
      <c r="E227" s="253">
        <v>2301</v>
      </c>
      <c r="F227" s="252"/>
    </row>
    <row r="228" spans="4:7" x14ac:dyDescent="0.25">
      <c r="D228" s="83" t="s">
        <v>259</v>
      </c>
      <c r="E228" s="253">
        <v>1615</v>
      </c>
      <c r="F228" s="252"/>
    </row>
    <row r="229" spans="4:7" x14ac:dyDescent="0.25">
      <c r="D229" s="83" t="s">
        <v>260</v>
      </c>
      <c r="E229" s="253">
        <v>688</v>
      </c>
      <c r="F229" s="252"/>
    </row>
    <row r="230" spans="4:7" x14ac:dyDescent="0.25">
      <c r="D230" s="83" t="s">
        <v>213</v>
      </c>
      <c r="E230" s="253">
        <v>283</v>
      </c>
    </row>
    <row r="231" spans="4:7" x14ac:dyDescent="0.25">
      <c r="D231" s="83" t="s">
        <v>255</v>
      </c>
      <c r="E231" s="253">
        <v>34</v>
      </c>
    </row>
    <row r="232" spans="4:7" x14ac:dyDescent="0.25">
      <c r="D232" s="254" t="s">
        <v>160</v>
      </c>
      <c r="E232" s="13">
        <v>198837</v>
      </c>
    </row>
    <row r="242" spans="4:7" ht="14.95" thickBot="1" x14ac:dyDescent="0.3"/>
    <row r="243" spans="4:7" x14ac:dyDescent="0.25">
      <c r="D243" s="341" t="s">
        <v>270</v>
      </c>
      <c r="E243" s="342"/>
      <c r="F243" s="342"/>
      <c r="G243" s="343"/>
    </row>
    <row r="244" spans="4:7" ht="14.95" thickBot="1" x14ac:dyDescent="0.3">
      <c r="D244" s="344"/>
      <c r="E244" s="345"/>
      <c r="F244" s="345"/>
      <c r="G244" s="346"/>
    </row>
    <row r="245" spans="4:7" x14ac:dyDescent="0.25">
      <c r="D245" s="28"/>
      <c r="G245" s="29"/>
    </row>
    <row r="246" spans="4:7" x14ac:dyDescent="0.25">
      <c r="D246" s="28"/>
      <c r="G246" s="29"/>
    </row>
    <row r="247" spans="4:7" x14ac:dyDescent="0.25">
      <c r="D247" s="66" t="s">
        <v>227</v>
      </c>
      <c r="E247" s="67" t="s">
        <v>240</v>
      </c>
      <c r="F247" s="67" t="s">
        <v>241</v>
      </c>
      <c r="G247" s="37" t="s">
        <v>236</v>
      </c>
    </row>
    <row r="248" spans="4:7" x14ac:dyDescent="0.25">
      <c r="D248" s="66">
        <f>COUNTA(D253:D258)-2</f>
        <v>4</v>
      </c>
      <c r="E248" s="68">
        <f>GETPIVOTDATA("MEDIA SKU POR PEDIDO",$G$92)</f>
        <v>5.3223688233423641</v>
      </c>
      <c r="F248" s="68">
        <f>E248</f>
        <v>5.3223688233423641</v>
      </c>
      <c r="G248" s="255">
        <v>1</v>
      </c>
    </row>
    <row r="249" spans="4:7" x14ac:dyDescent="0.25">
      <c r="D249" s="28"/>
      <c r="G249" s="29"/>
    </row>
    <row r="250" spans="4:7" x14ac:dyDescent="0.25">
      <c r="D250" s="28"/>
      <c r="G250" s="29"/>
    </row>
    <row r="251" spans="4:7" x14ac:dyDescent="0.25">
      <c r="D251" s="28"/>
      <c r="G251" s="29"/>
    </row>
    <row r="252" spans="4:7" x14ac:dyDescent="0.25">
      <c r="D252" s="263" t="s">
        <v>264</v>
      </c>
      <c r="E252" s="253" t="s">
        <v>206</v>
      </c>
      <c r="F252" s="67" t="s">
        <v>231</v>
      </c>
      <c r="G252" s="73" t="s">
        <v>242</v>
      </c>
    </row>
    <row r="253" spans="4:7" x14ac:dyDescent="0.25">
      <c r="D253" s="83" t="s">
        <v>262</v>
      </c>
      <c r="E253" s="84">
        <v>3.7443721719457019</v>
      </c>
      <c r="F253" s="12" t="str">
        <f>IF(GETPIVOTDATA("MEDIA SKU POR PEDIDO",$D$252,"COLABORADOR","Wilson")&lt;F248,"NÃO ATINGIDO","ATINGIDO")</f>
        <v>NÃO ATINGIDO</v>
      </c>
      <c r="G253" s="56">
        <f>GETPIVOTDATA("MEDIA SKU POR PEDIDO",$D$252,"COLABORADOR","Wilson")/F248</f>
        <v>0.70351610274056409</v>
      </c>
    </row>
    <row r="254" spans="4:7" x14ac:dyDescent="0.25">
      <c r="D254" s="83" t="s">
        <v>261</v>
      </c>
      <c r="E254" s="84">
        <v>4.3763878691455629</v>
      </c>
      <c r="F254" s="12" t="str">
        <f>IF(GETPIVOTDATA("MEDIA SKU POR PEDIDO",$D$251,"COLABORADOR","Fernando")&lt;F248,"NÃO ATINGIDO","ATINGIDO")</f>
        <v>ATINGIDO</v>
      </c>
      <c r="G254" s="33">
        <f>GETPIVOTDATA("MEDIA SKU POR PEDIDO",$D$252,"COLABORADOR","Fernando")/F248</f>
        <v>1.0412695839649575</v>
      </c>
    </row>
    <row r="255" spans="4:7" x14ac:dyDescent="0.25">
      <c r="D255" s="83" t="s">
        <v>260</v>
      </c>
      <c r="E255" s="84">
        <v>4.5130952380952376</v>
      </c>
      <c r="F255" s="12" t="str">
        <f>IF(GETPIVOTDATA("MEDIA SKU POR PEDIDO",$D$251,"COLABORADOR","Ronaldo ")&lt;F248,"NÃO ATINGIDO","ATINGIDO")</f>
        <v>ATINGIDO</v>
      </c>
      <c r="G255" s="33">
        <f>GETPIVOTDATA("MEDIA SKU POR PEDIDO",$D$252,"COLABORADOR","Ronaldo ")/F248</f>
        <v>1.1276558624384536</v>
      </c>
    </row>
    <row r="256" spans="4:7" x14ac:dyDescent="0.25">
      <c r="D256" s="83" t="s">
        <v>213</v>
      </c>
      <c r="E256" s="84">
        <v>4.8</v>
      </c>
      <c r="F256" s="12" t="str">
        <f>IF(GETPIVOTDATA("MEDIA SKU POR PEDIDO",$D$252,"COLABORADOR","Armando")&lt;F251,"NÃO ATINGIDO","ATINGIDO")</f>
        <v>ATINGIDO</v>
      </c>
      <c r="G256" s="33">
        <f>GETPIVOTDATA("MEDIA SKU POR PEDIDO",$D$252,"COLABORADOR","Armando")/F248</f>
        <v>0.8222631716073483</v>
      </c>
    </row>
    <row r="257" spans="4:7" x14ac:dyDescent="0.25">
      <c r="D257" s="83" t="s">
        <v>278</v>
      </c>
      <c r="E257" s="84">
        <v>5.4898809523809522</v>
      </c>
      <c r="F257" s="12" t="str">
        <f>IF(GETPIVOTDATA("MEDIA SKU POR PEDIDO",$D$252,"COLABORADOR","Igor")&lt;F251,"NÃO ATINGIDO","ATINGIDO")</f>
        <v>ATINGIDO</v>
      </c>
      <c r="G257" s="33">
        <f>GETPIVOTDATA("MEDIA SKU POR PEDIDO",$D$252,"COLABORADOR","Igor")/F248</f>
        <v>1.0745234926280987</v>
      </c>
    </row>
    <row r="258" spans="4:7" x14ac:dyDescent="0.25">
      <c r="D258" s="83" t="s">
        <v>263</v>
      </c>
      <c r="E258" s="84">
        <v>5.5420207703897644</v>
      </c>
      <c r="F258" s="12" t="str">
        <f>IF(GETPIVOTDATA("MEDIA SKU POR PEDIDO",$D$252,"COLABORADOR","Marileuza")&lt;F251,"NÃO ATINGIDO","ATINGIDO")</f>
        <v>ATINGIDO</v>
      </c>
      <c r="G258" s="33">
        <f>GETPIVOTDATA("MEDIA SKU POR PEDIDO",$D$252,"COLABORADOR","Marileuza")/F248</f>
        <v>1.2210211569918816</v>
      </c>
    </row>
    <row r="259" spans="4:7" x14ac:dyDescent="0.25">
      <c r="D259" s="83" t="s">
        <v>259</v>
      </c>
      <c r="E259" s="84">
        <v>5.6749999999999998</v>
      </c>
      <c r="F259" s="3"/>
      <c r="G259" s="252"/>
    </row>
    <row r="260" spans="4:7" x14ac:dyDescent="0.25">
      <c r="D260" s="83" t="s">
        <v>258</v>
      </c>
      <c r="E260" s="23">
        <v>5.7190103371127403</v>
      </c>
      <c r="F260" s="3"/>
      <c r="G260" s="252"/>
    </row>
    <row r="261" spans="4:7" x14ac:dyDescent="0.25">
      <c r="D261" s="83" t="s">
        <v>257</v>
      </c>
      <c r="E261" s="84">
        <v>6.0018004057016716</v>
      </c>
      <c r="F261" s="3"/>
      <c r="G261" s="252"/>
    </row>
    <row r="262" spans="4:7" x14ac:dyDescent="0.25">
      <c r="D262" s="83" t="s">
        <v>256</v>
      </c>
      <c r="E262" s="23">
        <v>6.4987249386150134</v>
      </c>
    </row>
    <row r="263" spans="4:7" x14ac:dyDescent="0.25">
      <c r="D263" s="83" t="s">
        <v>255</v>
      </c>
      <c r="E263" s="84">
        <v>6.5</v>
      </c>
    </row>
    <row r="264" spans="4:7" x14ac:dyDescent="0.25">
      <c r="D264" s="254" t="s">
        <v>160</v>
      </c>
      <c r="E264" s="23">
        <v>5.3223688233423641</v>
      </c>
    </row>
    <row r="268" spans="4:7" x14ac:dyDescent="0.25">
      <c r="G268" s="256" t="s">
        <v>271</v>
      </c>
    </row>
    <row r="271" spans="4:7" ht="14.95" thickBot="1" x14ac:dyDescent="0.3"/>
    <row r="272" spans="4:7" x14ac:dyDescent="0.25">
      <c r="D272" s="341" t="s">
        <v>272</v>
      </c>
      <c r="E272" s="342"/>
      <c r="F272" s="342"/>
      <c r="G272" s="343"/>
    </row>
    <row r="273" spans="4:7" ht="14.95" thickBot="1" x14ac:dyDescent="0.3">
      <c r="D273" s="344"/>
      <c r="E273" s="345"/>
      <c r="F273" s="345"/>
      <c r="G273" s="346"/>
    </row>
    <row r="274" spans="4:7" x14ac:dyDescent="0.25">
      <c r="D274" s="28"/>
      <c r="G274" s="29"/>
    </row>
    <row r="275" spans="4:7" x14ac:dyDescent="0.25">
      <c r="D275" s="28"/>
      <c r="G275" s="29"/>
    </row>
    <row r="276" spans="4:7" x14ac:dyDescent="0.25">
      <c r="D276" s="66" t="s">
        <v>227</v>
      </c>
      <c r="E276" s="67" t="s">
        <v>273</v>
      </c>
      <c r="F276" s="67" t="s">
        <v>274</v>
      </c>
      <c r="G276" s="65"/>
    </row>
    <row r="277" spans="4:7" x14ac:dyDescent="0.25">
      <c r="D277" s="66">
        <f>COUNTA(D282:D287)-2</f>
        <v>4</v>
      </c>
      <c r="E277" s="257">
        <f>GETPIVOTDATA("DESEMPENHO  %",$A$182)</f>
        <v>0.99969579865239788</v>
      </c>
      <c r="F277" s="74">
        <v>0.98</v>
      </c>
      <c r="G277" s="258"/>
    </row>
    <row r="278" spans="4:7" x14ac:dyDescent="0.25">
      <c r="D278" s="28"/>
      <c r="G278" s="29"/>
    </row>
    <row r="279" spans="4:7" x14ac:dyDescent="0.25">
      <c r="D279" s="28"/>
      <c r="G279" s="29"/>
    </row>
    <row r="280" spans="4:7" x14ac:dyDescent="0.25">
      <c r="D280" s="28"/>
      <c r="G280" s="29"/>
    </row>
    <row r="281" spans="4:7" ht="14.95" thickBot="1" x14ac:dyDescent="0.3">
      <c r="D281" s="247" t="s">
        <v>275</v>
      </c>
      <c r="E281" s="259" t="s">
        <v>201</v>
      </c>
      <c r="F281" s="82" t="s">
        <v>231</v>
      </c>
      <c r="G281" s="29"/>
    </row>
    <row r="282" spans="4:7" x14ac:dyDescent="0.25">
      <c r="D282" s="83" t="s">
        <v>261</v>
      </c>
      <c r="E282" s="260">
        <v>1</v>
      </c>
      <c r="F282" s="12" t="str">
        <f>IF(GETPIVOTDATA("DESEMPENHO  %",$D$281,"COLABORADOR","Armando")&lt;F277,"NÃO ATINGIDO","ATINGIDO")</f>
        <v>ATINGIDO</v>
      </c>
      <c r="G282" s="29"/>
    </row>
    <row r="283" spans="4:7" x14ac:dyDescent="0.25">
      <c r="D283" s="83" t="s">
        <v>262</v>
      </c>
      <c r="E283" s="261">
        <v>1</v>
      </c>
      <c r="F283" s="12" t="str">
        <f>IF(GETPIVOTDATA("DESEMPENHO  %",$D$281,"COLABORADOR","Wilson")&lt;F277,"NÃO ATINGIDO","ATINGIDO")</f>
        <v>ATINGIDO</v>
      </c>
      <c r="G283" s="29"/>
    </row>
    <row r="284" spans="4:7" x14ac:dyDescent="0.25">
      <c r="D284" s="83" t="s">
        <v>256</v>
      </c>
      <c r="E284" s="261">
        <v>1</v>
      </c>
      <c r="F284" s="12" t="str">
        <f>IF(GETPIVOTDATA("DESEMPENHO  %",$D$281,"COLABORADOR","Marileuza")&lt;F277,"NÃO ATINGIDO","ATINGIDO")</f>
        <v>ATINGIDO</v>
      </c>
      <c r="G284" s="29"/>
    </row>
    <row r="285" spans="4:7" x14ac:dyDescent="0.25">
      <c r="D285" s="83" t="s">
        <v>257</v>
      </c>
      <c r="E285" s="260">
        <v>0.99909909909909911</v>
      </c>
      <c r="F285" s="12" t="str">
        <f>IF(GETPIVOTDATA("DESEMPENHO  %",$D$281,"COLABORADOR","Ronaldo ")&lt;F277,"NÃO ATINGIDO","ATINGIDO")</f>
        <v>ATINGIDO</v>
      </c>
      <c r="G285" s="29"/>
    </row>
    <row r="286" spans="4:7" x14ac:dyDescent="0.25">
      <c r="D286" s="83" t="s">
        <v>278</v>
      </c>
      <c r="E286" s="260">
        <v>1</v>
      </c>
      <c r="F286" s="12" t="str">
        <f>IF(GETPIVOTDATA("DESEMPENHO  %",$D$281,"COLABORADOR","Fernando")&lt;F277,"NÃO ATINGIDO","ATINGIDO")</f>
        <v>ATINGIDO</v>
      </c>
      <c r="G286" s="29"/>
    </row>
    <row r="287" spans="4:7" x14ac:dyDescent="0.25">
      <c r="D287" s="83" t="s">
        <v>263</v>
      </c>
      <c r="E287" s="260">
        <v>1</v>
      </c>
      <c r="F287" s="12" t="str">
        <f>IF(GETPIVOTDATA("DESEMPENHO  %",$D$281,"COLABORADOR","Wilson")&lt;F277,"NÃO ATINGIDO","ATINGIDO")</f>
        <v>ATINGIDO</v>
      </c>
      <c r="G287" s="29"/>
    </row>
    <row r="288" spans="4:7" x14ac:dyDescent="0.25">
      <c r="D288" s="83" t="s">
        <v>258</v>
      </c>
      <c r="E288" s="260">
        <v>0.99906896551724134</v>
      </c>
      <c r="F288" s="12" t="str">
        <f>IF(GETPIVOTDATA("DESEMPENHO  %",$D$281,"COLABORADOR","Marileuza")&lt;F277,"NÃO ATINGIDO","ATINGIDO")</f>
        <v>ATINGIDO</v>
      </c>
      <c r="G288" s="29"/>
    </row>
    <row r="289" spans="4:7" x14ac:dyDescent="0.25">
      <c r="D289" s="83" t="s">
        <v>259</v>
      </c>
      <c r="E289" s="260">
        <v>1</v>
      </c>
      <c r="F289" s="3"/>
      <c r="G289" s="29"/>
    </row>
    <row r="290" spans="4:7" ht="14.95" thickBot="1" x14ac:dyDescent="0.3">
      <c r="D290" s="83" t="s">
        <v>260</v>
      </c>
      <c r="E290" s="260">
        <v>1</v>
      </c>
      <c r="F290" s="3"/>
      <c r="G290" s="45"/>
    </row>
    <row r="291" spans="4:7" x14ac:dyDescent="0.25">
      <c r="D291" s="83" t="s">
        <v>213</v>
      </c>
      <c r="E291" s="260">
        <v>1</v>
      </c>
    </row>
    <row r="292" spans="4:7" ht="14.95" thickBot="1" x14ac:dyDescent="0.3">
      <c r="D292" s="86" t="s">
        <v>255</v>
      </c>
      <c r="E292" s="260">
        <v>1</v>
      </c>
    </row>
    <row r="293" spans="4:7" ht="14.95" thickBot="1" x14ac:dyDescent="0.3">
      <c r="D293" s="86" t="s">
        <v>160</v>
      </c>
      <c r="E293" s="261">
        <v>0.99969579865239788</v>
      </c>
    </row>
    <row r="306" spans="4:11" x14ac:dyDescent="0.25">
      <c r="D306" s="347" t="s">
        <v>276</v>
      </c>
      <c r="E306" s="347"/>
      <c r="F306" s="347"/>
      <c r="G306" s="347"/>
      <c r="H306" s="347"/>
      <c r="I306" s="347"/>
      <c r="J306" s="347"/>
      <c r="K306" s="347"/>
    </row>
    <row r="307" spans="4:11" ht="14.95" thickBot="1" x14ac:dyDescent="0.3">
      <c r="D307" s="262" t="s">
        <v>275</v>
      </c>
      <c r="E307" s="348" t="s">
        <v>277</v>
      </c>
      <c r="F307" s="348"/>
      <c r="G307" s="90" t="s">
        <v>243</v>
      </c>
      <c r="H307" s="91" t="s">
        <v>244</v>
      </c>
      <c r="I307" s="92" t="s">
        <v>245</v>
      </c>
      <c r="J307" s="93" t="s">
        <v>246</v>
      </c>
      <c r="K307" s="94" t="s">
        <v>247</v>
      </c>
    </row>
    <row r="308" spans="4:11" ht="14.95" thickBot="1" x14ac:dyDescent="0.3">
      <c r="D308" s="101" t="s">
        <v>210</v>
      </c>
      <c r="E308" s="349" t="s">
        <v>251</v>
      </c>
      <c r="F308" s="350"/>
      <c r="G308" s="96" t="str">
        <f>IF(I308&gt;=H308,"ATINGIDO","NÃO ATINGIDO")</f>
        <v>ATINGIDO</v>
      </c>
      <c r="H308" s="97">
        <v>0.98</v>
      </c>
      <c r="I308" s="98">
        <f>GETPIVOTDATA("DESEMPENHO  %",$D$281,"COLABORADOR","Marileuza")</f>
        <v>1</v>
      </c>
      <c r="J308" s="99">
        <f>I308-H308</f>
        <v>2.0000000000000018E-2</v>
      </c>
      <c r="K308" s="351">
        <f>AVERAGE(I308:I311)</f>
        <v>0.25</v>
      </c>
    </row>
    <row r="309" spans="4:11" ht="14.95" thickBot="1" x14ac:dyDescent="0.3">
      <c r="D309" s="101" t="s">
        <v>210</v>
      </c>
      <c r="E309" s="354" t="s">
        <v>248</v>
      </c>
      <c r="F309" s="355"/>
      <c r="G309" s="96" t="str">
        <f>IF(I309&gt;=H309,"ATINGIDO","NÃO ATINGIDO")</f>
        <v>NÃO ATINGIDO</v>
      </c>
      <c r="H309" s="98">
        <v>0.25</v>
      </c>
      <c r="I309" s="98">
        <f>F244</f>
        <v>0</v>
      </c>
      <c r="J309" s="99">
        <f t="shared" ref="J309:J343" si="0">I309-H309</f>
        <v>-0.25</v>
      </c>
      <c r="K309" s="352"/>
    </row>
    <row r="310" spans="4:11" ht="14.95" thickBot="1" x14ac:dyDescent="0.3">
      <c r="D310" s="101" t="s">
        <v>210</v>
      </c>
      <c r="E310" s="354" t="s">
        <v>249</v>
      </c>
      <c r="F310" s="355"/>
      <c r="G310" s="96" t="str">
        <f t="shared" ref="G310:G343" si="1">IF(I310&gt;=H310,"ATINGIDO","NÃO ATINGIDO")</f>
        <v>NÃO ATINGIDO</v>
      </c>
      <c r="H310" s="98">
        <v>0.25</v>
      </c>
      <c r="I310" s="98">
        <f>F264</f>
        <v>0</v>
      </c>
      <c r="J310" s="99">
        <f t="shared" si="0"/>
        <v>-0.25</v>
      </c>
      <c r="K310" s="352"/>
    </row>
    <row r="311" spans="4:11" ht="14.95" thickBot="1" x14ac:dyDescent="0.3">
      <c r="D311" s="101" t="s">
        <v>210</v>
      </c>
      <c r="E311" s="356" t="s">
        <v>250</v>
      </c>
      <c r="F311" s="357"/>
      <c r="G311" s="107" t="str">
        <f t="shared" si="1"/>
        <v>NÃO ATINGIDO</v>
      </c>
      <c r="H311" s="108">
        <v>1</v>
      </c>
      <c r="I311" s="108">
        <f>G294</f>
        <v>0</v>
      </c>
      <c r="J311" s="109">
        <f t="shared" si="0"/>
        <v>-1</v>
      </c>
      <c r="K311" s="353"/>
    </row>
    <row r="312" spans="4:11" ht="14.95" thickBot="1" x14ac:dyDescent="0.3">
      <c r="D312" s="111" t="s">
        <v>213</v>
      </c>
      <c r="E312" s="367" t="s">
        <v>251</v>
      </c>
      <c r="F312" s="368"/>
      <c r="G312" s="96" t="e">
        <f t="shared" si="1"/>
        <v>#REF!</v>
      </c>
      <c r="H312" s="114">
        <v>0.98</v>
      </c>
      <c r="I312" s="115" t="e">
        <f>GETPIVOTDATA("DESEMPENHO  %",$E$186,"COLABORADOR","WARLEY GABRIEL")</f>
        <v>#REF!</v>
      </c>
      <c r="J312" s="116" t="e">
        <f t="shared" si="0"/>
        <v>#REF!</v>
      </c>
      <c r="K312" s="369" t="e">
        <f>AVERAGE(I312:I315)</f>
        <v>#REF!</v>
      </c>
    </row>
    <row r="313" spans="4:11" ht="14.95" thickBot="1" x14ac:dyDescent="0.3">
      <c r="D313" s="111" t="s">
        <v>213</v>
      </c>
      <c r="E313" s="372" t="s">
        <v>248</v>
      </c>
      <c r="F313" s="373"/>
      <c r="G313" s="96" t="str">
        <f t="shared" si="1"/>
        <v>NÃO ATINGIDO</v>
      </c>
      <c r="H313" s="120">
        <v>0.25</v>
      </c>
      <c r="I313" s="120">
        <f>F239</f>
        <v>0</v>
      </c>
      <c r="J313" s="121">
        <f t="shared" si="0"/>
        <v>-0.25</v>
      </c>
      <c r="K313" s="370"/>
    </row>
    <row r="314" spans="4:11" ht="14.95" thickBot="1" x14ac:dyDescent="0.3">
      <c r="D314" s="111" t="s">
        <v>213</v>
      </c>
      <c r="E314" s="372" t="s">
        <v>249</v>
      </c>
      <c r="F314" s="373"/>
      <c r="G314" s="96" t="str">
        <f t="shared" si="1"/>
        <v>NÃO ATINGIDO</v>
      </c>
      <c r="H314" s="120">
        <v>0.25</v>
      </c>
      <c r="I314" s="120">
        <f>F268</f>
        <v>0</v>
      </c>
      <c r="J314" s="121">
        <f t="shared" si="0"/>
        <v>-0.25</v>
      </c>
      <c r="K314" s="370"/>
    </row>
    <row r="315" spans="4:11" ht="14.95" thickBot="1" x14ac:dyDescent="0.3">
      <c r="D315" s="111" t="s">
        <v>213</v>
      </c>
      <c r="E315" s="374" t="s">
        <v>250</v>
      </c>
      <c r="F315" s="375"/>
      <c r="G315" s="107" t="str">
        <f t="shared" si="1"/>
        <v>NÃO ATINGIDO</v>
      </c>
      <c r="H315" s="125">
        <v>1</v>
      </c>
      <c r="I315" s="126">
        <f>G295</f>
        <v>0</v>
      </c>
      <c r="J315" s="121">
        <f t="shared" si="0"/>
        <v>-1</v>
      </c>
      <c r="K315" s="371"/>
    </row>
    <row r="316" spans="4:11" ht="14.95" thickBot="1" x14ac:dyDescent="0.3">
      <c r="D316" s="128" t="s">
        <v>211</v>
      </c>
      <c r="E316" s="358" t="s">
        <v>251</v>
      </c>
      <c r="F316" s="359"/>
      <c r="G316" s="96" t="e">
        <f t="shared" si="1"/>
        <v>#REF!</v>
      </c>
      <c r="H316" s="131">
        <v>0.98</v>
      </c>
      <c r="I316" s="132" t="e">
        <f>GETPIVOTDATA("DESEMPENHO  %",$E$186,"COLABORADOR","JAILSON")</f>
        <v>#REF!</v>
      </c>
      <c r="J316" s="133" t="e">
        <f t="shared" si="0"/>
        <v>#REF!</v>
      </c>
      <c r="K316" s="360" t="e">
        <f>AVERAGE(I316:I319)</f>
        <v>#REF!</v>
      </c>
    </row>
    <row r="317" spans="4:11" ht="14.95" thickBot="1" x14ac:dyDescent="0.3">
      <c r="D317" s="135" t="s">
        <v>211</v>
      </c>
      <c r="E317" s="363" t="s">
        <v>248</v>
      </c>
      <c r="F317" s="364"/>
      <c r="G317" s="96" t="str">
        <f t="shared" si="1"/>
        <v>NÃO ATINGIDO</v>
      </c>
      <c r="H317" s="138">
        <v>0.25</v>
      </c>
      <c r="I317" s="138">
        <f>F245</f>
        <v>0</v>
      </c>
      <c r="J317" s="133">
        <f t="shared" si="0"/>
        <v>-0.25</v>
      </c>
      <c r="K317" s="361"/>
    </row>
    <row r="318" spans="4:11" ht="14.95" thickBot="1" x14ac:dyDescent="0.3">
      <c r="D318" s="135" t="s">
        <v>211</v>
      </c>
      <c r="E318" s="363" t="s">
        <v>249</v>
      </c>
      <c r="F318" s="364"/>
      <c r="G318" s="96" t="str">
        <f t="shared" si="1"/>
        <v>NÃO ATINGIDO</v>
      </c>
      <c r="H318" s="138">
        <v>0.25</v>
      </c>
      <c r="I318" s="138">
        <f>F262</f>
        <v>0</v>
      </c>
      <c r="J318" s="133">
        <f t="shared" si="0"/>
        <v>-0.25</v>
      </c>
      <c r="K318" s="361"/>
    </row>
    <row r="319" spans="4:11" ht="14.95" thickBot="1" x14ac:dyDescent="0.3">
      <c r="D319" s="140" t="s">
        <v>211</v>
      </c>
      <c r="E319" s="365" t="s">
        <v>250</v>
      </c>
      <c r="F319" s="366"/>
      <c r="G319" s="107" t="str">
        <f t="shared" si="1"/>
        <v>NÃO ATINGIDO</v>
      </c>
      <c r="H319" s="143">
        <v>1</v>
      </c>
      <c r="I319" s="143">
        <f>G292</f>
        <v>0</v>
      </c>
      <c r="J319" s="133">
        <f t="shared" si="0"/>
        <v>-1</v>
      </c>
      <c r="K319" s="362"/>
    </row>
    <row r="320" spans="4:11" ht="14.95" thickBot="1" x14ac:dyDescent="0.3">
      <c r="D320" s="145" t="s">
        <v>252</v>
      </c>
      <c r="E320" s="385" t="s">
        <v>251</v>
      </c>
      <c r="F320" s="386"/>
      <c r="G320" s="148" t="e">
        <f t="shared" si="1"/>
        <v>#REF!</v>
      </c>
      <c r="H320" s="149">
        <v>0.98</v>
      </c>
      <c r="I320" s="150" t="e">
        <f>GETPIVOTDATA("DESEMPENHO  %",$E$186,"COLABORADOR","PABLYNE SANTANA")</f>
        <v>#REF!</v>
      </c>
      <c r="J320" s="151" t="e">
        <f t="shared" si="0"/>
        <v>#REF!</v>
      </c>
      <c r="K320" s="387" t="e">
        <f>AVERAGE(I320:I323)</f>
        <v>#REF!</v>
      </c>
    </row>
    <row r="321" spans="4:11" ht="14.95" thickBot="1" x14ac:dyDescent="0.3">
      <c r="D321" s="145" t="s">
        <v>252</v>
      </c>
      <c r="E321" s="390" t="s">
        <v>248</v>
      </c>
      <c r="F321" s="391"/>
      <c r="G321" s="148" t="str">
        <f t="shared" si="1"/>
        <v>NÃO ATINGIDO</v>
      </c>
      <c r="H321" s="155">
        <v>0.25</v>
      </c>
      <c r="I321" s="155">
        <f>F237</f>
        <v>0</v>
      </c>
      <c r="J321" s="151">
        <f t="shared" si="0"/>
        <v>-0.25</v>
      </c>
      <c r="K321" s="388"/>
    </row>
    <row r="322" spans="4:11" ht="14.95" thickBot="1" x14ac:dyDescent="0.3">
      <c r="D322" s="145" t="s">
        <v>252</v>
      </c>
      <c r="E322" s="390" t="s">
        <v>249</v>
      </c>
      <c r="F322" s="391"/>
      <c r="G322" s="148" t="str">
        <f t="shared" si="1"/>
        <v>NÃO ATINGIDO</v>
      </c>
      <c r="H322" s="155">
        <v>0.25</v>
      </c>
      <c r="I322" s="155">
        <f>F270</f>
        <v>0</v>
      </c>
      <c r="J322" s="151">
        <f t="shared" si="0"/>
        <v>-0.25</v>
      </c>
      <c r="K322" s="388"/>
    </row>
    <row r="323" spans="4:11" ht="14.95" thickBot="1" x14ac:dyDescent="0.3">
      <c r="D323" s="157" t="s">
        <v>252</v>
      </c>
      <c r="E323" s="392" t="s">
        <v>250</v>
      </c>
      <c r="F323" s="393"/>
      <c r="G323" s="160" t="str">
        <f t="shared" si="1"/>
        <v>NÃO ATINGIDO</v>
      </c>
      <c r="H323" s="161">
        <v>1</v>
      </c>
      <c r="I323" s="161">
        <f>G290</f>
        <v>0</v>
      </c>
      <c r="J323" s="151">
        <f t="shared" si="0"/>
        <v>-1</v>
      </c>
      <c r="K323" s="389"/>
    </row>
    <row r="324" spans="4:11" ht="14.95" thickBot="1" x14ac:dyDescent="0.3">
      <c r="D324" s="163" t="s">
        <v>214</v>
      </c>
      <c r="E324" s="376" t="s">
        <v>251</v>
      </c>
      <c r="F324" s="377"/>
      <c r="G324" s="96" t="e">
        <f t="shared" si="1"/>
        <v>#REF!</v>
      </c>
      <c r="H324" s="166">
        <v>0.98</v>
      </c>
      <c r="I324" s="167" t="e">
        <f>GETPIVOTDATA("DESEMPENHO  %",$E$186,"COLABORADOR","IGOR")</f>
        <v>#REF!</v>
      </c>
      <c r="J324" s="168" t="e">
        <f t="shared" si="0"/>
        <v>#REF!</v>
      </c>
      <c r="K324" s="378" t="e">
        <f>AVERAGE(I324:I327)</f>
        <v>#REF!</v>
      </c>
    </row>
    <row r="325" spans="4:11" ht="14.95" thickBot="1" x14ac:dyDescent="0.3">
      <c r="D325" s="163" t="s">
        <v>214</v>
      </c>
      <c r="E325" s="381" t="s">
        <v>248</v>
      </c>
      <c r="F325" s="382"/>
      <c r="G325" s="96" t="str">
        <f t="shared" si="1"/>
        <v>NÃO ATINGIDO</v>
      </c>
      <c r="H325" s="172">
        <v>0.25</v>
      </c>
      <c r="I325" s="172">
        <f>F243</f>
        <v>0</v>
      </c>
      <c r="J325" s="168">
        <f t="shared" si="0"/>
        <v>-0.25</v>
      </c>
      <c r="K325" s="379"/>
    </row>
    <row r="326" spans="4:11" ht="14.95" thickBot="1" x14ac:dyDescent="0.3">
      <c r="D326" s="163" t="s">
        <v>214</v>
      </c>
      <c r="E326" s="381" t="s">
        <v>249</v>
      </c>
      <c r="F326" s="382"/>
      <c r="G326" s="96" t="str">
        <f t="shared" si="1"/>
        <v>NÃO ATINGIDO</v>
      </c>
      <c r="H326" s="172">
        <v>0.25</v>
      </c>
      <c r="I326" s="172">
        <f>F263</f>
        <v>0</v>
      </c>
      <c r="J326" s="168">
        <f t="shared" si="0"/>
        <v>-0.25</v>
      </c>
      <c r="K326" s="379"/>
    </row>
    <row r="327" spans="4:11" ht="14.95" thickBot="1" x14ac:dyDescent="0.3">
      <c r="D327" s="174" t="s">
        <v>214</v>
      </c>
      <c r="E327" s="383" t="s">
        <v>250</v>
      </c>
      <c r="F327" s="384"/>
      <c r="G327" s="107" t="str">
        <f t="shared" si="1"/>
        <v>NÃO ATINGIDO</v>
      </c>
      <c r="H327" s="177">
        <v>1</v>
      </c>
      <c r="I327" s="177">
        <f>G291</f>
        <v>0</v>
      </c>
      <c r="J327" s="168">
        <f t="shared" si="0"/>
        <v>-1</v>
      </c>
      <c r="K327" s="380"/>
    </row>
    <row r="328" spans="4:11" ht="14.95" thickBot="1" x14ac:dyDescent="0.3">
      <c r="D328" s="179" t="s">
        <v>212</v>
      </c>
      <c r="E328" s="403" t="s">
        <v>251</v>
      </c>
      <c r="F328" s="404"/>
      <c r="G328" s="96" t="e">
        <f t="shared" si="1"/>
        <v>#REF!</v>
      </c>
      <c r="H328" s="182">
        <v>0.98</v>
      </c>
      <c r="I328" s="183" t="e">
        <f>GETPIVOTDATA("DESEMPENHO  %",$E$186,"COLABORADOR","FERNANDO BORGES")</f>
        <v>#REF!</v>
      </c>
      <c r="J328" s="184" t="e">
        <f t="shared" si="0"/>
        <v>#REF!</v>
      </c>
      <c r="K328" s="405" t="e">
        <f>AVERAGE(I328:I331)</f>
        <v>#REF!</v>
      </c>
    </row>
    <row r="329" spans="4:11" ht="14.95" thickBot="1" x14ac:dyDescent="0.3">
      <c r="D329" s="179" t="s">
        <v>212</v>
      </c>
      <c r="E329" s="408" t="s">
        <v>248</v>
      </c>
      <c r="F329" s="409"/>
      <c r="G329" s="96" t="str">
        <f t="shared" si="1"/>
        <v>NÃO ATINGIDO</v>
      </c>
      <c r="H329" s="188">
        <v>0.25</v>
      </c>
      <c r="I329" s="188">
        <f>F241</f>
        <v>0</v>
      </c>
      <c r="J329" s="184">
        <f t="shared" si="0"/>
        <v>-0.25</v>
      </c>
      <c r="K329" s="406"/>
    </row>
    <row r="330" spans="4:11" ht="14.95" thickBot="1" x14ac:dyDescent="0.3">
      <c r="D330" s="179" t="s">
        <v>212</v>
      </c>
      <c r="E330" s="408" t="s">
        <v>249</v>
      </c>
      <c r="F330" s="409"/>
      <c r="G330" s="96" t="str">
        <f t="shared" si="1"/>
        <v>NÃO ATINGIDO</v>
      </c>
      <c r="H330" s="188">
        <v>0.25</v>
      </c>
      <c r="I330" s="188">
        <f>F265</f>
        <v>0</v>
      </c>
      <c r="J330" s="184">
        <f t="shared" si="0"/>
        <v>-0.25</v>
      </c>
      <c r="K330" s="406"/>
    </row>
    <row r="331" spans="4:11" ht="14.95" thickBot="1" x14ac:dyDescent="0.3">
      <c r="D331" s="190" t="s">
        <v>212</v>
      </c>
      <c r="E331" s="410" t="s">
        <v>250</v>
      </c>
      <c r="F331" s="411"/>
      <c r="G331" s="107" t="str">
        <f t="shared" si="1"/>
        <v>NÃO ATINGIDO</v>
      </c>
      <c r="H331" s="193">
        <v>1</v>
      </c>
      <c r="I331" s="193">
        <f>G293</f>
        <v>0</v>
      </c>
      <c r="J331" s="184">
        <f t="shared" si="0"/>
        <v>-1</v>
      </c>
      <c r="K331" s="407"/>
    </row>
    <row r="332" spans="4:11" ht="14.95" thickBot="1" x14ac:dyDescent="0.3">
      <c r="D332" s="195" t="s">
        <v>253</v>
      </c>
      <c r="E332" s="394" t="s">
        <v>251</v>
      </c>
      <c r="F332" s="395"/>
      <c r="G332" s="96" t="e">
        <f>IF(I332&gt;=H332,"ATINGIDO","NÃO ATINGIDO")</f>
        <v>#REF!</v>
      </c>
      <c r="H332" s="198">
        <v>0.98</v>
      </c>
      <c r="I332" s="199" t="e">
        <f>GETPIVOTDATA("DESEMPENHO  %",$E$186,"COLABORADOR","ARMANDO SANTOS")</f>
        <v>#REF!</v>
      </c>
      <c r="J332" s="200" t="e">
        <f t="shared" si="0"/>
        <v>#REF!</v>
      </c>
      <c r="K332" s="396" t="e">
        <f>AVERAGE(I332:I335)</f>
        <v>#REF!</v>
      </c>
    </row>
    <row r="333" spans="4:11" ht="14.95" thickBot="1" x14ac:dyDescent="0.3">
      <c r="D333" s="195" t="s">
        <v>253</v>
      </c>
      <c r="E333" s="399" t="s">
        <v>248</v>
      </c>
      <c r="F333" s="400"/>
      <c r="G333" s="96" t="str">
        <f t="shared" si="1"/>
        <v>NÃO ATINGIDO</v>
      </c>
      <c r="H333" s="204">
        <v>0.25</v>
      </c>
      <c r="I333" s="204">
        <f>F240</f>
        <v>0</v>
      </c>
      <c r="J333" s="200">
        <f t="shared" si="0"/>
        <v>-0.25</v>
      </c>
      <c r="K333" s="397"/>
    </row>
    <row r="334" spans="4:11" ht="14.95" thickBot="1" x14ac:dyDescent="0.3">
      <c r="D334" s="195" t="s">
        <v>253</v>
      </c>
      <c r="E334" s="399" t="s">
        <v>249</v>
      </c>
      <c r="F334" s="400"/>
      <c r="G334" s="96" t="str">
        <f t="shared" si="1"/>
        <v>NÃO ATINGIDO</v>
      </c>
      <c r="H334" s="204">
        <v>0.25</v>
      </c>
      <c r="I334" s="204">
        <f>F267</f>
        <v>0</v>
      </c>
      <c r="J334" s="200">
        <f t="shared" si="0"/>
        <v>-0.25</v>
      </c>
      <c r="K334" s="397"/>
    </row>
    <row r="335" spans="4:11" ht="14.95" thickBot="1" x14ac:dyDescent="0.3">
      <c r="D335" s="206" t="s">
        <v>253</v>
      </c>
      <c r="E335" s="401" t="s">
        <v>250</v>
      </c>
      <c r="F335" s="402"/>
      <c r="G335" s="107" t="str">
        <f t="shared" si="1"/>
        <v>NÃO ATINGIDO</v>
      </c>
      <c r="H335" s="209">
        <v>1</v>
      </c>
      <c r="I335" s="210">
        <f>G297</f>
        <v>0</v>
      </c>
      <c r="J335" s="200">
        <f t="shared" si="0"/>
        <v>-1</v>
      </c>
      <c r="K335" s="398"/>
    </row>
    <row r="336" spans="4:11" ht="14.95" thickBot="1" x14ac:dyDescent="0.3">
      <c r="D336" s="212" t="s">
        <v>215</v>
      </c>
      <c r="E336" s="421" t="s">
        <v>251</v>
      </c>
      <c r="F336" s="422"/>
      <c r="G336" s="96" t="e">
        <f t="shared" si="1"/>
        <v>#REF!</v>
      </c>
      <c r="H336" s="215">
        <v>0.98</v>
      </c>
      <c r="I336" s="216" t="e">
        <f>GETPIVOTDATA("DESEMPENHO  %",$E$186,"COLABORADOR","WILSON JUNIOR")</f>
        <v>#REF!</v>
      </c>
      <c r="J336" s="217" t="e">
        <f t="shared" si="0"/>
        <v>#REF!</v>
      </c>
      <c r="K336" s="423" t="e">
        <f>AVERAGE(I336:I339)</f>
        <v>#REF!</v>
      </c>
    </row>
    <row r="337" spans="4:11" ht="14.95" thickBot="1" x14ac:dyDescent="0.3">
      <c r="D337" s="212" t="s">
        <v>215</v>
      </c>
      <c r="E337" s="426" t="s">
        <v>248</v>
      </c>
      <c r="F337" s="427"/>
      <c r="G337" s="96" t="str">
        <f t="shared" si="1"/>
        <v>NÃO ATINGIDO</v>
      </c>
      <c r="H337" s="221">
        <v>0.25</v>
      </c>
      <c r="I337" s="221">
        <f>F238</f>
        <v>0</v>
      </c>
      <c r="J337" s="217">
        <f t="shared" si="0"/>
        <v>-0.25</v>
      </c>
      <c r="K337" s="424"/>
    </row>
    <row r="338" spans="4:11" ht="14.95" thickBot="1" x14ac:dyDescent="0.3">
      <c r="D338" s="212" t="s">
        <v>215</v>
      </c>
      <c r="E338" s="426" t="s">
        <v>249</v>
      </c>
      <c r="F338" s="427"/>
      <c r="G338" s="96" t="str">
        <f t="shared" si="1"/>
        <v>NÃO ATINGIDO</v>
      </c>
      <c r="H338" s="221">
        <v>0.25</v>
      </c>
      <c r="I338" s="221">
        <f>F270</f>
        <v>0</v>
      </c>
      <c r="J338" s="217">
        <f t="shared" si="0"/>
        <v>-0.25</v>
      </c>
      <c r="K338" s="424"/>
    </row>
    <row r="339" spans="4:11" ht="14.95" thickBot="1" x14ac:dyDescent="0.3">
      <c r="D339" s="223" t="s">
        <v>215</v>
      </c>
      <c r="E339" s="428" t="s">
        <v>250</v>
      </c>
      <c r="F339" s="429"/>
      <c r="G339" s="107" t="str">
        <f t="shared" si="1"/>
        <v>NÃO ATINGIDO</v>
      </c>
      <c r="H339" s="226">
        <v>1</v>
      </c>
      <c r="I339" s="227">
        <f>G298</f>
        <v>0</v>
      </c>
      <c r="J339" s="217">
        <f t="shared" si="0"/>
        <v>-1</v>
      </c>
      <c r="K339" s="425"/>
    </row>
    <row r="340" spans="4:11" ht="14.95" thickBot="1" x14ac:dyDescent="0.3">
      <c r="D340" s="229" t="s">
        <v>254</v>
      </c>
      <c r="E340" s="412" t="s">
        <v>251</v>
      </c>
      <c r="F340" s="413"/>
      <c r="G340" s="96" t="e">
        <f t="shared" si="1"/>
        <v>#REF!</v>
      </c>
      <c r="H340" s="232">
        <v>0.98</v>
      </c>
      <c r="I340" s="233" t="e">
        <f>GETPIVOTDATA("DESEMPENHO  %",$E$186,"COLABORADOR","RONALDO JOSE")</f>
        <v>#REF!</v>
      </c>
      <c r="J340" s="234" t="e">
        <f t="shared" si="0"/>
        <v>#REF!</v>
      </c>
      <c r="K340" s="414" t="e">
        <f>AVERAGE(I340:I343)</f>
        <v>#REF!</v>
      </c>
    </row>
    <row r="341" spans="4:11" ht="14.95" thickBot="1" x14ac:dyDescent="0.3">
      <c r="D341" s="229" t="s">
        <v>254</v>
      </c>
      <c r="E341" s="417" t="s">
        <v>248</v>
      </c>
      <c r="F341" s="418"/>
      <c r="G341" s="96" t="str">
        <f t="shared" si="1"/>
        <v>NÃO ATINGIDO</v>
      </c>
      <c r="H341" s="238">
        <v>0.25</v>
      </c>
      <c r="I341" s="238">
        <f>F242</f>
        <v>0</v>
      </c>
      <c r="J341" s="234">
        <f t="shared" si="0"/>
        <v>-0.25</v>
      </c>
      <c r="K341" s="415"/>
    </row>
    <row r="342" spans="4:11" ht="14.95" thickBot="1" x14ac:dyDescent="0.3">
      <c r="D342" s="229" t="s">
        <v>254</v>
      </c>
      <c r="E342" s="417" t="s">
        <v>249</v>
      </c>
      <c r="F342" s="418"/>
      <c r="G342" s="96" t="str">
        <f t="shared" si="1"/>
        <v>NÃO ATINGIDO</v>
      </c>
      <c r="H342" s="238">
        <v>0.25</v>
      </c>
      <c r="I342" s="238">
        <f>F266</f>
        <v>0</v>
      </c>
      <c r="J342" s="234">
        <f t="shared" si="0"/>
        <v>-0.25</v>
      </c>
      <c r="K342" s="415"/>
    </row>
    <row r="343" spans="4:11" ht="14.95" thickBot="1" x14ac:dyDescent="0.3">
      <c r="D343" s="240" t="s">
        <v>254</v>
      </c>
      <c r="E343" s="419" t="s">
        <v>250</v>
      </c>
      <c r="F343" s="420"/>
      <c r="G343" s="107" t="str">
        <f t="shared" si="1"/>
        <v>NÃO ATINGIDO</v>
      </c>
      <c r="H343" s="243">
        <v>1</v>
      </c>
      <c r="I343" s="243">
        <f>G296</f>
        <v>0</v>
      </c>
      <c r="J343" s="234">
        <f t="shared" si="0"/>
        <v>-1</v>
      </c>
      <c r="K343" s="416"/>
    </row>
  </sheetData>
  <mergeCells count="55">
    <mergeCell ref="E336:F336"/>
    <mergeCell ref="K336:K339"/>
    <mergeCell ref="E337:F337"/>
    <mergeCell ref="E338:F338"/>
    <mergeCell ref="E339:F339"/>
    <mergeCell ref="E340:F340"/>
    <mergeCell ref="K340:K343"/>
    <mergeCell ref="E341:F341"/>
    <mergeCell ref="E342:F342"/>
    <mergeCell ref="E343:F343"/>
    <mergeCell ref="E328:F328"/>
    <mergeCell ref="K328:K331"/>
    <mergeCell ref="E329:F329"/>
    <mergeCell ref="E330:F330"/>
    <mergeCell ref="E331:F331"/>
    <mergeCell ref="E332:F332"/>
    <mergeCell ref="K332:K335"/>
    <mergeCell ref="E333:F333"/>
    <mergeCell ref="E334:F334"/>
    <mergeCell ref="E335:F335"/>
    <mergeCell ref="E320:F320"/>
    <mergeCell ref="K320:K323"/>
    <mergeCell ref="E321:F321"/>
    <mergeCell ref="E322:F322"/>
    <mergeCell ref="E323:F323"/>
    <mergeCell ref="E324:F324"/>
    <mergeCell ref="K324:K327"/>
    <mergeCell ref="E325:F325"/>
    <mergeCell ref="E326:F326"/>
    <mergeCell ref="E327:F327"/>
    <mergeCell ref="E312:F312"/>
    <mergeCell ref="K312:K315"/>
    <mergeCell ref="E313:F313"/>
    <mergeCell ref="E314:F314"/>
    <mergeCell ref="E315:F315"/>
    <mergeCell ref="E316:F316"/>
    <mergeCell ref="K316:K319"/>
    <mergeCell ref="E317:F317"/>
    <mergeCell ref="E318:F318"/>
    <mergeCell ref="E319:F319"/>
    <mergeCell ref="D243:G244"/>
    <mergeCell ref="D272:G273"/>
    <mergeCell ref="D306:K306"/>
    <mergeCell ref="E307:F307"/>
    <mergeCell ref="E308:F308"/>
    <mergeCell ref="K308:K311"/>
    <mergeCell ref="E309:F309"/>
    <mergeCell ref="E310:F310"/>
    <mergeCell ref="E311:F311"/>
    <mergeCell ref="D211:G213"/>
    <mergeCell ref="C43:D43"/>
    <mergeCell ref="C44:D44"/>
    <mergeCell ref="D81:E81"/>
    <mergeCell ref="D82:E82"/>
    <mergeCell ref="D183:G184"/>
  </mergeCells>
  <conditionalFormatting sqref="G308:G343">
    <cfRule type="containsText" dxfId="13" priority="1" operator="containsText" text="NÃO">
      <formula>NOT(ISERROR(SEARCH("NÃO",G308)))</formula>
    </cfRule>
    <cfRule type="containsText" dxfId="12" priority="2" operator="containsText" text="ATINGIDO">
      <formula>NOT(ISERROR(SEARCH("ATINGIDO",G308)))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0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E81D-5CD6-49D6-B0FA-34737ADEB4F9}">
  <sheetPr>
    <pageSetUpPr autoPageBreaks="0"/>
  </sheetPr>
  <dimension ref="A1"/>
  <sheetViews>
    <sheetView showGridLines="0" zoomScale="70" zoomScaleNormal="70" workbookViewId="0"/>
  </sheetViews>
  <sheetFormatPr defaultRowHeight="14.3" x14ac:dyDescent="0.25"/>
  <cols>
    <col min="2" max="2" width="23.125" bestFit="1" customWidth="1"/>
  </cols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5F4E-9A76-43D1-94F2-E45D35CD58F5}">
  <dimension ref="A1:N297"/>
  <sheetViews>
    <sheetView showGridLines="0" topLeftCell="F76" zoomScale="90" zoomScaleNormal="90" workbookViewId="0">
      <selection activeCell="K9" sqref="K9"/>
    </sheetView>
  </sheetViews>
  <sheetFormatPr defaultRowHeight="14.3" x14ac:dyDescent="0.25"/>
  <cols>
    <col min="1" max="1" width="45.875" bestFit="1" customWidth="1"/>
    <col min="2" max="2" width="18.625" bestFit="1" customWidth="1"/>
    <col min="3" max="3" width="43" bestFit="1" customWidth="1"/>
    <col min="4" max="4" width="38.25" style="7" bestFit="1" customWidth="1"/>
    <col min="5" max="5" width="43" bestFit="1" customWidth="1"/>
    <col min="6" max="6" width="32.375" bestFit="1" customWidth="1"/>
    <col min="9" max="10" width="18.125" bestFit="1" customWidth="1"/>
    <col min="11" max="11" width="32.375" bestFit="1" customWidth="1"/>
    <col min="12" max="12" width="18.125" bestFit="1" customWidth="1"/>
    <col min="13" max="13" width="26.75" style="18" bestFit="1" customWidth="1"/>
    <col min="14" max="14" width="7.125" bestFit="1" customWidth="1"/>
    <col min="15" max="21" width="4.875" bestFit="1" customWidth="1"/>
    <col min="22" max="22" width="5.875" bestFit="1" customWidth="1"/>
    <col min="23" max="23" width="4.875" bestFit="1" customWidth="1"/>
    <col min="24" max="24" width="5.875" bestFit="1" customWidth="1"/>
    <col min="25" max="188" width="4.875" bestFit="1" customWidth="1"/>
    <col min="189" max="189" width="5.875" bestFit="1" customWidth="1"/>
    <col min="190" max="223" width="4.875" bestFit="1" customWidth="1"/>
    <col min="224" max="224" width="9.375" bestFit="1" customWidth="1"/>
  </cols>
  <sheetData>
    <row r="1" spans="1:14" x14ac:dyDescent="0.25">
      <c r="A1" s="19" t="s">
        <v>133</v>
      </c>
      <c r="B1" t="s">
        <v>134</v>
      </c>
      <c r="C1">
        <f>GETPIVOTDATA("VOLUMES",$A$1)</f>
        <v>3879</v>
      </c>
      <c r="E1" s="19" t="s">
        <v>133</v>
      </c>
      <c r="F1" t="s">
        <v>135</v>
      </c>
      <c r="G1">
        <f>GETPIVOTDATA("N° PEDIDO COMPRA",$E$1)</f>
        <v>207</v>
      </c>
      <c r="I1" s="19" t="s">
        <v>133</v>
      </c>
      <c r="J1" t="s">
        <v>136</v>
      </c>
      <c r="K1" s="8">
        <f>GETPIVOTDATA("% SLA CONFORMIDADES",$I$1)</f>
        <v>0.96135265700483097</v>
      </c>
      <c r="L1" s="19" t="s">
        <v>133</v>
      </c>
      <c r="M1" t="s">
        <v>137</v>
      </c>
      <c r="N1" s="8">
        <f>GETPIVOTDATA("ACURA.CONF",$L$1)</f>
        <v>0.98067632850241548</v>
      </c>
    </row>
    <row r="2" spans="1:14" x14ac:dyDescent="0.25">
      <c r="A2" s="9">
        <v>46055</v>
      </c>
      <c r="B2">
        <v>39</v>
      </c>
      <c r="E2" s="10" t="s">
        <v>138</v>
      </c>
      <c r="F2">
        <v>1</v>
      </c>
      <c r="I2" s="9">
        <v>46055</v>
      </c>
      <c r="J2" s="11">
        <v>1</v>
      </c>
      <c r="L2" s="9">
        <v>46055</v>
      </c>
      <c r="M2" s="11">
        <v>1</v>
      </c>
    </row>
    <row r="3" spans="1:14" x14ac:dyDescent="0.25">
      <c r="A3" s="9">
        <v>46056</v>
      </c>
      <c r="B3">
        <v>322</v>
      </c>
      <c r="E3" s="10" t="s">
        <v>139</v>
      </c>
      <c r="F3">
        <v>1</v>
      </c>
      <c r="I3" s="9">
        <v>46056</v>
      </c>
      <c r="J3" s="11">
        <v>0.92307692307692313</v>
      </c>
      <c r="L3" s="9">
        <v>46056</v>
      </c>
      <c r="M3" s="11">
        <v>0.84615384615384615</v>
      </c>
    </row>
    <row r="4" spans="1:14" x14ac:dyDescent="0.25">
      <c r="A4" s="9">
        <v>46057</v>
      </c>
      <c r="B4">
        <v>56</v>
      </c>
      <c r="E4" s="10" t="s">
        <v>140</v>
      </c>
      <c r="F4">
        <v>1</v>
      </c>
      <c r="I4" s="9">
        <v>46057</v>
      </c>
      <c r="J4" s="11">
        <v>0.83333333333333337</v>
      </c>
      <c r="L4" s="9">
        <v>46057</v>
      </c>
      <c r="M4" s="11">
        <v>1</v>
      </c>
    </row>
    <row r="5" spans="1:14" x14ac:dyDescent="0.25">
      <c r="A5" s="9">
        <v>46058</v>
      </c>
      <c r="B5">
        <v>299</v>
      </c>
      <c r="E5" s="10" t="s">
        <v>141</v>
      </c>
      <c r="F5">
        <v>1</v>
      </c>
      <c r="I5" s="9">
        <v>46058</v>
      </c>
      <c r="J5" s="11">
        <v>1</v>
      </c>
      <c r="L5" s="9">
        <v>46058</v>
      </c>
      <c r="M5" s="11">
        <v>1</v>
      </c>
    </row>
    <row r="6" spans="1:14" x14ac:dyDescent="0.25">
      <c r="A6" s="9">
        <v>46059</v>
      </c>
      <c r="B6">
        <v>112</v>
      </c>
      <c r="E6" s="10" t="s">
        <v>142</v>
      </c>
      <c r="F6">
        <v>1</v>
      </c>
      <c r="I6" s="9">
        <v>46059</v>
      </c>
      <c r="J6" s="11">
        <v>0.91666666666666663</v>
      </c>
      <c r="L6" s="9">
        <v>46059</v>
      </c>
      <c r="M6" s="11">
        <v>1</v>
      </c>
    </row>
    <row r="7" spans="1:14" x14ac:dyDescent="0.25">
      <c r="A7" s="9">
        <v>46062</v>
      </c>
      <c r="B7">
        <v>176</v>
      </c>
      <c r="E7" s="10" t="s">
        <v>143</v>
      </c>
      <c r="F7">
        <v>1</v>
      </c>
      <c r="I7" s="9">
        <v>46062</v>
      </c>
      <c r="J7" s="11">
        <v>1</v>
      </c>
      <c r="L7" s="9">
        <v>46062</v>
      </c>
      <c r="M7" s="11">
        <v>1</v>
      </c>
    </row>
    <row r="8" spans="1:14" x14ac:dyDescent="0.25">
      <c r="A8" s="9">
        <v>46063</v>
      </c>
      <c r="B8">
        <v>36</v>
      </c>
      <c r="E8" s="10" t="s">
        <v>144</v>
      </c>
      <c r="F8">
        <v>1</v>
      </c>
      <c r="I8" s="9">
        <v>46063</v>
      </c>
      <c r="J8" s="11">
        <v>1</v>
      </c>
      <c r="L8" s="9">
        <v>46063</v>
      </c>
      <c r="M8" s="11">
        <v>1</v>
      </c>
    </row>
    <row r="9" spans="1:14" x14ac:dyDescent="0.25">
      <c r="A9" s="9">
        <v>46064</v>
      </c>
      <c r="B9">
        <v>407</v>
      </c>
      <c r="E9" s="10" t="s">
        <v>145</v>
      </c>
      <c r="F9">
        <v>1</v>
      </c>
      <c r="I9" s="9">
        <v>46064</v>
      </c>
      <c r="J9" s="11">
        <v>1</v>
      </c>
      <c r="L9" s="9">
        <v>46064</v>
      </c>
      <c r="M9" s="11">
        <v>1</v>
      </c>
    </row>
    <row r="10" spans="1:14" x14ac:dyDescent="0.25">
      <c r="A10" s="9">
        <v>46065</v>
      </c>
      <c r="B10">
        <v>153</v>
      </c>
      <c r="E10" s="10" t="s">
        <v>146</v>
      </c>
      <c r="F10">
        <v>1</v>
      </c>
      <c r="I10" s="9">
        <v>46065</v>
      </c>
      <c r="J10" s="11">
        <v>1</v>
      </c>
      <c r="L10" s="9">
        <v>46065</v>
      </c>
      <c r="M10" s="11">
        <v>1</v>
      </c>
    </row>
    <row r="11" spans="1:14" x14ac:dyDescent="0.25">
      <c r="A11" s="9">
        <v>46066</v>
      </c>
      <c r="B11">
        <v>309</v>
      </c>
      <c r="E11" s="10" t="s">
        <v>147</v>
      </c>
      <c r="F11">
        <v>1</v>
      </c>
      <c r="I11" s="9">
        <v>46066</v>
      </c>
      <c r="J11" s="11">
        <v>0.92307692307692313</v>
      </c>
      <c r="L11" s="9">
        <v>46066</v>
      </c>
      <c r="M11" s="11">
        <v>1</v>
      </c>
    </row>
    <row r="12" spans="1:14" x14ac:dyDescent="0.25">
      <c r="A12" s="9">
        <v>46067</v>
      </c>
      <c r="B12">
        <v>44</v>
      </c>
      <c r="E12" s="10" t="s">
        <v>148</v>
      </c>
      <c r="F12">
        <v>1</v>
      </c>
      <c r="I12" s="9">
        <v>46067</v>
      </c>
      <c r="J12" s="11">
        <v>1</v>
      </c>
      <c r="L12" s="9">
        <v>46067</v>
      </c>
      <c r="M12" s="11">
        <v>1</v>
      </c>
    </row>
    <row r="13" spans="1:14" x14ac:dyDescent="0.25">
      <c r="A13" s="9">
        <v>46069</v>
      </c>
      <c r="B13">
        <v>49</v>
      </c>
      <c r="E13" s="10" t="s">
        <v>149</v>
      </c>
      <c r="F13">
        <v>1</v>
      </c>
      <c r="I13" s="9">
        <v>46069</v>
      </c>
      <c r="J13" s="11">
        <v>1</v>
      </c>
      <c r="L13" s="9">
        <v>46069</v>
      </c>
      <c r="M13" s="11">
        <v>1</v>
      </c>
    </row>
    <row r="14" spans="1:14" x14ac:dyDescent="0.25">
      <c r="A14" s="9">
        <v>46071</v>
      </c>
      <c r="B14">
        <v>120</v>
      </c>
      <c r="E14" s="10" t="s">
        <v>150</v>
      </c>
      <c r="F14">
        <v>1</v>
      </c>
      <c r="I14" s="9">
        <v>46071</v>
      </c>
      <c r="J14" s="11">
        <v>1</v>
      </c>
      <c r="L14" s="9">
        <v>46071</v>
      </c>
      <c r="M14" s="11">
        <v>1</v>
      </c>
    </row>
    <row r="15" spans="1:14" x14ac:dyDescent="0.25">
      <c r="A15" s="9">
        <v>46072</v>
      </c>
      <c r="B15">
        <v>106</v>
      </c>
      <c r="E15" s="10" t="s">
        <v>151</v>
      </c>
      <c r="F15">
        <v>1</v>
      </c>
      <c r="I15" s="9">
        <v>46072</v>
      </c>
      <c r="J15" s="11">
        <v>1</v>
      </c>
      <c r="L15" s="9">
        <v>46072</v>
      </c>
      <c r="M15" s="11">
        <v>1</v>
      </c>
    </row>
    <row r="16" spans="1:14" x14ac:dyDescent="0.25">
      <c r="A16" s="9">
        <v>46073</v>
      </c>
      <c r="B16">
        <v>111</v>
      </c>
      <c r="E16" s="10" t="s">
        <v>152</v>
      </c>
      <c r="F16">
        <v>1</v>
      </c>
      <c r="I16" s="9">
        <v>46073</v>
      </c>
      <c r="J16" s="11">
        <v>1</v>
      </c>
      <c r="L16" s="9">
        <v>46073</v>
      </c>
      <c r="M16" s="11">
        <v>1</v>
      </c>
    </row>
    <row r="17" spans="1:13" x14ac:dyDescent="0.25">
      <c r="A17" s="9">
        <v>46074</v>
      </c>
      <c r="B17">
        <v>114</v>
      </c>
      <c r="E17" s="10" t="s">
        <v>153</v>
      </c>
      <c r="F17">
        <v>1</v>
      </c>
      <c r="I17" s="9">
        <v>46074</v>
      </c>
      <c r="J17" s="11">
        <v>1</v>
      </c>
      <c r="L17" s="9">
        <v>46074</v>
      </c>
      <c r="M17" s="11">
        <v>1</v>
      </c>
    </row>
    <row r="18" spans="1:13" x14ac:dyDescent="0.25">
      <c r="A18" s="9">
        <v>46076</v>
      </c>
      <c r="B18">
        <v>77</v>
      </c>
      <c r="E18" s="10" t="s">
        <v>154</v>
      </c>
      <c r="F18">
        <v>1</v>
      </c>
      <c r="I18" s="9">
        <v>46076</v>
      </c>
      <c r="J18" s="11">
        <v>1</v>
      </c>
      <c r="L18" s="9">
        <v>46076</v>
      </c>
      <c r="M18" s="11">
        <v>1</v>
      </c>
    </row>
    <row r="19" spans="1:13" x14ac:dyDescent="0.25">
      <c r="A19" s="9">
        <v>46077</v>
      </c>
      <c r="B19">
        <v>125</v>
      </c>
      <c r="E19" s="10" t="s">
        <v>155</v>
      </c>
      <c r="F19">
        <v>1</v>
      </c>
      <c r="I19" s="9">
        <v>46077</v>
      </c>
      <c r="J19" s="11">
        <v>0.75</v>
      </c>
      <c r="L19" s="9">
        <v>46077</v>
      </c>
      <c r="M19" s="11">
        <v>0.875</v>
      </c>
    </row>
    <row r="20" spans="1:13" x14ac:dyDescent="0.25">
      <c r="A20" s="9">
        <v>46078</v>
      </c>
      <c r="B20">
        <v>85</v>
      </c>
      <c r="E20" s="10" t="s">
        <v>156</v>
      </c>
      <c r="F20">
        <v>1</v>
      </c>
      <c r="I20" s="9">
        <v>46078</v>
      </c>
      <c r="J20" s="11">
        <v>1</v>
      </c>
      <c r="L20" s="9">
        <v>46078</v>
      </c>
      <c r="M20" s="11">
        <v>1</v>
      </c>
    </row>
    <row r="21" spans="1:13" x14ac:dyDescent="0.25">
      <c r="A21" s="9">
        <v>46079</v>
      </c>
      <c r="B21">
        <v>512</v>
      </c>
      <c r="E21" s="10" t="s">
        <v>157</v>
      </c>
      <c r="F21">
        <v>2</v>
      </c>
      <c r="I21" s="9">
        <v>46079</v>
      </c>
      <c r="J21" s="11">
        <v>0.9</v>
      </c>
      <c r="L21" s="9">
        <v>46079</v>
      </c>
      <c r="M21" s="11">
        <v>0.9</v>
      </c>
    </row>
    <row r="22" spans="1:13" x14ac:dyDescent="0.25">
      <c r="A22" s="9">
        <v>46080</v>
      </c>
      <c r="B22">
        <v>597</v>
      </c>
      <c r="E22" s="10" t="s">
        <v>158</v>
      </c>
      <c r="F22">
        <v>2</v>
      </c>
      <c r="I22" s="9">
        <v>46080</v>
      </c>
      <c r="J22" s="11">
        <v>0.92307692307692313</v>
      </c>
      <c r="L22" s="9">
        <v>46080</v>
      </c>
      <c r="M22" s="11">
        <v>1</v>
      </c>
    </row>
    <row r="23" spans="1:13" x14ac:dyDescent="0.25">
      <c r="A23" s="9">
        <v>46081</v>
      </c>
      <c r="B23">
        <v>30</v>
      </c>
      <c r="E23" s="10" t="s">
        <v>159</v>
      </c>
      <c r="F23">
        <v>2</v>
      </c>
      <c r="I23" s="9">
        <v>46081</v>
      </c>
      <c r="J23" s="11">
        <v>1</v>
      </c>
      <c r="L23" s="9">
        <v>46081</v>
      </c>
      <c r="M23" s="11">
        <v>1</v>
      </c>
    </row>
    <row r="24" spans="1:13" x14ac:dyDescent="0.25">
      <c r="A24" s="9" t="s">
        <v>160</v>
      </c>
      <c r="B24">
        <v>3879</v>
      </c>
      <c r="E24" s="10" t="s">
        <v>161</v>
      </c>
      <c r="F24">
        <v>2</v>
      </c>
      <c r="I24" s="9" t="s">
        <v>160</v>
      </c>
      <c r="J24" s="5">
        <v>0.96135265700483097</v>
      </c>
      <c r="L24" s="10" t="s">
        <v>160</v>
      </c>
      <c r="M24" s="5">
        <v>0.98067632850241548</v>
      </c>
    </row>
    <row r="25" spans="1:13" x14ac:dyDescent="0.25">
      <c r="E25" s="10" t="s">
        <v>162</v>
      </c>
      <c r="F25">
        <v>2</v>
      </c>
      <c r="M25"/>
    </row>
    <row r="26" spans="1:13" x14ac:dyDescent="0.25">
      <c r="E26" s="10" t="s">
        <v>163</v>
      </c>
      <c r="F26">
        <v>2</v>
      </c>
      <c r="M26"/>
    </row>
    <row r="27" spans="1:13" x14ac:dyDescent="0.25">
      <c r="E27" s="10" t="s">
        <v>164</v>
      </c>
      <c r="F27">
        <v>2</v>
      </c>
      <c r="M27"/>
    </row>
    <row r="28" spans="1:13" x14ac:dyDescent="0.25">
      <c r="E28" s="10" t="s">
        <v>165</v>
      </c>
      <c r="F28">
        <v>3</v>
      </c>
      <c r="M28"/>
    </row>
    <row r="29" spans="1:13" x14ac:dyDescent="0.25">
      <c r="E29" s="10" t="s">
        <v>166</v>
      </c>
      <c r="F29">
        <v>3</v>
      </c>
      <c r="M29"/>
    </row>
    <row r="30" spans="1:13" x14ac:dyDescent="0.25">
      <c r="E30" s="10" t="s">
        <v>167</v>
      </c>
      <c r="F30">
        <v>3</v>
      </c>
      <c r="M30"/>
    </row>
    <row r="31" spans="1:13" x14ac:dyDescent="0.25">
      <c r="E31" s="10" t="s">
        <v>168</v>
      </c>
      <c r="F31">
        <v>3</v>
      </c>
      <c r="M31"/>
    </row>
    <row r="32" spans="1:13" x14ac:dyDescent="0.25">
      <c r="E32" s="10" t="s">
        <v>169</v>
      </c>
      <c r="F32">
        <v>4</v>
      </c>
      <c r="M32"/>
    </row>
    <row r="33" spans="5:13" x14ac:dyDescent="0.25">
      <c r="E33" s="10" t="s">
        <v>170</v>
      </c>
      <c r="F33">
        <v>4</v>
      </c>
      <c r="M33"/>
    </row>
    <row r="34" spans="5:13" x14ac:dyDescent="0.25">
      <c r="E34" s="10" t="s">
        <v>171</v>
      </c>
      <c r="F34">
        <v>4</v>
      </c>
      <c r="M34"/>
    </row>
    <row r="35" spans="5:13" x14ac:dyDescent="0.25">
      <c r="E35" s="10" t="s">
        <v>172</v>
      </c>
      <c r="F35">
        <v>4</v>
      </c>
      <c r="M35"/>
    </row>
    <row r="36" spans="5:13" x14ac:dyDescent="0.25">
      <c r="E36" s="10" t="s">
        <v>173</v>
      </c>
      <c r="F36">
        <v>4</v>
      </c>
      <c r="M36"/>
    </row>
    <row r="37" spans="5:13" x14ac:dyDescent="0.25">
      <c r="E37" s="10" t="s">
        <v>174</v>
      </c>
      <c r="F37">
        <v>4</v>
      </c>
      <c r="M37"/>
    </row>
    <row r="38" spans="5:13" x14ac:dyDescent="0.25">
      <c r="E38" s="10" t="s">
        <v>175</v>
      </c>
      <c r="F38">
        <v>5</v>
      </c>
      <c r="M38"/>
    </row>
    <row r="39" spans="5:13" x14ac:dyDescent="0.25">
      <c r="E39" s="10" t="s">
        <v>176</v>
      </c>
      <c r="F39">
        <v>5</v>
      </c>
      <c r="M39"/>
    </row>
    <row r="40" spans="5:13" x14ac:dyDescent="0.25">
      <c r="E40" s="10" t="s">
        <v>177</v>
      </c>
      <c r="F40">
        <v>5</v>
      </c>
      <c r="M40"/>
    </row>
    <row r="41" spans="5:13" x14ac:dyDescent="0.25">
      <c r="E41" s="10" t="s">
        <v>178</v>
      </c>
      <c r="F41">
        <v>5</v>
      </c>
      <c r="M41"/>
    </row>
    <row r="42" spans="5:13" x14ac:dyDescent="0.25">
      <c r="E42" s="10" t="s">
        <v>179</v>
      </c>
      <c r="F42">
        <v>5</v>
      </c>
      <c r="M42"/>
    </row>
    <row r="43" spans="5:13" x14ac:dyDescent="0.25">
      <c r="E43" s="10" t="s">
        <v>180</v>
      </c>
      <c r="F43">
        <v>6</v>
      </c>
      <c r="M43"/>
    </row>
    <row r="44" spans="5:13" x14ac:dyDescent="0.25">
      <c r="E44" s="10" t="s">
        <v>181</v>
      </c>
      <c r="F44">
        <v>6</v>
      </c>
      <c r="M44"/>
    </row>
    <row r="45" spans="5:13" x14ac:dyDescent="0.25">
      <c r="E45" s="10" t="s">
        <v>182</v>
      </c>
      <c r="F45">
        <v>7</v>
      </c>
      <c r="M45"/>
    </row>
    <row r="46" spans="5:13" x14ac:dyDescent="0.25">
      <c r="E46" s="10" t="s">
        <v>183</v>
      </c>
      <c r="F46">
        <v>9</v>
      </c>
      <c r="M46"/>
    </row>
    <row r="47" spans="5:13" x14ac:dyDescent="0.25">
      <c r="E47" s="10" t="s">
        <v>184</v>
      </c>
      <c r="F47">
        <v>11</v>
      </c>
      <c r="M47"/>
    </row>
    <row r="48" spans="5:13" x14ac:dyDescent="0.25">
      <c r="E48" s="10" t="s">
        <v>185</v>
      </c>
      <c r="F48">
        <v>11</v>
      </c>
      <c r="M48"/>
    </row>
    <row r="49" spans="5:13" x14ac:dyDescent="0.25">
      <c r="E49" s="10" t="s">
        <v>186</v>
      </c>
      <c r="F49">
        <v>12</v>
      </c>
      <c r="M49"/>
    </row>
    <row r="50" spans="5:13" x14ac:dyDescent="0.25">
      <c r="E50" s="10" t="s">
        <v>187</v>
      </c>
      <c r="F50">
        <v>16</v>
      </c>
      <c r="M50"/>
    </row>
    <row r="51" spans="5:13" x14ac:dyDescent="0.25">
      <c r="E51" s="10" t="s">
        <v>188</v>
      </c>
      <c r="F51">
        <v>17</v>
      </c>
      <c r="M51"/>
    </row>
    <row r="52" spans="5:13" x14ac:dyDescent="0.25">
      <c r="E52" s="10" t="s">
        <v>189</v>
      </c>
      <c r="F52">
        <v>18</v>
      </c>
      <c r="M52"/>
    </row>
    <row r="53" spans="5:13" x14ac:dyDescent="0.25">
      <c r="E53" s="10" t="s">
        <v>160</v>
      </c>
      <c r="F53">
        <v>207</v>
      </c>
      <c r="M53"/>
    </row>
    <row r="54" spans="5:13" x14ac:dyDescent="0.25">
      <c r="M54"/>
    </row>
    <row r="55" spans="5:13" x14ac:dyDescent="0.25">
      <c r="M55"/>
    </row>
    <row r="56" spans="5:13" x14ac:dyDescent="0.25">
      <c r="M56"/>
    </row>
    <row r="57" spans="5:13" x14ac:dyDescent="0.25">
      <c r="M57"/>
    </row>
    <row r="58" spans="5:13" x14ac:dyDescent="0.25">
      <c r="M58"/>
    </row>
    <row r="59" spans="5:13" x14ac:dyDescent="0.25">
      <c r="M59"/>
    </row>
    <row r="60" spans="5:13" x14ac:dyDescent="0.25">
      <c r="M60"/>
    </row>
    <row r="61" spans="5:13" x14ac:dyDescent="0.25">
      <c r="M61"/>
    </row>
    <row r="62" spans="5:13" x14ac:dyDescent="0.25">
      <c r="M62"/>
    </row>
    <row r="63" spans="5:13" x14ac:dyDescent="0.25">
      <c r="M63"/>
    </row>
    <row r="64" spans="5:13" x14ac:dyDescent="0.25">
      <c r="M64"/>
    </row>
    <row r="65" spans="13:13" x14ac:dyDescent="0.25">
      <c r="M65"/>
    </row>
    <row r="66" spans="13:13" x14ac:dyDescent="0.25">
      <c r="M66"/>
    </row>
    <row r="67" spans="13:13" x14ac:dyDescent="0.25">
      <c r="M67"/>
    </row>
    <row r="68" spans="13:13" x14ac:dyDescent="0.25">
      <c r="M68"/>
    </row>
    <row r="69" spans="13:13" x14ac:dyDescent="0.25">
      <c r="M69"/>
    </row>
    <row r="70" spans="13:13" x14ac:dyDescent="0.25">
      <c r="M70"/>
    </row>
    <row r="71" spans="13:13" x14ac:dyDescent="0.25">
      <c r="M71"/>
    </row>
    <row r="72" spans="13:13" x14ac:dyDescent="0.25">
      <c r="M72"/>
    </row>
    <row r="73" spans="13:13" x14ac:dyDescent="0.25">
      <c r="M73"/>
    </row>
    <row r="74" spans="13:13" x14ac:dyDescent="0.25">
      <c r="M74"/>
    </row>
    <row r="75" spans="13:13" x14ac:dyDescent="0.25">
      <c r="M75"/>
    </row>
    <row r="76" spans="13:13" x14ac:dyDescent="0.25">
      <c r="M76"/>
    </row>
    <row r="77" spans="13:13" x14ac:dyDescent="0.25">
      <c r="M77"/>
    </row>
    <row r="78" spans="13:13" x14ac:dyDescent="0.25">
      <c r="M78"/>
    </row>
    <row r="79" spans="13:13" x14ac:dyDescent="0.25">
      <c r="M79"/>
    </row>
    <row r="80" spans="13:13" x14ac:dyDescent="0.25">
      <c r="M80"/>
    </row>
    <row r="81" spans="4:13" x14ac:dyDescent="0.25">
      <c r="M81" s="8">
        <f>GETPIVOTDATA("APURACAO LT D+0",$M$83)/GETPIVOTDATA("N° PEDIDO COMPRA",$J$83)</f>
        <v>0.65700483091787443</v>
      </c>
    </row>
    <row r="82" spans="4:13" x14ac:dyDescent="0.25">
      <c r="M82"/>
    </row>
    <row r="83" spans="4:13" x14ac:dyDescent="0.25">
      <c r="J83" s="19" t="s">
        <v>133</v>
      </c>
      <c r="K83" t="s">
        <v>135</v>
      </c>
      <c r="M83" t="s">
        <v>190</v>
      </c>
    </row>
    <row r="84" spans="4:13" x14ac:dyDescent="0.25">
      <c r="J84" s="10">
        <v>8030</v>
      </c>
      <c r="K84">
        <v>1</v>
      </c>
      <c r="M84">
        <v>136</v>
      </c>
    </row>
    <row r="85" spans="4:13" x14ac:dyDescent="0.25">
      <c r="J85" s="10">
        <v>8056</v>
      </c>
      <c r="K85">
        <v>1</v>
      </c>
      <c r="M85"/>
    </row>
    <row r="86" spans="4:13" x14ac:dyDescent="0.25">
      <c r="J86" s="10">
        <v>8063</v>
      </c>
      <c r="K86">
        <v>1</v>
      </c>
      <c r="M86"/>
    </row>
    <row r="87" spans="4:13" x14ac:dyDescent="0.25">
      <c r="J87" s="10">
        <v>8073</v>
      </c>
      <c r="K87">
        <v>1</v>
      </c>
      <c r="M87"/>
    </row>
    <row r="88" spans="4:13" x14ac:dyDescent="0.25">
      <c r="D88" s="12" t="s">
        <v>191</v>
      </c>
      <c r="E88" s="12" t="s">
        <v>192</v>
      </c>
      <c r="J88" s="10">
        <v>8074</v>
      </c>
      <c r="K88">
        <v>1</v>
      </c>
      <c r="M88"/>
    </row>
    <row r="89" spans="4:13" x14ac:dyDescent="0.25">
      <c r="D89" s="13" t="s">
        <v>193</v>
      </c>
      <c r="E89" s="14">
        <f>100%-E90</f>
        <v>0.34299516908212557</v>
      </c>
      <c r="J89" s="10">
        <v>8076</v>
      </c>
      <c r="K89">
        <v>1</v>
      </c>
      <c r="M89"/>
    </row>
    <row r="90" spans="4:13" x14ac:dyDescent="0.25">
      <c r="D90" s="13" t="s">
        <v>194</v>
      </c>
      <c r="E90" s="14">
        <f>M81</f>
        <v>0.65700483091787443</v>
      </c>
      <c r="J90" s="10">
        <v>8077</v>
      </c>
      <c r="K90">
        <v>1</v>
      </c>
      <c r="M90"/>
    </row>
    <row r="91" spans="4:13" x14ac:dyDescent="0.25">
      <c r="J91" s="10">
        <v>8078</v>
      </c>
      <c r="K91">
        <v>1</v>
      </c>
      <c r="M91"/>
    </row>
    <row r="92" spans="4:13" x14ac:dyDescent="0.25">
      <c r="J92" s="10">
        <v>8084</v>
      </c>
      <c r="K92">
        <v>1</v>
      </c>
      <c r="M92"/>
    </row>
    <row r="93" spans="4:13" x14ac:dyDescent="0.25">
      <c r="J93" s="10">
        <v>8085</v>
      </c>
      <c r="K93">
        <v>1</v>
      </c>
      <c r="M93"/>
    </row>
    <row r="94" spans="4:13" x14ac:dyDescent="0.25">
      <c r="J94" s="10">
        <v>8087</v>
      </c>
      <c r="K94">
        <v>1</v>
      </c>
      <c r="M94"/>
    </row>
    <row r="95" spans="4:13" x14ac:dyDescent="0.25">
      <c r="J95" s="10">
        <v>8088</v>
      </c>
      <c r="K95">
        <v>1</v>
      </c>
      <c r="M95"/>
    </row>
    <row r="96" spans="4:13" x14ac:dyDescent="0.25">
      <c r="J96" s="10">
        <v>8090</v>
      </c>
      <c r="K96">
        <v>1</v>
      </c>
      <c r="M96"/>
    </row>
    <row r="97" spans="3:13" x14ac:dyDescent="0.25">
      <c r="D97" s="7">
        <f>GETPIVOTDATA("LEAD TIME DISPONIBILIZACAO",$C$98)</f>
        <v>-0.19323671497584541</v>
      </c>
      <c r="J97" s="10">
        <v>8092</v>
      </c>
      <c r="K97">
        <v>1</v>
      </c>
      <c r="M97"/>
    </row>
    <row r="98" spans="3:13" x14ac:dyDescent="0.25">
      <c r="C98" s="19" t="s">
        <v>133</v>
      </c>
      <c r="D98" s="15" t="s">
        <v>195</v>
      </c>
      <c r="J98" s="10">
        <v>8093</v>
      </c>
      <c r="K98">
        <v>1</v>
      </c>
      <c r="M98"/>
    </row>
    <row r="99" spans="3:13" x14ac:dyDescent="0.25">
      <c r="C99" s="10" t="s">
        <v>186</v>
      </c>
      <c r="D99" s="15">
        <v>0.41666666666666669</v>
      </c>
      <c r="J99" s="10">
        <v>8094</v>
      </c>
      <c r="K99">
        <v>1</v>
      </c>
      <c r="M99"/>
    </row>
    <row r="100" spans="3:13" x14ac:dyDescent="0.25">
      <c r="C100" s="10" t="s">
        <v>177</v>
      </c>
      <c r="D100" s="15">
        <v>0.6</v>
      </c>
      <c r="J100" s="10">
        <v>8096</v>
      </c>
      <c r="K100">
        <v>1</v>
      </c>
      <c r="M100"/>
    </row>
    <row r="101" spans="3:13" x14ac:dyDescent="0.25">
      <c r="C101" s="10" t="s">
        <v>178</v>
      </c>
      <c r="D101" s="15">
        <v>0</v>
      </c>
      <c r="J101" s="10">
        <v>8097</v>
      </c>
      <c r="K101">
        <v>1</v>
      </c>
      <c r="M101"/>
    </row>
    <row r="102" spans="3:13" x14ac:dyDescent="0.25">
      <c r="C102" s="10" t="s">
        <v>155</v>
      </c>
      <c r="D102" s="15">
        <v>0</v>
      </c>
      <c r="J102" s="10">
        <v>8102</v>
      </c>
      <c r="K102">
        <v>1</v>
      </c>
      <c r="M102"/>
    </row>
    <row r="103" spans="3:13" x14ac:dyDescent="0.25">
      <c r="C103" s="10" t="s">
        <v>176</v>
      </c>
      <c r="D103" s="15">
        <v>0.4</v>
      </c>
      <c r="J103" s="10">
        <v>8103</v>
      </c>
      <c r="K103">
        <v>1</v>
      </c>
      <c r="M103"/>
    </row>
    <row r="104" spans="3:13" x14ac:dyDescent="0.25">
      <c r="C104" s="10" t="s">
        <v>187</v>
      </c>
      <c r="D104" s="15">
        <v>0.25</v>
      </c>
      <c r="J104" s="10">
        <v>8104</v>
      </c>
      <c r="K104">
        <v>1</v>
      </c>
      <c r="M104"/>
    </row>
    <row r="105" spans="3:13" x14ac:dyDescent="0.25">
      <c r="C105" s="10" t="s">
        <v>185</v>
      </c>
      <c r="D105" s="15">
        <v>0</v>
      </c>
      <c r="J105" s="10">
        <v>8105</v>
      </c>
      <c r="K105">
        <v>1</v>
      </c>
      <c r="M105"/>
    </row>
    <row r="106" spans="3:13" x14ac:dyDescent="0.25">
      <c r="C106" s="10" t="s">
        <v>169</v>
      </c>
      <c r="D106" s="15">
        <v>0</v>
      </c>
      <c r="J106" s="10">
        <v>8106</v>
      </c>
      <c r="K106">
        <v>1</v>
      </c>
      <c r="M106"/>
    </row>
    <row r="107" spans="3:13" x14ac:dyDescent="0.25">
      <c r="C107" s="10" t="s">
        <v>183</v>
      </c>
      <c r="D107" s="15">
        <v>-0.33333333333333331</v>
      </c>
      <c r="J107" s="10">
        <v>8107</v>
      </c>
      <c r="K107">
        <v>1</v>
      </c>
      <c r="M107"/>
    </row>
    <row r="108" spans="3:13" x14ac:dyDescent="0.25">
      <c r="C108" s="10" t="s">
        <v>175</v>
      </c>
      <c r="D108" s="15">
        <v>0.6</v>
      </c>
      <c r="J108" s="10">
        <v>8108</v>
      </c>
      <c r="K108">
        <v>1</v>
      </c>
      <c r="M108"/>
    </row>
    <row r="109" spans="3:13" x14ac:dyDescent="0.25">
      <c r="C109" s="10" t="s">
        <v>189</v>
      </c>
      <c r="D109" s="15">
        <v>-0.72222222222222221</v>
      </c>
      <c r="J109" s="10">
        <v>8110</v>
      </c>
      <c r="K109">
        <v>1</v>
      </c>
      <c r="M109"/>
    </row>
    <row r="110" spans="3:13" x14ac:dyDescent="0.25">
      <c r="C110" s="10" t="s">
        <v>188</v>
      </c>
      <c r="D110" s="15">
        <v>0.11764705882352941</v>
      </c>
      <c r="J110" s="10">
        <v>8111</v>
      </c>
      <c r="K110">
        <v>1</v>
      </c>
      <c r="M110"/>
    </row>
    <row r="111" spans="3:13" x14ac:dyDescent="0.25">
      <c r="C111" s="10" t="s">
        <v>172</v>
      </c>
      <c r="D111" s="15">
        <v>0</v>
      </c>
      <c r="J111" s="10">
        <v>8112</v>
      </c>
      <c r="K111">
        <v>1</v>
      </c>
      <c r="M111"/>
    </row>
    <row r="112" spans="3:13" x14ac:dyDescent="0.25">
      <c r="C112" s="10" t="s">
        <v>184</v>
      </c>
      <c r="D112" s="15">
        <v>0.18181818181818182</v>
      </c>
      <c r="J112" s="10">
        <v>8113</v>
      </c>
      <c r="K112">
        <v>1</v>
      </c>
      <c r="M112"/>
    </row>
    <row r="113" spans="3:13" x14ac:dyDescent="0.25">
      <c r="C113" s="10" t="s">
        <v>168</v>
      </c>
      <c r="D113" s="15">
        <v>-6.333333333333333</v>
      </c>
      <c r="J113" s="10">
        <v>8115</v>
      </c>
      <c r="K113">
        <v>1</v>
      </c>
      <c r="M113"/>
    </row>
    <row r="114" spans="3:13" x14ac:dyDescent="0.25">
      <c r="C114" s="10" t="s">
        <v>182</v>
      </c>
      <c r="D114" s="15">
        <v>-1.8571428571428572</v>
      </c>
      <c r="J114" s="10">
        <v>8117</v>
      </c>
      <c r="K114">
        <v>1</v>
      </c>
      <c r="M114"/>
    </row>
    <row r="115" spans="3:13" x14ac:dyDescent="0.25">
      <c r="C115" s="10" t="s">
        <v>141</v>
      </c>
      <c r="D115" s="15">
        <v>0</v>
      </c>
      <c r="J115" s="10">
        <v>8118</v>
      </c>
      <c r="K115">
        <v>1</v>
      </c>
      <c r="M115"/>
    </row>
    <row r="116" spans="3:13" x14ac:dyDescent="0.25">
      <c r="C116" s="10" t="s">
        <v>179</v>
      </c>
      <c r="D116" s="15">
        <v>0.2</v>
      </c>
      <c r="J116" s="10">
        <v>8119</v>
      </c>
      <c r="K116">
        <v>1</v>
      </c>
      <c r="M116"/>
    </row>
    <row r="117" spans="3:13" x14ac:dyDescent="0.25">
      <c r="C117" s="10" t="s">
        <v>167</v>
      </c>
      <c r="D117" s="15">
        <v>-0.33333333333333331</v>
      </c>
      <c r="J117" s="10">
        <v>8120</v>
      </c>
      <c r="K117">
        <v>1</v>
      </c>
      <c r="M117"/>
    </row>
    <row r="118" spans="3:13" x14ac:dyDescent="0.25">
      <c r="C118" s="10" t="s">
        <v>181</v>
      </c>
      <c r="D118" s="15">
        <v>0.33333333333333331</v>
      </c>
      <c r="J118" s="10">
        <v>8121</v>
      </c>
      <c r="K118">
        <v>1</v>
      </c>
      <c r="M118"/>
    </row>
    <row r="119" spans="3:13" x14ac:dyDescent="0.25">
      <c r="C119" s="10" t="s">
        <v>180</v>
      </c>
      <c r="D119" s="15">
        <v>0.33333333333333331</v>
      </c>
      <c r="J119" s="10">
        <v>8122</v>
      </c>
      <c r="K119">
        <v>1</v>
      </c>
      <c r="M119"/>
    </row>
    <row r="120" spans="3:13" x14ac:dyDescent="0.25">
      <c r="C120" s="10" t="s">
        <v>171</v>
      </c>
      <c r="D120" s="15">
        <v>0</v>
      </c>
      <c r="J120" s="10">
        <v>8123</v>
      </c>
      <c r="K120">
        <v>1</v>
      </c>
      <c r="M120"/>
    </row>
    <row r="121" spans="3:13" x14ac:dyDescent="0.25">
      <c r="C121" s="10" t="s">
        <v>161</v>
      </c>
      <c r="D121" s="15">
        <v>0</v>
      </c>
      <c r="J121" s="10">
        <v>8125</v>
      </c>
      <c r="K121">
        <v>1</v>
      </c>
      <c r="M121"/>
    </row>
    <row r="122" spans="3:13" x14ac:dyDescent="0.25">
      <c r="C122" s="10" t="s">
        <v>166</v>
      </c>
      <c r="D122" s="15">
        <v>0.33333333333333331</v>
      </c>
      <c r="J122" s="10">
        <v>8126</v>
      </c>
      <c r="K122">
        <v>1</v>
      </c>
      <c r="M122"/>
    </row>
    <row r="123" spans="3:13" x14ac:dyDescent="0.25">
      <c r="C123" s="10" t="s">
        <v>173</v>
      </c>
      <c r="D123" s="15">
        <v>-3.25</v>
      </c>
      <c r="J123" s="10">
        <v>8128</v>
      </c>
      <c r="K123">
        <v>1</v>
      </c>
      <c r="M123"/>
    </row>
    <row r="124" spans="3:13" x14ac:dyDescent="0.25">
      <c r="C124" s="10" t="s">
        <v>157</v>
      </c>
      <c r="D124" s="15">
        <v>0</v>
      </c>
      <c r="J124" s="10">
        <v>8129</v>
      </c>
      <c r="K124">
        <v>1</v>
      </c>
      <c r="M124"/>
    </row>
    <row r="125" spans="3:13" x14ac:dyDescent="0.25">
      <c r="C125" s="10" t="s">
        <v>149</v>
      </c>
      <c r="D125" s="15">
        <v>0</v>
      </c>
      <c r="J125" s="10">
        <v>8130</v>
      </c>
      <c r="K125">
        <v>1</v>
      </c>
      <c r="M125"/>
    </row>
    <row r="126" spans="3:13" x14ac:dyDescent="0.25">
      <c r="C126" s="10" t="s">
        <v>143</v>
      </c>
      <c r="D126" s="15">
        <v>-2</v>
      </c>
      <c r="J126" s="10">
        <v>8131</v>
      </c>
      <c r="K126">
        <v>1</v>
      </c>
      <c r="M126"/>
    </row>
    <row r="127" spans="3:13" x14ac:dyDescent="0.25">
      <c r="C127" s="10" t="s">
        <v>153</v>
      </c>
      <c r="D127" s="15">
        <v>-1</v>
      </c>
      <c r="J127" s="10">
        <v>8132</v>
      </c>
      <c r="K127">
        <v>1</v>
      </c>
      <c r="M127"/>
    </row>
    <row r="128" spans="3:13" x14ac:dyDescent="0.25">
      <c r="C128" s="10" t="s">
        <v>174</v>
      </c>
      <c r="D128" s="15">
        <v>-0.5</v>
      </c>
      <c r="J128" s="10">
        <v>8133</v>
      </c>
      <c r="K128">
        <v>1</v>
      </c>
      <c r="M128"/>
    </row>
    <row r="129" spans="3:13" x14ac:dyDescent="0.25">
      <c r="C129" s="10" t="s">
        <v>145</v>
      </c>
      <c r="D129" s="15">
        <v>0</v>
      </c>
      <c r="J129" s="10">
        <v>8134</v>
      </c>
      <c r="K129">
        <v>1</v>
      </c>
      <c r="M129"/>
    </row>
    <row r="130" spans="3:13" x14ac:dyDescent="0.25">
      <c r="C130" s="10" t="s">
        <v>158</v>
      </c>
      <c r="D130" s="15">
        <v>0</v>
      </c>
      <c r="J130" s="10">
        <v>8135</v>
      </c>
      <c r="K130">
        <v>1</v>
      </c>
      <c r="M130"/>
    </row>
    <row r="131" spans="3:13" x14ac:dyDescent="0.25">
      <c r="C131" s="10" t="s">
        <v>151</v>
      </c>
      <c r="D131" s="15">
        <v>0</v>
      </c>
      <c r="J131" s="10">
        <v>8136</v>
      </c>
      <c r="K131">
        <v>1</v>
      </c>
      <c r="M131"/>
    </row>
    <row r="132" spans="3:13" x14ac:dyDescent="0.25">
      <c r="C132" s="10" t="s">
        <v>147</v>
      </c>
      <c r="D132" s="15">
        <v>-1</v>
      </c>
      <c r="J132" s="10">
        <v>8137</v>
      </c>
      <c r="K132">
        <v>1</v>
      </c>
      <c r="M132"/>
    </row>
    <row r="133" spans="3:13" x14ac:dyDescent="0.25">
      <c r="C133" s="10" t="s">
        <v>138</v>
      </c>
      <c r="D133" s="15">
        <v>0</v>
      </c>
      <c r="J133" s="10">
        <v>8140</v>
      </c>
      <c r="K133">
        <v>1</v>
      </c>
      <c r="M133"/>
    </row>
    <row r="134" spans="3:13" x14ac:dyDescent="0.25">
      <c r="C134" s="10" t="s">
        <v>140</v>
      </c>
      <c r="D134" s="15">
        <v>0</v>
      </c>
      <c r="J134" s="10">
        <v>8141</v>
      </c>
      <c r="K134">
        <v>1</v>
      </c>
      <c r="M134"/>
    </row>
    <row r="135" spans="3:13" x14ac:dyDescent="0.25">
      <c r="C135" s="10" t="s">
        <v>170</v>
      </c>
      <c r="D135" s="15">
        <v>-1</v>
      </c>
      <c r="J135" s="10">
        <v>8142</v>
      </c>
      <c r="K135">
        <v>1</v>
      </c>
      <c r="M135"/>
    </row>
    <row r="136" spans="3:13" x14ac:dyDescent="0.25">
      <c r="C136" s="10" t="s">
        <v>142</v>
      </c>
      <c r="D136" s="15">
        <v>0</v>
      </c>
      <c r="J136" s="10">
        <v>8143</v>
      </c>
      <c r="K136">
        <v>1</v>
      </c>
      <c r="M136"/>
    </row>
    <row r="137" spans="3:13" x14ac:dyDescent="0.25">
      <c r="C137" s="10" t="s">
        <v>144</v>
      </c>
      <c r="D137" s="15">
        <v>2</v>
      </c>
      <c r="J137" s="10">
        <v>8144</v>
      </c>
      <c r="K137">
        <v>1</v>
      </c>
      <c r="M137"/>
    </row>
    <row r="138" spans="3:13" x14ac:dyDescent="0.25">
      <c r="C138" s="10" t="s">
        <v>159</v>
      </c>
      <c r="D138" s="15">
        <v>0.5</v>
      </c>
      <c r="J138" s="10">
        <v>8145</v>
      </c>
      <c r="K138">
        <v>1</v>
      </c>
      <c r="M138"/>
    </row>
    <row r="139" spans="3:13" x14ac:dyDescent="0.25">
      <c r="C139" s="10" t="s">
        <v>146</v>
      </c>
      <c r="D139" s="15">
        <v>1</v>
      </c>
      <c r="J139" s="10">
        <v>8146</v>
      </c>
      <c r="K139">
        <v>1</v>
      </c>
      <c r="M139"/>
    </row>
    <row r="140" spans="3:13" x14ac:dyDescent="0.25">
      <c r="C140" s="10" t="s">
        <v>148</v>
      </c>
      <c r="D140" s="15">
        <v>1</v>
      </c>
      <c r="J140" s="10">
        <v>8147</v>
      </c>
      <c r="K140">
        <v>1</v>
      </c>
      <c r="M140"/>
    </row>
    <row r="141" spans="3:13" x14ac:dyDescent="0.25">
      <c r="C141" s="10" t="s">
        <v>150</v>
      </c>
      <c r="D141" s="15">
        <v>0</v>
      </c>
      <c r="J141" s="10">
        <v>8149</v>
      </c>
      <c r="K141">
        <v>1</v>
      </c>
      <c r="M141"/>
    </row>
    <row r="142" spans="3:13" x14ac:dyDescent="0.25">
      <c r="C142" s="10" t="s">
        <v>162</v>
      </c>
      <c r="D142" s="15">
        <v>-2</v>
      </c>
      <c r="J142" s="10">
        <v>8150</v>
      </c>
      <c r="K142">
        <v>1</v>
      </c>
      <c r="M142"/>
    </row>
    <row r="143" spans="3:13" x14ac:dyDescent="0.25">
      <c r="C143" s="10" t="s">
        <v>152</v>
      </c>
      <c r="D143" s="15">
        <v>0</v>
      </c>
      <c r="J143" s="10">
        <v>8151</v>
      </c>
      <c r="K143">
        <v>1</v>
      </c>
      <c r="M143"/>
    </row>
    <row r="144" spans="3:13" x14ac:dyDescent="0.25">
      <c r="C144" s="10" t="s">
        <v>164</v>
      </c>
      <c r="D144" s="15">
        <v>0</v>
      </c>
      <c r="J144" s="10">
        <v>8152</v>
      </c>
      <c r="K144">
        <v>1</v>
      </c>
      <c r="M144"/>
    </row>
    <row r="145" spans="3:13" x14ac:dyDescent="0.25">
      <c r="C145" s="10" t="s">
        <v>163</v>
      </c>
      <c r="D145" s="15">
        <v>1.5</v>
      </c>
      <c r="J145" s="10">
        <v>8153</v>
      </c>
      <c r="K145">
        <v>1</v>
      </c>
      <c r="M145"/>
    </row>
    <row r="146" spans="3:13" x14ac:dyDescent="0.25">
      <c r="C146" s="10" t="s">
        <v>154</v>
      </c>
      <c r="D146" s="15">
        <v>0</v>
      </c>
      <c r="J146" s="10">
        <v>8154</v>
      </c>
      <c r="K146">
        <v>1</v>
      </c>
      <c r="M146"/>
    </row>
    <row r="147" spans="3:13" x14ac:dyDescent="0.25">
      <c r="C147" s="10" t="s">
        <v>156</v>
      </c>
      <c r="D147" s="15">
        <v>0</v>
      </c>
      <c r="J147" s="10">
        <v>8155</v>
      </c>
      <c r="K147">
        <v>1</v>
      </c>
      <c r="M147"/>
    </row>
    <row r="148" spans="3:13" x14ac:dyDescent="0.25">
      <c r="C148" s="10" t="s">
        <v>165</v>
      </c>
      <c r="D148" s="15">
        <v>0.33333333333333331</v>
      </c>
      <c r="J148" s="10">
        <v>8156</v>
      </c>
      <c r="K148">
        <v>1</v>
      </c>
      <c r="M148"/>
    </row>
    <row r="149" spans="3:13" x14ac:dyDescent="0.25">
      <c r="C149" s="10" t="s">
        <v>139</v>
      </c>
      <c r="D149" s="15">
        <v>0</v>
      </c>
      <c r="J149" s="10">
        <v>8157</v>
      </c>
      <c r="K149">
        <v>1</v>
      </c>
      <c r="M149"/>
    </row>
    <row r="150" spans="3:13" x14ac:dyDescent="0.25">
      <c r="C150" s="10" t="s">
        <v>160</v>
      </c>
      <c r="D150" s="16">
        <v>-0.19323671497584541</v>
      </c>
      <c r="J150" s="10">
        <v>8158</v>
      </c>
      <c r="K150">
        <v>1</v>
      </c>
      <c r="M150"/>
    </row>
    <row r="151" spans="3:13" x14ac:dyDescent="0.25">
      <c r="D151"/>
      <c r="J151" s="10">
        <v>8160</v>
      </c>
      <c r="K151">
        <v>1</v>
      </c>
      <c r="M151"/>
    </row>
    <row r="152" spans="3:13" x14ac:dyDescent="0.25">
      <c r="D152"/>
      <c r="J152" s="10">
        <v>8161</v>
      </c>
      <c r="K152">
        <v>1</v>
      </c>
      <c r="M152"/>
    </row>
    <row r="153" spans="3:13" x14ac:dyDescent="0.25">
      <c r="D153"/>
      <c r="J153" s="10">
        <v>8162</v>
      </c>
      <c r="K153">
        <v>1</v>
      </c>
      <c r="M153"/>
    </row>
    <row r="154" spans="3:13" x14ac:dyDescent="0.25">
      <c r="D154"/>
      <c r="J154" s="10">
        <v>8163</v>
      </c>
      <c r="K154">
        <v>1</v>
      </c>
      <c r="M154"/>
    </row>
    <row r="155" spans="3:13" x14ac:dyDescent="0.25">
      <c r="D155"/>
      <c r="J155" s="10">
        <v>8164</v>
      </c>
      <c r="K155">
        <v>1</v>
      </c>
      <c r="M155"/>
    </row>
    <row r="156" spans="3:13" x14ac:dyDescent="0.25">
      <c r="D156"/>
      <c r="J156" s="10">
        <v>8165</v>
      </c>
      <c r="K156">
        <v>1</v>
      </c>
      <c r="M156"/>
    </row>
    <row r="157" spans="3:13" x14ac:dyDescent="0.25">
      <c r="D157"/>
      <c r="J157" s="10">
        <v>8167</v>
      </c>
      <c r="K157">
        <v>1</v>
      </c>
      <c r="M157"/>
    </row>
    <row r="158" spans="3:13" x14ac:dyDescent="0.25">
      <c r="D158"/>
      <c r="J158" s="10">
        <v>8168</v>
      </c>
      <c r="K158">
        <v>1</v>
      </c>
      <c r="M158"/>
    </row>
    <row r="159" spans="3:13" x14ac:dyDescent="0.25">
      <c r="D159"/>
      <c r="J159" s="10">
        <v>8169</v>
      </c>
      <c r="K159">
        <v>1</v>
      </c>
      <c r="M159"/>
    </row>
    <row r="160" spans="3:13" x14ac:dyDescent="0.25">
      <c r="D160"/>
      <c r="J160" s="10">
        <v>8171</v>
      </c>
      <c r="K160">
        <v>1</v>
      </c>
      <c r="M160"/>
    </row>
    <row r="161" spans="1:13" x14ac:dyDescent="0.25">
      <c r="D161"/>
      <c r="J161" s="10">
        <v>8173</v>
      </c>
      <c r="K161">
        <v>1</v>
      </c>
      <c r="M161"/>
    </row>
    <row r="162" spans="1:13" x14ac:dyDescent="0.25">
      <c r="D162"/>
      <c r="J162" s="10">
        <v>8174</v>
      </c>
      <c r="K162">
        <v>1</v>
      </c>
      <c r="M162"/>
    </row>
    <row r="163" spans="1:13" x14ac:dyDescent="0.25">
      <c r="D163"/>
      <c r="J163" s="10">
        <v>8175</v>
      </c>
      <c r="K163">
        <v>2</v>
      </c>
      <c r="M163"/>
    </row>
    <row r="164" spans="1:13" x14ac:dyDescent="0.25">
      <c r="D164"/>
      <c r="J164" s="10">
        <v>8176</v>
      </c>
      <c r="K164">
        <v>1</v>
      </c>
      <c r="M164"/>
    </row>
    <row r="165" spans="1:13" x14ac:dyDescent="0.25">
      <c r="D165"/>
      <c r="J165" s="10">
        <v>8177</v>
      </c>
      <c r="K165">
        <v>1</v>
      </c>
      <c r="M165"/>
    </row>
    <row r="166" spans="1:13" x14ac:dyDescent="0.25">
      <c r="D166"/>
      <c r="J166" s="10">
        <v>8180</v>
      </c>
      <c r="K166">
        <v>1</v>
      </c>
      <c r="M166"/>
    </row>
    <row r="167" spans="1:13" x14ac:dyDescent="0.25">
      <c r="D167"/>
      <c r="J167" s="10">
        <v>8181</v>
      </c>
      <c r="K167">
        <v>1</v>
      </c>
      <c r="M167"/>
    </row>
    <row r="168" spans="1:13" x14ac:dyDescent="0.25">
      <c r="D168"/>
      <c r="J168" s="10">
        <v>8182</v>
      </c>
      <c r="K168">
        <v>1</v>
      </c>
      <c r="M168"/>
    </row>
    <row r="169" spans="1:13" x14ac:dyDescent="0.25">
      <c r="A169" s="19" t="s">
        <v>133</v>
      </c>
      <c r="D169"/>
      <c r="J169" s="10">
        <v>8183</v>
      </c>
      <c r="K169">
        <v>1</v>
      </c>
      <c r="M169"/>
    </row>
    <row r="170" spans="1:13" x14ac:dyDescent="0.25">
      <c r="A170" s="10" t="s">
        <v>189</v>
      </c>
      <c r="D170"/>
      <c r="J170" s="10">
        <v>8184</v>
      </c>
      <c r="K170">
        <v>1</v>
      </c>
      <c r="M170"/>
    </row>
    <row r="171" spans="1:13" x14ac:dyDescent="0.25">
      <c r="A171" s="17" t="s">
        <v>196</v>
      </c>
      <c r="D171"/>
      <c r="J171" s="10">
        <v>8185</v>
      </c>
      <c r="K171">
        <v>1</v>
      </c>
      <c r="M171"/>
    </row>
    <row r="172" spans="1:13" x14ac:dyDescent="0.25">
      <c r="A172" s="17" t="s">
        <v>197</v>
      </c>
      <c r="D172"/>
      <c r="J172" s="10">
        <v>8186</v>
      </c>
      <c r="K172">
        <v>1</v>
      </c>
      <c r="M172"/>
    </row>
    <row r="173" spans="1:13" x14ac:dyDescent="0.25">
      <c r="A173" s="10" t="s">
        <v>183</v>
      </c>
      <c r="D173"/>
      <c r="J173" s="10">
        <v>8187</v>
      </c>
      <c r="K173">
        <v>1</v>
      </c>
      <c r="M173"/>
    </row>
    <row r="174" spans="1:13" x14ac:dyDescent="0.25">
      <c r="A174" s="17" t="s">
        <v>196</v>
      </c>
      <c r="D174"/>
      <c r="J174" s="10">
        <v>8189</v>
      </c>
      <c r="K174">
        <v>1</v>
      </c>
      <c r="M174"/>
    </row>
    <row r="175" spans="1:13" x14ac:dyDescent="0.25">
      <c r="A175" s="10" t="s">
        <v>167</v>
      </c>
      <c r="D175"/>
      <c r="J175" s="10">
        <v>8191</v>
      </c>
      <c r="K175">
        <v>1</v>
      </c>
      <c r="M175"/>
    </row>
    <row r="176" spans="1:13" x14ac:dyDescent="0.25">
      <c r="A176" s="17" t="s">
        <v>198</v>
      </c>
      <c r="D176"/>
      <c r="J176" s="10">
        <v>8192</v>
      </c>
      <c r="K176">
        <v>1</v>
      </c>
      <c r="M176"/>
    </row>
    <row r="177" spans="1:13" x14ac:dyDescent="0.25">
      <c r="A177" s="10" t="s">
        <v>166</v>
      </c>
      <c r="D177"/>
      <c r="J177" s="10">
        <v>8194</v>
      </c>
      <c r="K177">
        <v>1</v>
      </c>
      <c r="M177"/>
    </row>
    <row r="178" spans="1:13" x14ac:dyDescent="0.25">
      <c r="A178" s="17" t="s">
        <v>198</v>
      </c>
      <c r="D178"/>
      <c r="J178" s="10">
        <v>8195</v>
      </c>
      <c r="K178">
        <v>1</v>
      </c>
      <c r="M178"/>
    </row>
    <row r="179" spans="1:13" x14ac:dyDescent="0.25">
      <c r="A179" s="10" t="s">
        <v>184</v>
      </c>
      <c r="D179"/>
      <c r="J179" s="10">
        <v>8196</v>
      </c>
      <c r="K179">
        <v>1</v>
      </c>
      <c r="M179"/>
    </row>
    <row r="180" spans="1:13" x14ac:dyDescent="0.25">
      <c r="A180" s="17" t="s">
        <v>196</v>
      </c>
      <c r="J180" s="10">
        <v>8197</v>
      </c>
      <c r="K180">
        <v>1</v>
      </c>
      <c r="M180"/>
    </row>
    <row r="181" spans="1:13" x14ac:dyDescent="0.25">
      <c r="A181" s="10" t="s">
        <v>188</v>
      </c>
      <c r="J181" s="10">
        <v>8198</v>
      </c>
      <c r="K181">
        <v>1</v>
      </c>
      <c r="M181"/>
    </row>
    <row r="182" spans="1:13" x14ac:dyDescent="0.25">
      <c r="A182" s="17" t="s">
        <v>198</v>
      </c>
      <c r="J182" s="10">
        <v>8199</v>
      </c>
      <c r="K182">
        <v>1</v>
      </c>
      <c r="M182"/>
    </row>
    <row r="183" spans="1:13" x14ac:dyDescent="0.25">
      <c r="A183" s="10" t="s">
        <v>160</v>
      </c>
      <c r="J183" s="10">
        <v>8200</v>
      </c>
      <c r="K183">
        <v>1</v>
      </c>
      <c r="M183"/>
    </row>
    <row r="184" spans="1:13" x14ac:dyDescent="0.25">
      <c r="J184" s="10">
        <v>8201</v>
      </c>
      <c r="K184">
        <v>1</v>
      </c>
      <c r="M184"/>
    </row>
    <row r="185" spans="1:13" x14ac:dyDescent="0.25">
      <c r="J185" s="10">
        <v>8202</v>
      </c>
      <c r="K185">
        <v>1</v>
      </c>
      <c r="M185"/>
    </row>
    <row r="186" spans="1:13" x14ac:dyDescent="0.25">
      <c r="J186" s="10">
        <v>8203</v>
      </c>
      <c r="K186">
        <v>1</v>
      </c>
      <c r="M186"/>
    </row>
    <row r="187" spans="1:13" x14ac:dyDescent="0.25">
      <c r="J187" s="10">
        <v>8204</v>
      </c>
      <c r="K187">
        <v>1</v>
      </c>
      <c r="M187"/>
    </row>
    <row r="188" spans="1:13" x14ac:dyDescent="0.25">
      <c r="J188" s="10">
        <v>8205</v>
      </c>
      <c r="K188">
        <v>1</v>
      </c>
      <c r="M188"/>
    </row>
    <row r="189" spans="1:13" x14ac:dyDescent="0.25">
      <c r="J189" s="10">
        <v>8207</v>
      </c>
      <c r="K189">
        <v>1</v>
      </c>
      <c r="M189"/>
    </row>
    <row r="190" spans="1:13" x14ac:dyDescent="0.25">
      <c r="J190" s="10">
        <v>8208</v>
      </c>
      <c r="K190">
        <v>1</v>
      </c>
      <c r="M190"/>
    </row>
    <row r="191" spans="1:13" x14ac:dyDescent="0.25">
      <c r="J191" s="10">
        <v>8209</v>
      </c>
      <c r="K191">
        <v>1</v>
      </c>
      <c r="M191"/>
    </row>
    <row r="192" spans="1:13" x14ac:dyDescent="0.25">
      <c r="J192" s="10">
        <v>8211</v>
      </c>
      <c r="K192">
        <v>1</v>
      </c>
      <c r="M192"/>
    </row>
    <row r="193" spans="10:13" x14ac:dyDescent="0.25">
      <c r="J193" s="10">
        <v>8212</v>
      </c>
      <c r="K193">
        <v>1</v>
      </c>
      <c r="M193"/>
    </row>
    <row r="194" spans="10:13" x14ac:dyDescent="0.25">
      <c r="J194" s="10">
        <v>8213</v>
      </c>
      <c r="K194">
        <v>2</v>
      </c>
      <c r="M194"/>
    </row>
    <row r="195" spans="10:13" x14ac:dyDescent="0.25">
      <c r="J195" s="10">
        <v>8219</v>
      </c>
      <c r="K195">
        <v>1</v>
      </c>
      <c r="M195"/>
    </row>
    <row r="196" spans="10:13" x14ac:dyDescent="0.25">
      <c r="J196" s="10">
        <v>8221</v>
      </c>
      <c r="K196">
        <v>1</v>
      </c>
      <c r="M196"/>
    </row>
    <row r="197" spans="10:13" x14ac:dyDescent="0.25">
      <c r="J197" s="10">
        <v>8222</v>
      </c>
      <c r="K197">
        <v>1</v>
      </c>
      <c r="M197"/>
    </row>
    <row r="198" spans="10:13" x14ac:dyDescent="0.25">
      <c r="J198" s="10">
        <v>8230</v>
      </c>
      <c r="K198">
        <v>1</v>
      </c>
      <c r="M198"/>
    </row>
    <row r="199" spans="10:13" x14ac:dyDescent="0.25">
      <c r="J199" s="10">
        <v>8216</v>
      </c>
      <c r="K199">
        <v>1</v>
      </c>
      <c r="M199"/>
    </row>
    <row r="200" spans="10:13" x14ac:dyDescent="0.25">
      <c r="J200" s="10">
        <v>8217</v>
      </c>
      <c r="K200">
        <v>1</v>
      </c>
      <c r="M200"/>
    </row>
    <row r="201" spans="10:13" x14ac:dyDescent="0.25">
      <c r="J201" s="10">
        <v>8235</v>
      </c>
      <c r="K201">
        <v>1</v>
      </c>
      <c r="M201"/>
    </row>
    <row r="202" spans="10:13" x14ac:dyDescent="0.25">
      <c r="J202" s="10">
        <v>8225</v>
      </c>
      <c r="K202">
        <v>1</v>
      </c>
      <c r="M202"/>
    </row>
    <row r="203" spans="10:13" x14ac:dyDescent="0.25">
      <c r="J203" s="10">
        <v>8224</v>
      </c>
      <c r="K203">
        <v>1</v>
      </c>
      <c r="M203"/>
    </row>
    <row r="204" spans="10:13" x14ac:dyDescent="0.25">
      <c r="J204" s="10">
        <v>8223</v>
      </c>
      <c r="K204">
        <v>1</v>
      </c>
      <c r="M204"/>
    </row>
    <row r="205" spans="10:13" x14ac:dyDescent="0.25">
      <c r="J205" s="10">
        <v>8229</v>
      </c>
      <c r="K205">
        <v>1</v>
      </c>
      <c r="M205"/>
    </row>
    <row r="206" spans="10:13" x14ac:dyDescent="0.25">
      <c r="J206" s="10">
        <v>8227</v>
      </c>
      <c r="K206">
        <v>1</v>
      </c>
      <c r="M206"/>
    </row>
    <row r="207" spans="10:13" x14ac:dyDescent="0.25">
      <c r="J207" s="10">
        <v>8228</v>
      </c>
      <c r="K207">
        <v>1</v>
      </c>
      <c r="M207"/>
    </row>
    <row r="208" spans="10:13" x14ac:dyDescent="0.25">
      <c r="J208" s="10">
        <v>8236</v>
      </c>
      <c r="K208">
        <v>1</v>
      </c>
      <c r="M208"/>
    </row>
    <row r="209" spans="10:13" x14ac:dyDescent="0.25">
      <c r="J209" s="10">
        <v>8240</v>
      </c>
      <c r="K209">
        <v>1</v>
      </c>
      <c r="M209"/>
    </row>
    <row r="210" spans="10:13" x14ac:dyDescent="0.25">
      <c r="J210" s="10">
        <v>8232</v>
      </c>
      <c r="K210">
        <v>1</v>
      </c>
      <c r="M210"/>
    </row>
    <row r="211" spans="10:13" x14ac:dyDescent="0.25">
      <c r="J211" s="10">
        <v>8231</v>
      </c>
      <c r="K211">
        <v>1</v>
      </c>
      <c r="M211"/>
    </row>
    <row r="212" spans="10:13" x14ac:dyDescent="0.25">
      <c r="J212" s="10">
        <v>8246</v>
      </c>
      <c r="K212">
        <v>1</v>
      </c>
      <c r="M212"/>
    </row>
    <row r="213" spans="10:13" x14ac:dyDescent="0.25">
      <c r="J213" s="10">
        <v>8250</v>
      </c>
      <c r="K213">
        <v>1</v>
      </c>
      <c r="M213"/>
    </row>
    <row r="214" spans="10:13" x14ac:dyDescent="0.25">
      <c r="J214" s="10">
        <v>8237</v>
      </c>
      <c r="K214">
        <v>1</v>
      </c>
      <c r="M214"/>
    </row>
    <row r="215" spans="10:13" x14ac:dyDescent="0.25">
      <c r="J215" s="10">
        <v>8226</v>
      </c>
      <c r="K215">
        <v>2</v>
      </c>
      <c r="M215"/>
    </row>
    <row r="216" spans="10:13" x14ac:dyDescent="0.25">
      <c r="J216" s="10">
        <v>8248</v>
      </c>
      <c r="K216">
        <v>1</v>
      </c>
      <c r="M216"/>
    </row>
    <row r="217" spans="10:13" x14ac:dyDescent="0.25">
      <c r="J217" s="10">
        <v>8249</v>
      </c>
      <c r="K217">
        <v>1</v>
      </c>
      <c r="M217"/>
    </row>
    <row r="218" spans="10:13" x14ac:dyDescent="0.25">
      <c r="J218" s="10">
        <v>8127</v>
      </c>
      <c r="K218">
        <v>1</v>
      </c>
      <c r="M218"/>
    </row>
    <row r="219" spans="10:13" x14ac:dyDescent="0.25">
      <c r="J219" s="10">
        <v>8243</v>
      </c>
      <c r="K219">
        <v>1</v>
      </c>
      <c r="M219"/>
    </row>
    <row r="220" spans="10:13" x14ac:dyDescent="0.25">
      <c r="J220" s="10">
        <v>8239</v>
      </c>
      <c r="K220">
        <v>1</v>
      </c>
      <c r="M220"/>
    </row>
    <row r="221" spans="10:13" x14ac:dyDescent="0.25">
      <c r="J221" s="10">
        <v>8253</v>
      </c>
      <c r="K221">
        <v>1</v>
      </c>
      <c r="M221"/>
    </row>
    <row r="222" spans="10:13" x14ac:dyDescent="0.25">
      <c r="J222" s="10">
        <v>8264</v>
      </c>
      <c r="K222">
        <v>1</v>
      </c>
      <c r="M222"/>
    </row>
    <row r="223" spans="10:13" x14ac:dyDescent="0.25">
      <c r="J223" s="10">
        <v>8247</v>
      </c>
      <c r="K223">
        <v>1</v>
      </c>
      <c r="M223"/>
    </row>
    <row r="224" spans="10:13" x14ac:dyDescent="0.25">
      <c r="J224" s="10">
        <v>8263</v>
      </c>
      <c r="K224">
        <v>1</v>
      </c>
      <c r="M224"/>
    </row>
    <row r="225" spans="10:13" x14ac:dyDescent="0.25">
      <c r="J225" s="10">
        <v>8268</v>
      </c>
      <c r="K225">
        <v>1</v>
      </c>
      <c r="M225"/>
    </row>
    <row r="226" spans="10:13" x14ac:dyDescent="0.25">
      <c r="J226" s="10">
        <v>8245</v>
      </c>
      <c r="K226">
        <v>1</v>
      </c>
      <c r="M226"/>
    </row>
    <row r="227" spans="10:13" x14ac:dyDescent="0.25">
      <c r="J227" s="10">
        <v>8244</v>
      </c>
      <c r="K227">
        <v>1</v>
      </c>
      <c r="M227"/>
    </row>
    <row r="228" spans="10:13" x14ac:dyDescent="0.25">
      <c r="J228" s="10">
        <v>8242</v>
      </c>
      <c r="K228">
        <v>1</v>
      </c>
      <c r="M228"/>
    </row>
    <row r="229" spans="10:13" x14ac:dyDescent="0.25">
      <c r="J229" s="10">
        <v>8241</v>
      </c>
      <c r="K229">
        <v>1</v>
      </c>
      <c r="M229"/>
    </row>
    <row r="230" spans="10:13" x14ac:dyDescent="0.25">
      <c r="J230" s="10">
        <v>8265</v>
      </c>
      <c r="K230">
        <v>1</v>
      </c>
      <c r="M230"/>
    </row>
    <row r="231" spans="10:13" x14ac:dyDescent="0.25">
      <c r="J231" s="10">
        <v>8267</v>
      </c>
      <c r="K231">
        <v>2</v>
      </c>
      <c r="M231"/>
    </row>
    <row r="232" spans="10:13" x14ac:dyDescent="0.25">
      <c r="J232" s="10">
        <v>8266</v>
      </c>
      <c r="K232">
        <v>1</v>
      </c>
      <c r="M232"/>
    </row>
    <row r="233" spans="10:13" x14ac:dyDescent="0.25">
      <c r="J233" s="10" t="s">
        <v>199</v>
      </c>
      <c r="K233">
        <v>1</v>
      </c>
      <c r="M233"/>
    </row>
    <row r="234" spans="10:13" x14ac:dyDescent="0.25">
      <c r="J234" s="10">
        <v>8252</v>
      </c>
      <c r="K234">
        <v>1</v>
      </c>
      <c r="M234"/>
    </row>
    <row r="235" spans="10:13" x14ac:dyDescent="0.25">
      <c r="J235" s="10">
        <v>8275</v>
      </c>
      <c r="K235">
        <v>1</v>
      </c>
      <c r="M235"/>
    </row>
    <row r="236" spans="10:13" x14ac:dyDescent="0.25">
      <c r="J236" s="10">
        <v>8254</v>
      </c>
      <c r="K236">
        <v>1</v>
      </c>
      <c r="M236"/>
    </row>
    <row r="237" spans="10:13" x14ac:dyDescent="0.25">
      <c r="J237" s="10">
        <v>8288</v>
      </c>
      <c r="K237">
        <v>1</v>
      </c>
      <c r="M237"/>
    </row>
    <row r="238" spans="10:13" x14ac:dyDescent="0.25">
      <c r="J238" s="10">
        <v>8255</v>
      </c>
      <c r="K238">
        <v>1</v>
      </c>
      <c r="M238"/>
    </row>
    <row r="239" spans="10:13" x14ac:dyDescent="0.25">
      <c r="J239" s="10">
        <v>8283</v>
      </c>
      <c r="K239">
        <v>1</v>
      </c>
      <c r="M239"/>
    </row>
    <row r="240" spans="10:13" x14ac:dyDescent="0.25">
      <c r="J240" s="10">
        <v>8285</v>
      </c>
      <c r="K240">
        <v>1</v>
      </c>
      <c r="M240"/>
    </row>
    <row r="241" spans="10:13" x14ac:dyDescent="0.25">
      <c r="J241" s="10">
        <v>8274</v>
      </c>
      <c r="K241">
        <v>1</v>
      </c>
      <c r="M241"/>
    </row>
    <row r="242" spans="10:13" x14ac:dyDescent="0.25">
      <c r="J242" s="10">
        <v>8272</v>
      </c>
      <c r="K242">
        <v>1</v>
      </c>
      <c r="M242"/>
    </row>
    <row r="243" spans="10:13" x14ac:dyDescent="0.25">
      <c r="J243" s="10">
        <v>8273</v>
      </c>
      <c r="K243">
        <v>1</v>
      </c>
      <c r="M243"/>
    </row>
    <row r="244" spans="10:13" x14ac:dyDescent="0.25">
      <c r="J244" s="10">
        <v>8292</v>
      </c>
      <c r="K244">
        <v>1</v>
      </c>
      <c r="M244"/>
    </row>
    <row r="245" spans="10:13" x14ac:dyDescent="0.25">
      <c r="J245" s="10">
        <v>8284</v>
      </c>
      <c r="K245">
        <v>1</v>
      </c>
      <c r="M245"/>
    </row>
    <row r="246" spans="10:13" x14ac:dyDescent="0.25">
      <c r="J246" s="10">
        <v>8269</v>
      </c>
      <c r="K246">
        <v>1</v>
      </c>
      <c r="M246"/>
    </row>
    <row r="247" spans="10:13" x14ac:dyDescent="0.25">
      <c r="J247" s="10">
        <v>8297</v>
      </c>
      <c r="K247">
        <v>1</v>
      </c>
      <c r="M247"/>
    </row>
    <row r="248" spans="10:13" x14ac:dyDescent="0.25">
      <c r="J248" s="10">
        <v>8296</v>
      </c>
      <c r="K248">
        <v>1</v>
      </c>
      <c r="M248"/>
    </row>
    <row r="249" spans="10:13" x14ac:dyDescent="0.25">
      <c r="J249" s="10">
        <v>8277</v>
      </c>
      <c r="K249">
        <v>1</v>
      </c>
      <c r="M249"/>
    </row>
    <row r="250" spans="10:13" x14ac:dyDescent="0.25">
      <c r="J250" s="10">
        <v>8257</v>
      </c>
      <c r="K250">
        <v>1</v>
      </c>
      <c r="M250"/>
    </row>
    <row r="251" spans="10:13" x14ac:dyDescent="0.25">
      <c r="J251" s="10">
        <v>8294</v>
      </c>
      <c r="K251">
        <v>1</v>
      </c>
      <c r="M251"/>
    </row>
    <row r="252" spans="10:13" x14ac:dyDescent="0.25">
      <c r="J252" s="10">
        <v>8301</v>
      </c>
      <c r="K252">
        <v>1</v>
      </c>
      <c r="M252"/>
    </row>
    <row r="253" spans="10:13" x14ac:dyDescent="0.25">
      <c r="J253" s="10">
        <v>8233</v>
      </c>
      <c r="K253">
        <v>1</v>
      </c>
      <c r="M253"/>
    </row>
    <row r="254" spans="10:13" x14ac:dyDescent="0.25">
      <c r="J254" s="10">
        <v>8279</v>
      </c>
      <c r="K254">
        <v>1</v>
      </c>
      <c r="M254"/>
    </row>
    <row r="255" spans="10:13" x14ac:dyDescent="0.25">
      <c r="J255" s="10">
        <v>8278</v>
      </c>
      <c r="K255">
        <v>1</v>
      </c>
      <c r="M255"/>
    </row>
    <row r="256" spans="10:13" x14ac:dyDescent="0.25">
      <c r="J256" s="10">
        <v>8261</v>
      </c>
      <c r="K256">
        <v>1</v>
      </c>
      <c r="M256"/>
    </row>
    <row r="257" spans="10:13" x14ac:dyDescent="0.25">
      <c r="J257" s="10">
        <v>8234</v>
      </c>
      <c r="K257">
        <v>1</v>
      </c>
      <c r="M257"/>
    </row>
    <row r="258" spans="10:13" x14ac:dyDescent="0.25">
      <c r="J258" s="10">
        <v>8262</v>
      </c>
      <c r="K258">
        <v>1</v>
      </c>
      <c r="M258"/>
    </row>
    <row r="259" spans="10:13" x14ac:dyDescent="0.25">
      <c r="J259" s="10">
        <v>8280</v>
      </c>
      <c r="K259">
        <v>1</v>
      </c>
      <c r="M259"/>
    </row>
    <row r="260" spans="10:13" x14ac:dyDescent="0.25">
      <c r="J260" s="10">
        <v>8271</v>
      </c>
      <c r="K260">
        <v>1</v>
      </c>
      <c r="M260"/>
    </row>
    <row r="261" spans="10:13" x14ac:dyDescent="0.25">
      <c r="J261" s="10">
        <v>8293</v>
      </c>
      <c r="K261">
        <v>1</v>
      </c>
      <c r="M261"/>
    </row>
    <row r="262" spans="10:13" x14ac:dyDescent="0.25">
      <c r="J262" s="10">
        <v>8289</v>
      </c>
      <c r="K262">
        <v>1</v>
      </c>
      <c r="M262"/>
    </row>
    <row r="263" spans="10:13" x14ac:dyDescent="0.25">
      <c r="J263" s="10">
        <v>8300</v>
      </c>
      <c r="K263">
        <v>1</v>
      </c>
      <c r="M263"/>
    </row>
    <row r="264" spans="10:13" x14ac:dyDescent="0.25">
      <c r="J264" s="10">
        <v>8304</v>
      </c>
      <c r="K264">
        <v>1</v>
      </c>
      <c r="M264"/>
    </row>
    <row r="265" spans="10:13" x14ac:dyDescent="0.25">
      <c r="J265" s="10">
        <v>8302</v>
      </c>
      <c r="K265">
        <v>1</v>
      </c>
      <c r="M265"/>
    </row>
    <row r="266" spans="10:13" x14ac:dyDescent="0.25">
      <c r="J266" s="10">
        <v>8290</v>
      </c>
      <c r="K266">
        <v>1</v>
      </c>
      <c r="M266"/>
    </row>
    <row r="267" spans="10:13" x14ac:dyDescent="0.25">
      <c r="J267" s="10">
        <v>8295</v>
      </c>
      <c r="K267">
        <v>1</v>
      </c>
      <c r="M267"/>
    </row>
    <row r="268" spans="10:13" x14ac:dyDescent="0.25">
      <c r="J268" s="10">
        <v>8303</v>
      </c>
      <c r="K268">
        <v>1</v>
      </c>
      <c r="M268"/>
    </row>
    <row r="269" spans="10:13" x14ac:dyDescent="0.25">
      <c r="J269" s="10">
        <v>8306</v>
      </c>
      <c r="K269">
        <v>1</v>
      </c>
      <c r="M269"/>
    </row>
    <row r="270" spans="10:13" x14ac:dyDescent="0.25">
      <c r="J270" s="10">
        <v>8310</v>
      </c>
      <c r="K270">
        <v>1</v>
      </c>
      <c r="M270"/>
    </row>
    <row r="271" spans="10:13" x14ac:dyDescent="0.25">
      <c r="J271" s="10">
        <v>8312</v>
      </c>
      <c r="K271">
        <v>1</v>
      </c>
      <c r="M271"/>
    </row>
    <row r="272" spans="10:13" x14ac:dyDescent="0.25">
      <c r="J272" s="10">
        <v>8311</v>
      </c>
      <c r="K272">
        <v>1</v>
      </c>
      <c r="M272"/>
    </row>
    <row r="273" spans="10:13" x14ac:dyDescent="0.25">
      <c r="J273" s="10">
        <v>8320</v>
      </c>
      <c r="K273">
        <v>1</v>
      </c>
      <c r="M273"/>
    </row>
    <row r="274" spans="10:13" x14ac:dyDescent="0.25">
      <c r="J274" s="10">
        <v>8281</v>
      </c>
      <c r="K274">
        <v>1</v>
      </c>
      <c r="M274"/>
    </row>
    <row r="275" spans="10:13" x14ac:dyDescent="0.25">
      <c r="J275" s="10">
        <v>8321</v>
      </c>
      <c r="K275">
        <v>1</v>
      </c>
      <c r="M275"/>
    </row>
    <row r="276" spans="10:13" x14ac:dyDescent="0.25">
      <c r="J276" s="10">
        <v>8307</v>
      </c>
      <c r="K276">
        <v>1</v>
      </c>
      <c r="M276"/>
    </row>
    <row r="277" spans="10:13" x14ac:dyDescent="0.25">
      <c r="J277" s="10">
        <v>8305</v>
      </c>
      <c r="K277">
        <v>1</v>
      </c>
      <c r="M277"/>
    </row>
    <row r="278" spans="10:13" x14ac:dyDescent="0.25">
      <c r="J278" s="10">
        <v>8308</v>
      </c>
      <c r="K278">
        <v>1</v>
      </c>
      <c r="M278"/>
    </row>
    <row r="279" spans="10:13" x14ac:dyDescent="0.25">
      <c r="J279" s="10">
        <v>8256</v>
      </c>
      <c r="K279">
        <v>1</v>
      </c>
      <c r="M279"/>
    </row>
    <row r="280" spans="10:13" x14ac:dyDescent="0.25">
      <c r="J280" s="10">
        <v>8259</v>
      </c>
      <c r="K280">
        <v>1</v>
      </c>
      <c r="M280"/>
    </row>
    <row r="281" spans="10:13" x14ac:dyDescent="0.25">
      <c r="J281" s="10">
        <v>8322</v>
      </c>
      <c r="K281">
        <v>1</v>
      </c>
      <c r="M281"/>
    </row>
    <row r="282" spans="10:13" x14ac:dyDescent="0.25">
      <c r="J282" s="10">
        <v>8342</v>
      </c>
      <c r="K282">
        <v>1</v>
      </c>
      <c r="M282"/>
    </row>
    <row r="283" spans="10:13" x14ac:dyDescent="0.25">
      <c r="J283" s="10">
        <v>8316</v>
      </c>
      <c r="K283">
        <v>1</v>
      </c>
      <c r="M283"/>
    </row>
    <row r="284" spans="10:13" x14ac:dyDescent="0.25">
      <c r="J284" s="10">
        <v>8325</v>
      </c>
      <c r="K284">
        <v>1</v>
      </c>
      <c r="M284"/>
    </row>
    <row r="285" spans="10:13" x14ac:dyDescent="0.25">
      <c r="J285" s="10">
        <v>8332</v>
      </c>
      <c r="K285">
        <v>1</v>
      </c>
      <c r="M285"/>
    </row>
    <row r="286" spans="10:13" x14ac:dyDescent="0.25">
      <c r="J286" s="10">
        <v>8317</v>
      </c>
      <c r="K286">
        <v>1</v>
      </c>
      <c r="M286"/>
    </row>
    <row r="287" spans="10:13" x14ac:dyDescent="0.25">
      <c r="J287" s="10" t="s">
        <v>160</v>
      </c>
      <c r="K287">
        <v>207</v>
      </c>
      <c r="M287"/>
    </row>
    <row r="288" spans="10:13" x14ac:dyDescent="0.25">
      <c r="M288"/>
    </row>
    <row r="289" spans="13:13" x14ac:dyDescent="0.25">
      <c r="M289"/>
    </row>
    <row r="290" spans="13:13" x14ac:dyDescent="0.25">
      <c r="M290"/>
    </row>
    <row r="291" spans="13:13" x14ac:dyDescent="0.25">
      <c r="M291"/>
    </row>
    <row r="292" spans="13:13" x14ac:dyDescent="0.25">
      <c r="M292"/>
    </row>
    <row r="293" spans="13:13" x14ac:dyDescent="0.25">
      <c r="M293"/>
    </row>
    <row r="294" spans="13:13" x14ac:dyDescent="0.25">
      <c r="M294"/>
    </row>
    <row r="295" spans="13:13" x14ac:dyDescent="0.25">
      <c r="M295"/>
    </row>
    <row r="296" spans="13:13" x14ac:dyDescent="0.25">
      <c r="M296"/>
    </row>
    <row r="297" spans="13:13" x14ac:dyDescent="0.25">
      <c r="M29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381C6-032B-4FBE-B4DE-F0F844C09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</vt:i4>
      </vt:variant>
    </vt:vector>
  </HeadingPairs>
  <TitlesOfParts>
    <vt:vector size="20" baseType="lpstr">
      <vt:lpstr>EX BD</vt:lpstr>
      <vt:lpstr>MENU</vt:lpstr>
      <vt:lpstr>DASH RECEB</vt:lpstr>
      <vt:lpstr>DASH SEPARACAO</vt:lpstr>
      <vt:lpstr>DASH CONF</vt:lpstr>
      <vt:lpstr>DASH COMERCIAL</vt:lpstr>
      <vt:lpstr>DASH FINANCEIRO</vt:lpstr>
      <vt:lpstr>DASH REGULATORIO</vt:lpstr>
      <vt:lpstr>DASH DP</vt:lpstr>
      <vt:lpstr>BD</vt:lpstr>
      <vt:lpstr>BASE. FIN.</vt:lpstr>
      <vt:lpstr>ANALISES COMERCIAL</vt:lpstr>
      <vt:lpstr>BASE DADOS COMERCIAL</vt:lpstr>
      <vt:lpstr>ANALISES FIN.</vt:lpstr>
      <vt:lpstr>GRAFICOS</vt:lpstr>
      <vt:lpstr>ANALISES SEPARACAO</vt:lpstr>
      <vt:lpstr>ANALISES CONF</vt:lpstr>
      <vt:lpstr>LOGISTICA</vt:lpstr>
      <vt:lpstr>ANALISES RECEB</vt:lpstr>
      <vt:lpstr>'DASH FINANCEIRO'!Area_de_impressao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Lemmi Consultoria</dc:creator>
  <cp:lastModifiedBy>Hicaro Alves Dillmann</cp:lastModifiedBy>
  <dcterms:created xsi:type="dcterms:W3CDTF">2026-02-03T21:53:22Z</dcterms:created>
  <dcterms:modified xsi:type="dcterms:W3CDTF">2026-03-18T03:18:58Z</dcterms:modified>
</cp:coreProperties>
</file>