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cham_garroum\Desktop\VBAfiles\VBA_FILES\SurveyotMate\DS_USERFORM\"/>
    </mc:Choice>
  </mc:AlternateContent>
  <xr:revisionPtr revIDLastSave="0" documentId="13_ncr:1_{B577C471-894F-401B-865D-D5E473AA6394}" xr6:coauthVersionLast="45" xr6:coauthVersionMax="45" xr10:uidLastSave="{00000000-0000-0000-0000-000000000000}"/>
  <bookViews>
    <workbookView showHorizontalScroll="0" showVerticalScroll="0" showSheetTabs="0" xWindow="760" yWindow="760" windowWidth="16900" windowHeight="8400" activeTab="1" xr2:uid="{00000000-000D-0000-FFFF-FFFF00000000}"/>
  </bookViews>
  <sheets>
    <sheet name="Ships" sheetId="6" r:id="rId1"/>
    <sheet name="Data" sheetId="9" r:id="rId2"/>
    <sheet name="DS_REPORT" sheetId="10" r:id="rId3"/>
    <sheet name="Details" sheetId="11" r:id="rId4"/>
    <sheet name="Feuil1" sheetId="15" r:id="rId5"/>
    <sheet name="Deductibles" sheetId="12" r:id="rId6"/>
    <sheet name="Calcul" sheetId="8" r:id="rId7"/>
    <sheet name="Initial FW" sheetId="13" r:id="rId8"/>
    <sheet name="FinalFW" sheetId="14" r:id="rId9"/>
  </sheets>
  <functionGroups builtInGroupCount="19"/>
  <externalReferences>
    <externalReference r:id="rId10"/>
    <externalReference r:id="rId11"/>
    <externalReference r:id="rId12"/>
  </externalReferences>
  <definedNames>
    <definedName name="AVANT">#REF!</definedName>
    <definedName name="LCF">#REF!</definedName>
    <definedName name="milieu">#REF!</definedName>
    <definedName name="purpose">#REF!</definedName>
    <definedName name="TabFinalBallast">Data!$L$93:$Q$123</definedName>
    <definedName name="TabInitialBallast">Data!$B$93:$I$123</definedName>
    <definedName name="TRIM">#REF!</definedName>
    <definedName name="_xlnm.Print_Area" localSheetId="5">Deductibles!$A$1:$V$71</definedName>
    <definedName name="_xlnm.Print_Area" localSheetId="3">Details!$A$1:$Q$61</definedName>
    <definedName name="_xlnm.Print_Area" localSheetId="2">DS_REPORT!$A$1:$X$71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0" i="9" l="1"/>
  <c r="I75" i="9"/>
  <c r="L82" i="9"/>
  <c r="L80" i="9"/>
  <c r="F80" i="9"/>
  <c r="F82" i="9"/>
  <c r="T6" i="12"/>
  <c r="O8" i="12"/>
  <c r="O7" i="12"/>
  <c r="O6" i="12"/>
  <c r="O5" i="12"/>
  <c r="O4" i="12"/>
  <c r="S17" i="12"/>
  <c r="S18" i="12"/>
  <c r="S19" i="12"/>
  <c r="S20" i="12"/>
  <c r="S21" i="12"/>
  <c r="S22" i="12"/>
  <c r="S23" i="12"/>
  <c r="S24" i="12"/>
  <c r="S25" i="12"/>
  <c r="S26" i="12"/>
  <c r="S16" i="12"/>
  <c r="Q17" i="12"/>
  <c r="Q18" i="12"/>
  <c r="Q19" i="12"/>
  <c r="Q20" i="12"/>
  <c r="Q21" i="12"/>
  <c r="Q22" i="12"/>
  <c r="Q23" i="12"/>
  <c r="Q24" i="12"/>
  <c r="Q25" i="12"/>
  <c r="Q26" i="12"/>
  <c r="Q16" i="12"/>
  <c r="O17" i="12"/>
  <c r="O18" i="12"/>
  <c r="O19" i="12"/>
  <c r="O20" i="12"/>
  <c r="O21" i="12"/>
  <c r="O22" i="12"/>
  <c r="O23" i="12"/>
  <c r="O24" i="12"/>
  <c r="O25" i="12"/>
  <c r="O26" i="12"/>
  <c r="O16" i="12"/>
  <c r="H26" i="12"/>
  <c r="H27" i="12"/>
  <c r="H17" i="12"/>
  <c r="H18" i="12"/>
  <c r="H19" i="12"/>
  <c r="H20" i="12"/>
  <c r="H21" i="12"/>
  <c r="H22" i="12"/>
  <c r="H23" i="12"/>
  <c r="H24" i="12"/>
  <c r="H25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16" i="12"/>
  <c r="D24" i="12"/>
  <c r="D23" i="12"/>
  <c r="D22" i="12"/>
  <c r="D21" i="12"/>
  <c r="D20" i="12"/>
  <c r="D19" i="12"/>
  <c r="D18" i="12"/>
  <c r="D17" i="12"/>
  <c r="D16" i="12"/>
  <c r="A24" i="12"/>
  <c r="V12" i="10"/>
  <c r="V13" i="10"/>
  <c r="O16" i="11"/>
  <c r="O15" i="11"/>
  <c r="O14" i="11"/>
  <c r="K3" i="11"/>
  <c r="R7" i="10"/>
  <c r="O49" i="11"/>
  <c r="M45" i="11"/>
  <c r="M44" i="11"/>
  <c r="M38" i="11"/>
  <c r="M33" i="11"/>
  <c r="M32" i="11"/>
  <c r="M30" i="11"/>
  <c r="M17" i="11"/>
  <c r="M16" i="11"/>
  <c r="M15" i="11"/>
  <c r="N138" i="9" l="1"/>
  <c r="M43" i="11" s="1"/>
  <c r="H138" i="9"/>
  <c r="AI135" i="9"/>
  <c r="AE135" i="9"/>
  <c r="I45" i="11" l="1"/>
  <c r="I44" i="11"/>
  <c r="I38" i="11" l="1"/>
  <c r="I33" i="11"/>
  <c r="I32" i="11"/>
  <c r="I30" i="11"/>
  <c r="K14" i="11" l="1"/>
  <c r="K17" i="11"/>
  <c r="K16" i="11"/>
  <c r="K15" i="11"/>
  <c r="I17" i="11"/>
  <c r="I16" i="11"/>
  <c r="I15" i="11"/>
  <c r="K7" i="11"/>
  <c r="K6" i="11"/>
  <c r="O5" i="11"/>
  <c r="K5" i="11"/>
  <c r="M5" i="11" s="1"/>
  <c r="K4" i="11"/>
  <c r="G21" i="10"/>
  <c r="A16" i="12" l="1"/>
  <c r="AJ8" i="13" l="1"/>
  <c r="AM8" i="13"/>
  <c r="AJ9" i="13"/>
  <c r="AJ7" i="13"/>
  <c r="AE11" i="13" l="1"/>
  <c r="A36" i="12"/>
  <c r="A35" i="12"/>
  <c r="A34" i="12"/>
  <c r="A33" i="12"/>
  <c r="A32" i="12"/>
  <c r="A31" i="12"/>
  <c r="A30" i="12"/>
  <c r="A29" i="12"/>
  <c r="A28" i="12"/>
  <c r="A27" i="12"/>
  <c r="A26" i="12"/>
  <c r="A25" i="12"/>
  <c r="A23" i="12"/>
  <c r="A22" i="12"/>
  <c r="A21" i="12"/>
  <c r="A20" i="12"/>
  <c r="A19" i="12"/>
  <c r="A18" i="12"/>
  <c r="A17" i="12"/>
  <c r="T3" i="13"/>
  <c r="T4" i="13"/>
  <c r="T5" i="13"/>
  <c r="T2" i="13"/>
  <c r="T6" i="13" s="1"/>
  <c r="I3" i="13"/>
  <c r="I4" i="13"/>
  <c r="I5" i="13"/>
  <c r="I2" i="13"/>
  <c r="I6" i="13" s="1"/>
  <c r="I51" i="12"/>
  <c r="T50" i="12"/>
  <c r="I53" i="12"/>
  <c r="L5" i="13"/>
  <c r="L4" i="13"/>
  <c r="L3" i="13"/>
  <c r="L2" i="13"/>
  <c r="J17" i="12" l="1"/>
  <c r="J18" i="12"/>
  <c r="U16" i="12"/>
  <c r="J18" i="10"/>
  <c r="W21" i="10"/>
  <c r="W20" i="10"/>
  <c r="W18" i="10"/>
  <c r="W19" i="10"/>
  <c r="J21" i="10"/>
  <c r="J19" i="10"/>
  <c r="L46" i="10"/>
  <c r="S46" i="10"/>
  <c r="T21" i="10" l="1"/>
  <c r="V15" i="10"/>
  <c r="V14" i="10"/>
  <c r="N12" i="10" l="1"/>
  <c r="N15" i="10"/>
  <c r="N14" i="10"/>
  <c r="N13" i="10"/>
  <c r="F15" i="10"/>
  <c r="F14" i="10"/>
  <c r="F13" i="10"/>
  <c r="F12" i="10"/>
  <c r="R8" i="10"/>
  <c r="V6" i="10"/>
  <c r="R6" i="10"/>
  <c r="R5" i="10"/>
  <c r="R4" i="10"/>
  <c r="G20" i="10"/>
  <c r="G19" i="10"/>
  <c r="G18" i="10"/>
  <c r="T20" i="10" l="1"/>
  <c r="T19" i="10"/>
  <c r="T18" i="10"/>
  <c r="H85" i="9"/>
  <c r="Z87" i="9" l="1"/>
  <c r="T53" i="12" l="1"/>
  <c r="D53" i="12"/>
  <c r="L53" i="12"/>
  <c r="T52" i="12"/>
  <c r="I52" i="12"/>
  <c r="L52" i="12"/>
  <c r="L51" i="12"/>
  <c r="L50" i="12"/>
  <c r="L48" i="12"/>
  <c r="U45" i="12"/>
  <c r="J45" i="12"/>
  <c r="L45" i="12"/>
  <c r="U44" i="12"/>
  <c r="J44" i="12"/>
  <c r="L44" i="12"/>
  <c r="U43" i="12"/>
  <c r="J43" i="12"/>
  <c r="L43" i="12"/>
  <c r="U42" i="12"/>
  <c r="J42" i="12"/>
  <c r="L42" i="12"/>
  <c r="U41" i="12"/>
  <c r="J41" i="12"/>
  <c r="L41" i="12"/>
  <c r="U40" i="12"/>
  <c r="J40" i="12"/>
  <c r="L40" i="12"/>
  <c r="U39" i="12"/>
  <c r="J39" i="12"/>
  <c r="L39" i="12"/>
  <c r="U38" i="12"/>
  <c r="J38" i="12"/>
  <c r="L38" i="12"/>
  <c r="U37" i="12"/>
  <c r="J37" i="12"/>
  <c r="L37" i="12"/>
  <c r="U36" i="12"/>
  <c r="J36" i="12"/>
  <c r="L36" i="12"/>
  <c r="U35" i="12"/>
  <c r="J35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K8" i="12"/>
  <c r="K7" i="12"/>
  <c r="R6" i="12"/>
  <c r="K5" i="12"/>
  <c r="K4" i="12"/>
  <c r="C45" i="11"/>
  <c r="H7" i="11"/>
  <c r="H6" i="11"/>
  <c r="H4" i="11"/>
  <c r="H3" i="11"/>
  <c r="A60" i="10"/>
  <c r="A59" i="10"/>
  <c r="A58" i="10"/>
  <c r="T6" i="10"/>
  <c r="S186" i="9"/>
  <c r="N161" i="9"/>
  <c r="T36" i="10" s="1"/>
  <c r="H161" i="9"/>
  <c r="M36" i="10" s="1"/>
  <c r="N160" i="9"/>
  <c r="T35" i="10" s="1"/>
  <c r="H160" i="9"/>
  <c r="M35" i="10" s="1"/>
  <c r="N155" i="9"/>
  <c r="T31" i="10" s="1"/>
  <c r="H155" i="9"/>
  <c r="M31" i="10" s="1"/>
  <c r="N154" i="9"/>
  <c r="T30" i="10" s="1"/>
  <c r="H154" i="9"/>
  <c r="M30" i="10" s="1"/>
  <c r="N149" i="9"/>
  <c r="T26" i="10" s="1"/>
  <c r="H149" i="9"/>
  <c r="M26" i="10" s="1"/>
  <c r="N148" i="9"/>
  <c r="T25" i="10" s="1"/>
  <c r="H148" i="9"/>
  <c r="M25" i="10" s="1"/>
  <c r="I43" i="11"/>
  <c r="R131" i="9"/>
  <c r="P131" i="9"/>
  <c r="J131" i="9"/>
  <c r="H131" i="9"/>
  <c r="R130" i="9"/>
  <c r="P130" i="9"/>
  <c r="J130" i="9"/>
  <c r="H130" i="9"/>
  <c r="P129" i="9"/>
  <c r="R129" i="9" s="1"/>
  <c r="H129" i="9"/>
  <c r="J129" i="9" s="1"/>
  <c r="P128" i="9"/>
  <c r="R128" i="9" s="1"/>
  <c r="H128" i="9"/>
  <c r="J128" i="9" s="1"/>
  <c r="N124" i="9"/>
  <c r="F124" i="9"/>
  <c r="R123" i="9"/>
  <c r="J123" i="9"/>
  <c r="R122" i="9"/>
  <c r="J122" i="9"/>
  <c r="R121" i="9"/>
  <c r="J121" i="9"/>
  <c r="R120" i="9"/>
  <c r="J120" i="9"/>
  <c r="R119" i="9"/>
  <c r="J119" i="9"/>
  <c r="R118" i="9"/>
  <c r="J118" i="9"/>
  <c r="R117" i="9"/>
  <c r="J117" i="9"/>
  <c r="R116" i="9"/>
  <c r="J116" i="9"/>
  <c r="R115" i="9"/>
  <c r="J115" i="9"/>
  <c r="R114" i="9"/>
  <c r="J114" i="9"/>
  <c r="R113" i="9"/>
  <c r="J113" i="9"/>
  <c r="R112" i="9"/>
  <c r="J112" i="9"/>
  <c r="R111" i="9"/>
  <c r="J111" i="9"/>
  <c r="R110" i="9"/>
  <c r="J110" i="9"/>
  <c r="R109" i="9"/>
  <c r="J109" i="9"/>
  <c r="R108" i="9"/>
  <c r="J108" i="9"/>
  <c r="R107" i="9"/>
  <c r="J107" i="9"/>
  <c r="R106" i="9"/>
  <c r="J106" i="9"/>
  <c r="R105" i="9"/>
  <c r="J105" i="9"/>
  <c r="R104" i="9"/>
  <c r="J104" i="9"/>
  <c r="R103" i="9"/>
  <c r="J103" i="9"/>
  <c r="R102" i="9"/>
  <c r="J102" i="9"/>
  <c r="R101" i="9"/>
  <c r="J101" i="9"/>
  <c r="R100" i="9"/>
  <c r="J100" i="9"/>
  <c r="R99" i="9"/>
  <c r="J99" i="9"/>
  <c r="R98" i="9"/>
  <c r="J98" i="9"/>
  <c r="R97" i="9"/>
  <c r="J97" i="9"/>
  <c r="R96" i="9"/>
  <c r="J96" i="9"/>
  <c r="R95" i="9"/>
  <c r="J95" i="9"/>
  <c r="R94" i="9"/>
  <c r="J94" i="9"/>
  <c r="AB87" i="9"/>
  <c r="H87" i="9"/>
  <c r="N87" i="9" s="1"/>
  <c r="N86" i="9"/>
  <c r="N85" i="9" s="1"/>
  <c r="Z84" i="9"/>
  <c r="O83" i="9"/>
  <c r="M34" i="11" s="1"/>
  <c r="I83" i="9"/>
  <c r="I34" i="11" s="1"/>
  <c r="B76" i="9"/>
  <c r="Z75" i="9"/>
  <c r="Z77" i="9" s="1"/>
  <c r="Z78" i="9" s="1"/>
  <c r="AB78" i="9" s="1"/>
  <c r="B75" i="9"/>
  <c r="B74" i="9"/>
  <c r="B71" i="9"/>
  <c r="B70" i="9"/>
  <c r="B69" i="9"/>
  <c r="J124" i="9" l="1"/>
  <c r="I41" i="11" s="1"/>
  <c r="R124" i="9"/>
  <c r="M41" i="11" s="1"/>
  <c r="J132" i="9"/>
  <c r="I42" i="11" s="1"/>
  <c r="R132" i="9"/>
  <c r="M42" i="11" s="1"/>
  <c r="H156" i="9"/>
  <c r="M32" i="10" s="1"/>
  <c r="H150" i="9"/>
  <c r="M27" i="10" s="1"/>
  <c r="N162" i="9"/>
  <c r="T37" i="10" s="1"/>
  <c r="H162" i="9"/>
  <c r="M37" i="10" s="1"/>
  <c r="N156" i="9"/>
  <c r="T32" i="10" s="1"/>
  <c r="N150" i="9"/>
  <c r="T27" i="10" s="1"/>
  <c r="U17" i="12"/>
  <c r="J22" i="12"/>
  <c r="J30" i="12"/>
  <c r="I60" i="12"/>
  <c r="U29" i="12"/>
  <c r="T51" i="12"/>
  <c r="L60" i="12"/>
  <c r="J23" i="12"/>
  <c r="J20" i="12"/>
  <c r="J28" i="12"/>
  <c r="I50" i="12"/>
  <c r="J19" i="12"/>
  <c r="U20" i="12"/>
  <c r="J25" i="12"/>
  <c r="J31" i="12"/>
  <c r="J21" i="12"/>
  <c r="J29" i="12"/>
  <c r="J16" i="12"/>
  <c r="U18" i="12"/>
  <c r="J24" i="12"/>
  <c r="J32" i="12"/>
  <c r="U28" i="12"/>
  <c r="Q46" i="12"/>
  <c r="U25" i="12"/>
  <c r="U33" i="12"/>
  <c r="U24" i="12"/>
  <c r="U32" i="12"/>
  <c r="U21" i="12"/>
  <c r="J26" i="12"/>
  <c r="J27" i="12"/>
  <c r="J34" i="12"/>
  <c r="J33" i="12"/>
  <c r="U19" i="12"/>
  <c r="U22" i="12"/>
  <c r="U23" i="12"/>
  <c r="U26" i="12"/>
  <c r="U27" i="12"/>
  <c r="U30" i="12"/>
  <c r="U31" i="12"/>
  <c r="U34" i="12"/>
  <c r="F46" i="12"/>
  <c r="N144" i="9" l="1"/>
  <c r="H144" i="9"/>
  <c r="I54" i="12"/>
  <c r="T54" i="12"/>
  <c r="Q88" i="9"/>
  <c r="H88" i="9"/>
  <c r="N88" i="9"/>
  <c r="M14" i="11" s="1"/>
  <c r="U46" i="12"/>
  <c r="J46" i="12"/>
  <c r="S48" i="10" l="1"/>
  <c r="M46" i="11"/>
  <c r="H151" i="9"/>
  <c r="I18" i="11" s="1"/>
  <c r="I14" i="11"/>
  <c r="L48" i="10"/>
  <c r="I46" i="11"/>
  <c r="N163" i="9"/>
  <c r="H163" i="9"/>
  <c r="I19" i="11" s="1"/>
  <c r="H157" i="9"/>
  <c r="I20" i="11" s="1"/>
  <c r="N151" i="9"/>
  <c r="M18" i="11" s="1"/>
  <c r="N157" i="9"/>
  <c r="M20" i="11" s="1"/>
  <c r="N164" i="9" l="1"/>
  <c r="M19" i="11"/>
  <c r="H152" i="9"/>
  <c r="M28" i="10"/>
  <c r="T38" i="10"/>
  <c r="N158" i="9"/>
  <c r="T33" i="10"/>
  <c r="N152" i="9"/>
  <c r="T28" i="10"/>
  <c r="H164" i="9"/>
  <c r="M38" i="10"/>
  <c r="H158" i="9"/>
  <c r="M33" i="10"/>
  <c r="I21" i="11" l="1"/>
  <c r="I60" i="9"/>
  <c r="F65" i="9" s="1"/>
  <c r="H65" i="9" s="1"/>
  <c r="H170" i="9" s="1"/>
  <c r="T29" i="10"/>
  <c r="M21" i="11"/>
  <c r="T34" i="10"/>
  <c r="M23" i="11"/>
  <c r="T39" i="10"/>
  <c r="M22" i="11"/>
  <c r="M29" i="10"/>
  <c r="M39" i="10"/>
  <c r="I22" i="11"/>
  <c r="M34" i="10"/>
  <c r="I23" i="11"/>
  <c r="Q89" i="9"/>
  <c r="O24" i="11" s="1"/>
  <c r="N166" i="9"/>
  <c r="T40" i="10" s="1"/>
  <c r="H166" i="9"/>
  <c r="M40" i="10" s="1"/>
  <c r="K89" i="9"/>
  <c r="K24" i="11" s="1"/>
  <c r="H89" i="9"/>
  <c r="N89" i="9"/>
  <c r="M24" i="11" s="1"/>
  <c r="L43" i="10" l="1"/>
  <c r="I28" i="11"/>
  <c r="H174" i="9"/>
  <c r="I36" i="11" s="1"/>
  <c r="I24" i="11"/>
  <c r="N167" i="9"/>
  <c r="N168" i="9" s="1"/>
  <c r="H167" i="9"/>
  <c r="H168" i="9" s="1"/>
  <c r="H201" i="9"/>
  <c r="F75" i="9"/>
  <c r="F70" i="9"/>
  <c r="I31" i="11" s="1"/>
  <c r="M25" i="11" l="1"/>
  <c r="O60" i="9"/>
  <c r="I29" i="11"/>
  <c r="H203" i="9"/>
  <c r="I27" i="11" s="1"/>
  <c r="H202" i="9"/>
  <c r="I26" i="11" s="1"/>
  <c r="M42" i="10"/>
  <c r="I25" i="11"/>
  <c r="T41" i="10"/>
  <c r="M41" i="10"/>
  <c r="T42" i="10"/>
  <c r="M174" i="9"/>
  <c r="M36" i="11" s="1"/>
  <c r="H173" i="9" l="1"/>
  <c r="H175" i="9" s="1"/>
  <c r="L65" i="9"/>
  <c r="L201" i="9"/>
  <c r="I35" i="11" l="1"/>
  <c r="I37" i="11" s="1"/>
  <c r="N65" i="9"/>
  <c r="M170" i="9" s="1"/>
  <c r="L44" i="10"/>
  <c r="L45" i="10" s="1"/>
  <c r="L47" i="10" s="1"/>
  <c r="L49" i="10" s="1"/>
  <c r="H177" i="9"/>
  <c r="L203" i="9"/>
  <c r="M27" i="11" s="1"/>
  <c r="L202" i="9"/>
  <c r="M26" i="11" s="1"/>
  <c r="L70" i="9"/>
  <c r="O70" i="9" s="1"/>
  <c r="M31" i="11" s="1"/>
  <c r="L75" i="9"/>
  <c r="O75" i="9" s="1"/>
  <c r="M29" i="11" s="1"/>
  <c r="H181" i="9" l="1"/>
  <c r="H184" i="9" s="1"/>
  <c r="I47" i="11" s="1"/>
  <c r="I39" i="11"/>
  <c r="M39" i="11"/>
  <c r="M28" i="11"/>
  <c r="S43" i="10"/>
  <c r="M173" i="9"/>
  <c r="M175" i="9" l="1"/>
  <c r="S44" i="10" s="1"/>
  <c r="S45" i="10" s="1"/>
  <c r="M35" i="11"/>
  <c r="M177" i="9" l="1"/>
  <c r="M181" i="9" s="1"/>
  <c r="M184" i="9" s="1"/>
  <c r="M37" i="11"/>
  <c r="T47" i="10"/>
  <c r="S49" i="10" s="1"/>
  <c r="O51" i="10" s="1"/>
  <c r="J186" i="9" l="1"/>
  <c r="M47" i="11"/>
  <c r="H49" i="11" s="1"/>
  <c r="S51" i="10"/>
  <c r="C51" i="10"/>
  <c r="A49" i="11" l="1"/>
  <c r="K49" i="11"/>
  <c r="S187" i="9"/>
  <c r="O50" i="11" s="1"/>
  <c r="M12" i="9"/>
  <c r="B186" i="9"/>
  <c r="E197" i="9"/>
  <c r="M10" i="9"/>
</calcChain>
</file>

<file path=xl/sharedStrings.xml><?xml version="1.0" encoding="utf-8"?>
<sst xmlns="http://schemas.openxmlformats.org/spreadsheetml/2006/main" count="669" uniqueCount="408">
  <si>
    <t>Net Displacement</t>
  </si>
  <si>
    <t>LCF</t>
  </si>
  <si>
    <t>INITIAL</t>
  </si>
  <si>
    <t>FINAL</t>
  </si>
  <si>
    <t>TPC</t>
  </si>
  <si>
    <t>LBP</t>
  </si>
  <si>
    <t>A</t>
  </si>
  <si>
    <t>F</t>
  </si>
  <si>
    <t>N/A</t>
  </si>
  <si>
    <t>*</t>
  </si>
  <si>
    <t xml:space="preserve">* Position de Draft marks par rapport au Perpendiculars: </t>
  </si>
  <si>
    <t>FORE Port :</t>
  </si>
  <si>
    <t>FORE Stbd :</t>
  </si>
  <si>
    <t>AFT Port :</t>
  </si>
  <si>
    <t>AFT Stbd :</t>
  </si>
  <si>
    <t>MID Port :</t>
  </si>
  <si>
    <t>MID Stbd :</t>
  </si>
  <si>
    <t xml:space="preserve">Quarter Mean :  </t>
  </si>
  <si>
    <t>Tank</t>
  </si>
  <si>
    <t>Sounding</t>
  </si>
  <si>
    <t>Volume</t>
  </si>
  <si>
    <t>Densité</t>
  </si>
  <si>
    <t>Weight</t>
  </si>
  <si>
    <t xml:space="preserve">Fresh water </t>
  </si>
  <si>
    <t>Density  :</t>
  </si>
  <si>
    <t xml:space="preserve">Fuel Oil </t>
  </si>
  <si>
    <t xml:space="preserve">Diesel Oil </t>
  </si>
  <si>
    <t xml:space="preserve">Lub. Oil </t>
  </si>
  <si>
    <t>Total Bunkers (MT)</t>
  </si>
  <si>
    <t>Slops</t>
  </si>
  <si>
    <t>Others:</t>
  </si>
  <si>
    <t>Vessel</t>
  </si>
  <si>
    <t>IMO</t>
  </si>
  <si>
    <t>Nationnality</t>
  </si>
  <si>
    <t>Port of Reg.</t>
  </si>
  <si>
    <t>Owner</t>
  </si>
  <si>
    <t>Kill Lenshed</t>
  </si>
  <si>
    <t>Holds Nbre</t>
  </si>
  <si>
    <t>LOA</t>
  </si>
  <si>
    <t>GRT</t>
  </si>
  <si>
    <t>NRT</t>
  </si>
  <si>
    <t>Dead Weight</t>
  </si>
  <si>
    <t>Summer Df</t>
  </si>
  <si>
    <t>Light Ship</t>
  </si>
  <si>
    <t>Const. Decl</t>
  </si>
  <si>
    <t>ARKLOW CLAN</t>
  </si>
  <si>
    <t>IRISH</t>
  </si>
  <si>
    <t>ARKLOW PORT</t>
  </si>
  <si>
    <t>ARKLOW SHIPPING</t>
  </si>
  <si>
    <t>98,99</t>
  </si>
  <si>
    <t>102,34</t>
  </si>
  <si>
    <t>6,34</t>
  </si>
  <si>
    <t>Entrer les données ds les cellules grises</t>
  </si>
  <si>
    <t>D_For_Ob P</t>
  </si>
  <si>
    <t>M_For</t>
  </si>
  <si>
    <t>For_Cor</t>
  </si>
  <si>
    <t>D_For_Ob S</t>
  </si>
  <si>
    <t>M_For/Aft</t>
  </si>
  <si>
    <t>NB:</t>
  </si>
  <si>
    <t>LCF doit etre en valeur absolue</t>
  </si>
  <si>
    <t>LCF / Mid</t>
  </si>
  <si>
    <t>LCF / Aft PP</t>
  </si>
  <si>
    <t>D_Md_Ob P</t>
  </si>
  <si>
    <t>LCF/Mid or Aft pp</t>
  </si>
  <si>
    <t>M_Md</t>
  </si>
  <si>
    <t>Mid_Cor</t>
  </si>
  <si>
    <t>M_O_M</t>
  </si>
  <si>
    <t>Diplecement</t>
  </si>
  <si>
    <t>LCF/ Mid</t>
  </si>
  <si>
    <t>LCF/AFT_PP</t>
  </si>
  <si>
    <t>Draft Inf</t>
  </si>
  <si>
    <t>Q_M</t>
  </si>
  <si>
    <t>Draft Sup</t>
  </si>
  <si>
    <t>D_Aft_Ob P</t>
  </si>
  <si>
    <t>M_Aft</t>
  </si>
  <si>
    <t>Aft_Cor</t>
  </si>
  <si>
    <t>MTC1</t>
  </si>
  <si>
    <t>MTC2</t>
  </si>
  <si>
    <t>For_pp</t>
  </si>
  <si>
    <t>DELTA MTC</t>
  </si>
  <si>
    <t>Trim_Obs</t>
  </si>
  <si>
    <t>Trim_Cor</t>
  </si>
  <si>
    <t>Mid_pp</t>
  </si>
  <si>
    <t>Q_M + 50</t>
  </si>
  <si>
    <t>Aft_pp</t>
  </si>
  <si>
    <t xml:space="preserve">LBM </t>
  </si>
  <si>
    <t>NB: si on a pas de correction</t>
  </si>
  <si>
    <t>First_Tr_Cor</t>
  </si>
  <si>
    <t>Disp_Cor_Tr</t>
  </si>
  <si>
    <t>des drafts alors LBM = LBP</t>
  </si>
  <si>
    <t>Table_Density</t>
  </si>
  <si>
    <t>Sec_Tr_Cor</t>
  </si>
  <si>
    <t>Disp_Cor_Dsty</t>
  </si>
  <si>
    <t>Dock_Density</t>
  </si>
  <si>
    <t>Total_Tr_Cor</t>
  </si>
  <si>
    <t>Flag</t>
  </si>
  <si>
    <t>Vessel arrived on</t>
  </si>
  <si>
    <t>at</t>
  </si>
  <si>
    <t>Port of Registry</t>
  </si>
  <si>
    <t>Vessel berthed on</t>
  </si>
  <si>
    <t xml:space="preserve">Vessel </t>
  </si>
  <si>
    <t>Initial Survey commenced on</t>
  </si>
  <si>
    <t>Cargo</t>
  </si>
  <si>
    <t>Initial Survey completed on</t>
  </si>
  <si>
    <t>Port</t>
  </si>
  <si>
    <t>Port of Loading</t>
  </si>
  <si>
    <t>Port of Discharge</t>
  </si>
  <si>
    <t>Final Survey commenced on</t>
  </si>
  <si>
    <t xml:space="preserve">B/L Weight </t>
  </si>
  <si>
    <t>MT</t>
  </si>
  <si>
    <t>Final Survey completed on</t>
  </si>
  <si>
    <t xml:space="preserve">B/L Date </t>
  </si>
  <si>
    <r>
      <t>Gross weight (</t>
    </r>
    <r>
      <rPr>
        <b/>
        <sz val="10"/>
        <rFont val="Arial"/>
        <family val="2"/>
      </rPr>
      <t>MT</t>
    </r>
    <r>
      <rPr>
        <sz val="10"/>
        <rFont val="Arial"/>
        <family val="2"/>
      </rPr>
      <t>)</t>
    </r>
  </si>
  <si>
    <r>
      <t xml:space="preserve">LBP (en </t>
    </r>
    <r>
      <rPr>
        <b/>
        <sz val="11"/>
        <rFont val="Arial"/>
        <family val="2"/>
      </rPr>
      <t>m)</t>
    </r>
  </si>
  <si>
    <r>
      <t>Net Weight (</t>
    </r>
    <r>
      <rPr>
        <b/>
        <sz val="10"/>
        <rFont val="Arial"/>
        <family val="2"/>
      </rPr>
      <t>MT</t>
    </r>
    <r>
      <rPr>
        <sz val="10"/>
        <rFont val="Arial"/>
        <family val="2"/>
      </rPr>
      <t>)</t>
    </r>
  </si>
  <si>
    <r>
      <t xml:space="preserve">LOA (en </t>
    </r>
    <r>
      <rPr>
        <b/>
        <sz val="11"/>
        <rFont val="Arial"/>
        <family val="2"/>
      </rPr>
      <t>m)</t>
    </r>
  </si>
  <si>
    <r>
      <t>Summer Draft (en</t>
    </r>
    <r>
      <rPr>
        <b/>
        <sz val="10"/>
        <rFont val="Arial"/>
        <family val="2"/>
      </rPr>
      <t xml:space="preserve"> m</t>
    </r>
    <r>
      <rPr>
        <sz val="10"/>
        <rFont val="Arial"/>
        <family val="2"/>
      </rPr>
      <t>)</t>
    </r>
  </si>
  <si>
    <r>
      <t xml:space="preserve">Breadth (en </t>
    </r>
    <r>
      <rPr>
        <b/>
        <sz val="11"/>
        <rFont val="Arial"/>
        <family val="2"/>
      </rPr>
      <t>m)</t>
    </r>
  </si>
  <si>
    <r>
      <t xml:space="preserve">Summer Freeboard (en </t>
    </r>
    <r>
      <rPr>
        <b/>
        <sz val="10"/>
        <rFont val="Arial"/>
        <family val="2"/>
      </rPr>
      <t>m</t>
    </r>
    <r>
      <rPr>
        <sz val="10"/>
        <rFont val="Arial"/>
        <family val="2"/>
      </rPr>
      <t>)</t>
    </r>
  </si>
  <si>
    <t>Number of Holds</t>
  </si>
  <si>
    <r>
      <t>Summer Deadweight (</t>
    </r>
    <r>
      <rPr>
        <b/>
        <sz val="10"/>
        <rFont val="Arial"/>
        <family val="2"/>
      </rPr>
      <t>MT</t>
    </r>
    <r>
      <rPr>
        <sz val="10"/>
        <rFont val="Arial"/>
        <family val="2"/>
      </rPr>
      <t>)</t>
    </r>
  </si>
  <si>
    <t>Number of Ballast Tks</t>
  </si>
  <si>
    <r>
      <t>Light Ship (</t>
    </r>
    <r>
      <rPr>
        <b/>
        <sz val="10"/>
        <rFont val="Arial"/>
        <family val="2"/>
      </rPr>
      <t>MT</t>
    </r>
    <r>
      <rPr>
        <sz val="10"/>
        <rFont val="Arial"/>
        <family val="2"/>
      </rPr>
      <t>)</t>
    </r>
  </si>
  <si>
    <t>Number of F. water Tks</t>
  </si>
  <si>
    <r>
      <t>Constante declared  (</t>
    </r>
    <r>
      <rPr>
        <b/>
        <sz val="10"/>
        <rFont val="Arial"/>
        <family val="2"/>
      </rPr>
      <t>MT</t>
    </r>
    <r>
      <rPr>
        <sz val="10"/>
        <rFont val="Arial"/>
        <family val="2"/>
      </rPr>
      <t>)</t>
    </r>
  </si>
  <si>
    <t xml:space="preserve">Distance FORE (cm)  </t>
  </si>
  <si>
    <t xml:space="preserve">Distance AFT (cm)  </t>
  </si>
  <si>
    <t xml:space="preserve">Distance MID (cm)  </t>
  </si>
  <si>
    <t>(A = AFT, F = FORE, N = N/A)</t>
  </si>
  <si>
    <t>Drafts Lues en cm</t>
  </si>
  <si>
    <t>DISPLACEMENT</t>
  </si>
  <si>
    <t>Densité (Table) :</t>
  </si>
  <si>
    <t>Quarter mean</t>
  </si>
  <si>
    <t>LCF (en cm)</t>
  </si>
  <si>
    <t>En cas des tables qui présentent le LCF from aft,</t>
  </si>
  <si>
    <t>utiliser ce tableau pour calculer le LCF from MID:</t>
  </si>
  <si>
    <t>LBP (m)</t>
  </si>
  <si>
    <t>LCF fm AFT (m)</t>
  </si>
  <si>
    <t xml:space="preserve">* Position de LCF par rapport au MID: </t>
  </si>
  <si>
    <t>(A = AFT, F = FORE)</t>
  </si>
  <si>
    <t>LBP/2 (m)</t>
  </si>
  <si>
    <t>LCF fm MID (cm)</t>
  </si>
  <si>
    <t>MTC</t>
  </si>
  <si>
    <t>Puis reporter le résultat à gauche</t>
  </si>
  <si>
    <t>MTC + 50 cm</t>
  </si>
  <si>
    <t>MTC - 50 cm</t>
  </si>
  <si>
    <t>En cas des tables présentants Vorn et Hiensen,</t>
  </si>
  <si>
    <t>DMZ</t>
  </si>
  <si>
    <t>utiliser ce tableau pour calculer le LCF:</t>
  </si>
  <si>
    <t>LBM (cm)</t>
  </si>
  <si>
    <t>Hiensen</t>
  </si>
  <si>
    <t>LBP (cm)</t>
  </si>
  <si>
    <t>Vorn</t>
  </si>
  <si>
    <t>Light Ship (MT)</t>
  </si>
  <si>
    <t>LCF (cm)</t>
  </si>
  <si>
    <t>Trim Observed</t>
  </si>
  <si>
    <t>True Trim</t>
  </si>
  <si>
    <t>Total Deductibles</t>
  </si>
  <si>
    <t>F  O  R  E</t>
  </si>
  <si>
    <t>Port :</t>
  </si>
  <si>
    <t>Starboard :</t>
  </si>
  <si>
    <t>Mean :</t>
  </si>
  <si>
    <t>Stem Correction :</t>
  </si>
  <si>
    <t>Corrected Fore :</t>
  </si>
  <si>
    <t>A    F    T</t>
  </si>
  <si>
    <t>Stern Correction :</t>
  </si>
  <si>
    <t>Corrected Aft :</t>
  </si>
  <si>
    <t>M     I      D</t>
  </si>
  <si>
    <t>Mid Correction :</t>
  </si>
  <si>
    <t>Corrected Mid :</t>
  </si>
  <si>
    <t xml:space="preserve">Mean Fore/Aft  </t>
  </si>
  <si>
    <t xml:space="preserve">Mean of Mean  </t>
  </si>
  <si>
    <t xml:space="preserve">Quarter Mean  </t>
  </si>
  <si>
    <t>TRIM CORRECTION</t>
  </si>
  <si>
    <t>First Trim Correction</t>
  </si>
  <si>
    <t>Second Trim Correction</t>
  </si>
  <si>
    <t>Total Trim Correction</t>
  </si>
  <si>
    <t>Disp corr / Trim correct</t>
  </si>
  <si>
    <t xml:space="preserve">Density eau Bassin  </t>
  </si>
  <si>
    <t>Displ corr for density</t>
  </si>
  <si>
    <t xml:space="preserve">Declared Constante  </t>
  </si>
  <si>
    <t xml:space="preserve">Actual Constante  </t>
  </si>
  <si>
    <t>Remarks :</t>
  </si>
  <si>
    <t>Vérifier la logique de la déformation de coque du navire:</t>
  </si>
  <si>
    <t>Infos:</t>
  </si>
  <si>
    <t>Séquence:</t>
  </si>
  <si>
    <t>Sagging</t>
  </si>
  <si>
    <t>Hogging</t>
  </si>
  <si>
    <t>Quarter Mean (en cm)</t>
  </si>
  <si>
    <t>Deformation Coque (en cm)</t>
  </si>
  <si>
    <t>En général:</t>
  </si>
  <si>
    <t>Type</t>
  </si>
  <si>
    <t>- Coasters :</t>
  </si>
  <si>
    <t>(entre 0 et 8cm)</t>
  </si>
  <si>
    <t>- Sea vessels</t>
  </si>
  <si>
    <t>(entre 0 et 18cm)</t>
  </si>
  <si>
    <t>Voir Cargo plan pour confirmer la logique de la déformation</t>
  </si>
  <si>
    <t>B/L Weight &amp; Date</t>
  </si>
  <si>
    <t>DRAFT SURVEY REPORT</t>
  </si>
  <si>
    <t>:</t>
  </si>
  <si>
    <t>L.B.P.</t>
  </si>
  <si>
    <t>L.O.A.</t>
  </si>
  <si>
    <t>Gross Tonnage</t>
  </si>
  <si>
    <t>Breadth</t>
  </si>
  <si>
    <t>Summer Draft</t>
  </si>
  <si>
    <t>Net Tonnage</t>
  </si>
  <si>
    <t>DRAFTS AND CALCULATIONS</t>
  </si>
  <si>
    <t>UNIT</t>
  </si>
  <si>
    <t>cm</t>
  </si>
  <si>
    <t>Starboard</t>
  </si>
  <si>
    <t>Mean</t>
  </si>
  <si>
    <t>Stern Correction</t>
  </si>
  <si>
    <t>Corected Fore</t>
  </si>
  <si>
    <t>Corrected Aft</t>
  </si>
  <si>
    <t>Mid Correction</t>
  </si>
  <si>
    <t>Corrected Mid</t>
  </si>
  <si>
    <t xml:space="preserve">     Mean Fore/Aft</t>
  </si>
  <si>
    <t xml:space="preserve">     Mean of Mean</t>
  </si>
  <si>
    <t xml:space="preserve">     Quarter Mean </t>
  </si>
  <si>
    <t>Corresponding Displacement</t>
  </si>
  <si>
    <t xml:space="preserve"> Trim  correction  </t>
  </si>
  <si>
    <t>Corrected displacement For Trim</t>
  </si>
  <si>
    <t xml:space="preserve"> Density of Dock water</t>
  </si>
  <si>
    <t>Kg/l</t>
  </si>
  <si>
    <t>Corrected displacement For Density</t>
  </si>
  <si>
    <t>Deductibles Liquids</t>
  </si>
  <si>
    <t>Net Light / Loaded displacement</t>
  </si>
  <si>
    <t>The draft Survey is jointly effected with the ship's staff and calculated on basis of the existing calibrations tables and data on board and supplied by Captain and/or Chief Off. Prior to commencement and after completion of the Un/loading.</t>
  </si>
  <si>
    <t>SGS Surveyor</t>
  </si>
  <si>
    <t>Master / Chief Off.</t>
  </si>
  <si>
    <t xml:space="preserve">   </t>
  </si>
  <si>
    <t>This report is issued by the Company under its General Conditions of Services available on request and accessible at http://www.sgs.com/terms_and_conditions.htm</t>
  </si>
  <si>
    <t xml:space="preserve">SGS Maroc S.A.   </t>
  </si>
  <si>
    <r>
      <t xml:space="preserve">Minerals Services - N°5 Rue Abdelwahid Derraq, Eucalyptus - Mohammedia   </t>
    </r>
    <r>
      <rPr>
        <b/>
        <sz val="7"/>
        <rFont val="Arial"/>
        <family val="2"/>
      </rPr>
      <t>t</t>
    </r>
    <r>
      <rPr>
        <sz val="7"/>
        <rFont val="Arial"/>
        <family val="2"/>
      </rPr>
      <t xml:space="preserve"> (212) 523 314.557  </t>
    </r>
    <r>
      <rPr>
        <b/>
        <sz val="7"/>
        <rFont val="Arial"/>
        <family val="2"/>
      </rPr>
      <t>f</t>
    </r>
    <r>
      <rPr>
        <sz val="7"/>
        <rFont val="Arial"/>
        <family val="2"/>
      </rPr>
      <t xml:space="preserve"> (212) 523 300.631  </t>
    </r>
    <r>
      <rPr>
        <b/>
        <sz val="7"/>
        <rFont val="Arial"/>
        <family val="2"/>
      </rPr>
      <t>e</t>
    </r>
    <r>
      <rPr>
        <sz val="7"/>
        <rFont val="Arial"/>
        <family val="2"/>
      </rPr>
      <t xml:space="preserve"> ma.mohamedia@sgs.com</t>
    </r>
  </si>
  <si>
    <t>DRAFT SURVEY</t>
  </si>
  <si>
    <t>Page 2/3</t>
  </si>
  <si>
    <t>DETAILS</t>
  </si>
  <si>
    <t xml:space="preserve">Apparent Trim </t>
  </si>
  <si>
    <t>Distance of Fore Draft Marks (F or A)</t>
  </si>
  <si>
    <t>Distance of Midship Draft Marks (F or A)</t>
  </si>
  <si>
    <t>Distance of After Draft Marks (F or A)</t>
  </si>
  <si>
    <t xml:space="preserve">Stem Correction </t>
  </si>
  <si>
    <t>Midships Correction</t>
  </si>
  <si>
    <t xml:space="preserve">Stern Correction </t>
  </si>
  <si>
    <t>Corrected Forward Mean</t>
  </si>
  <si>
    <t>Corrected Midships Mean</t>
  </si>
  <si>
    <t>Corrected After Mean</t>
  </si>
  <si>
    <t>Trim Corrected</t>
  </si>
  <si>
    <t>Quarter Mean</t>
  </si>
  <si>
    <t>Hull deformation</t>
  </si>
  <si>
    <t>Hog / Sag</t>
  </si>
  <si>
    <t>-</t>
  </si>
  <si>
    <t xml:space="preserve">Corresponding Displacement </t>
  </si>
  <si>
    <t>Position of LCF ( F / A )</t>
  </si>
  <si>
    <t>MT/cm</t>
  </si>
  <si>
    <t>MTC + 50</t>
  </si>
  <si>
    <t>MTC - 50</t>
  </si>
  <si>
    <t>DMTC</t>
  </si>
  <si>
    <t>Density of Dock water</t>
  </si>
  <si>
    <t>Density Correction</t>
  </si>
  <si>
    <t>Deductions</t>
  </si>
  <si>
    <t>Ballast Water</t>
  </si>
  <si>
    <t>F. Water</t>
  </si>
  <si>
    <t>Bunkers</t>
  </si>
  <si>
    <t>Others     :</t>
  </si>
  <si>
    <t>Net / Load Displacement</t>
  </si>
  <si>
    <t>Declared Constante :</t>
  </si>
  <si>
    <t>Actual Constante :</t>
  </si>
  <si>
    <r>
      <t xml:space="preserve">Minerals Services - N°5 Rue Abdelwahid Derraq, Eucalyptus - Mohammedia   </t>
    </r>
    <r>
      <rPr>
        <b/>
        <sz val="6"/>
        <rFont val="Arial"/>
        <family val="2"/>
      </rPr>
      <t>t</t>
    </r>
    <r>
      <rPr>
        <sz val="6"/>
        <rFont val="Arial"/>
        <family val="2"/>
      </rPr>
      <t xml:space="preserve"> (212) 523 314.557  </t>
    </r>
    <r>
      <rPr>
        <b/>
        <sz val="6"/>
        <rFont val="Arial"/>
        <family val="2"/>
      </rPr>
      <t>f</t>
    </r>
    <r>
      <rPr>
        <sz val="6"/>
        <rFont val="Arial"/>
        <family val="2"/>
      </rPr>
      <t xml:space="preserve"> (212) 523 300.631  </t>
    </r>
    <r>
      <rPr>
        <b/>
        <sz val="6"/>
        <rFont val="Arial"/>
        <family val="2"/>
      </rPr>
      <t>e</t>
    </r>
    <r>
      <rPr>
        <sz val="6"/>
        <rFont val="Arial"/>
        <family val="2"/>
      </rPr>
      <t xml:space="preserve"> ma.mohamedia@sgs.com</t>
    </r>
  </si>
  <si>
    <t>Page 3/3</t>
  </si>
  <si>
    <t>DEDUCTIBLES</t>
  </si>
  <si>
    <t>INITIAL SURVEY</t>
  </si>
  <si>
    <t>FINAL SURVEY</t>
  </si>
  <si>
    <t>Ballast</t>
  </si>
  <si>
    <t>Sounding (cm)</t>
  </si>
  <si>
    <t>Volume (m3)</t>
  </si>
  <si>
    <t>Density (Kg/l)</t>
  </si>
  <si>
    <t>Weight   (MT)</t>
  </si>
  <si>
    <t>Weight     (MT)</t>
  </si>
  <si>
    <t>Total</t>
  </si>
  <si>
    <t>Fresh water</t>
  </si>
  <si>
    <t xml:space="preserve">Density     = </t>
  </si>
  <si>
    <t>kg/l</t>
  </si>
  <si>
    <t>Weight (MT)</t>
  </si>
  <si>
    <t>The quantity of bunkers were supplied by Captain/Chef Off./Chief Engineer</t>
  </si>
  <si>
    <t>Master/ Chief Off.</t>
  </si>
  <si>
    <t>This report is issued by the Company under its General Conditions Services available on request and accessible at http://www.sgs.com/terms_and_conditions.htm</t>
  </si>
  <si>
    <t xml:space="preserve"> </t>
  </si>
  <si>
    <t>Nbre of Holds</t>
  </si>
  <si>
    <t>Nbre of Btk</t>
  </si>
  <si>
    <t>Nbre of fwtk</t>
  </si>
  <si>
    <t>Bredth</t>
  </si>
  <si>
    <t>Arklow Ace</t>
  </si>
  <si>
    <t>Irish</t>
  </si>
  <si>
    <t>Arklow Port</t>
  </si>
  <si>
    <t>Iris Aklow Compagnie Portuaire</t>
  </si>
  <si>
    <t>Nador</t>
  </si>
  <si>
    <t>Casablanca</t>
  </si>
  <si>
    <t>Deun</t>
  </si>
  <si>
    <t>Turkish</t>
  </si>
  <si>
    <t>Istanbul</t>
  </si>
  <si>
    <t>Irish Factory</t>
  </si>
  <si>
    <t>safi</t>
  </si>
  <si>
    <t>Finster</t>
  </si>
  <si>
    <t>Francais</t>
  </si>
  <si>
    <t>Toulouse</t>
  </si>
  <si>
    <t>Ocp Filale Compagnie Miniaire De Sefrou</t>
  </si>
  <si>
    <t>Arklow Bay</t>
  </si>
  <si>
    <t>Deutsh</t>
  </si>
  <si>
    <t>Bergen</t>
  </si>
  <si>
    <t>Deush Co For Foreign Industries</t>
  </si>
  <si>
    <t>Triple S</t>
  </si>
  <si>
    <t>Barbuda &amp; Ant.</t>
  </si>
  <si>
    <t>St. John's</t>
  </si>
  <si>
    <t>Triple S Ltd Compagny For Trade &amp; Shipping</t>
  </si>
  <si>
    <t>Alsterdiep</t>
  </si>
  <si>
    <t>Cyprus</t>
  </si>
  <si>
    <t>Limmasoll</t>
  </si>
  <si>
    <t>Noufarou Shipping Co Ltd Cyprus. Limassol</t>
  </si>
  <si>
    <t xml:space="preserve">  </t>
  </si>
  <si>
    <t>13:06</t>
  </si>
  <si>
    <t xml:space="preserve">            F O R E</t>
  </si>
  <si>
    <t xml:space="preserve">           A   F   T</t>
  </si>
  <si>
    <t xml:space="preserve">           M  I  D</t>
  </si>
  <si>
    <t>Vesse</t>
  </si>
  <si>
    <t>Port of Discharging</t>
  </si>
  <si>
    <t xml:space="preserve">Un/loading commenced on </t>
  </si>
  <si>
    <t>Agatha Christi</t>
  </si>
  <si>
    <t>England</t>
  </si>
  <si>
    <t>Walktown</t>
  </si>
  <si>
    <t>Zammor Lekhdar 56av Des F A R Casablanca Maroc</t>
  </si>
  <si>
    <t>Water Densuty</t>
  </si>
  <si>
    <t>Interpolation</t>
  </si>
  <si>
    <t>Trim Initial :</t>
  </si>
  <si>
    <t>Dans la table</t>
  </si>
  <si>
    <t>Trim inf</t>
  </si>
  <si>
    <t>Trim Sup</t>
  </si>
  <si>
    <t>Trim</t>
  </si>
  <si>
    <t>Sonde Sup</t>
  </si>
  <si>
    <t>Sonde Inf</t>
  </si>
  <si>
    <t>Sonde mesurée:</t>
  </si>
  <si>
    <r>
      <t>M</t>
    </r>
    <r>
      <rPr>
        <vertAlign val="superscript"/>
        <sz val="10"/>
        <rFont val="Arial"/>
        <family val="2"/>
      </rPr>
      <t>3</t>
    </r>
  </si>
  <si>
    <t>trim sup</t>
  </si>
  <si>
    <t>trim obs</t>
  </si>
  <si>
    <t>sound inf</t>
  </si>
  <si>
    <t>sound sup</t>
  </si>
  <si>
    <t>sound obs</t>
  </si>
  <si>
    <t>X</t>
  </si>
  <si>
    <t>Y</t>
  </si>
  <si>
    <t>B</t>
  </si>
  <si>
    <t>C</t>
  </si>
  <si>
    <t>D</t>
  </si>
  <si>
    <t>T</t>
  </si>
  <si>
    <t>L</t>
  </si>
  <si>
    <t>M</t>
  </si>
  <si>
    <t>N</t>
  </si>
  <si>
    <t>SS</t>
  </si>
  <si>
    <t>SI</t>
  </si>
  <si>
    <t>trim inf</t>
  </si>
  <si>
    <t>volum trim inf</t>
  </si>
  <si>
    <t>volum trim sup</t>
  </si>
  <si>
    <t>Si</t>
  </si>
  <si>
    <t>Ss</t>
  </si>
  <si>
    <t>So</t>
  </si>
  <si>
    <t xml:space="preserve">volum sound inf trim inf </t>
  </si>
  <si>
    <t>volum sound inf trim sup</t>
  </si>
  <si>
    <t xml:space="preserve">volum sound sup trim inf </t>
  </si>
  <si>
    <t>volum sound sup trim sup</t>
  </si>
  <si>
    <t>Volum recherché trim observ</t>
  </si>
  <si>
    <t>(((B-A)/(Y-X))</t>
  </si>
  <si>
    <t xml:space="preserve">L= </t>
  </si>
  <si>
    <t>M =</t>
  </si>
  <si>
    <t>(((D-C)/(Y-X))</t>
  </si>
  <si>
    <t>* ( T-X))+A</t>
  </si>
  <si>
    <t>*(T-X))+C</t>
  </si>
  <si>
    <t>N=</t>
  </si>
  <si>
    <t>(((L-A)/(Ss-Si))</t>
  </si>
  <si>
    <t>*(So-Si)+M</t>
  </si>
  <si>
    <t>Volum sound inf trim Obs</t>
  </si>
  <si>
    <t>Volum sound sup trim Obs</t>
  </si>
  <si>
    <t>Final Sdg</t>
  </si>
  <si>
    <t>Init sdg</t>
  </si>
  <si>
    <t>Kristin</t>
  </si>
  <si>
    <t>Danich Co.ltd</t>
  </si>
  <si>
    <t>initial bunker &amp; others</t>
  </si>
  <si>
    <t>Final bunker &amp; others</t>
  </si>
  <si>
    <t>Suurhusen S</t>
  </si>
  <si>
    <t>FULL</t>
  </si>
  <si>
    <t>EMPTY</t>
  </si>
  <si>
    <t>FWTP</t>
  </si>
  <si>
    <t>IND</t>
  </si>
  <si>
    <t>Suurhensen S</t>
  </si>
  <si>
    <t>Izmir</t>
  </si>
  <si>
    <t>Ardogan Uglu</t>
  </si>
  <si>
    <t>Number of Ballast Tks   :</t>
  </si>
  <si>
    <t xml:space="preserve">     :</t>
  </si>
  <si>
    <t>Summer Deadweight     :</t>
  </si>
  <si>
    <t>Keel Correction</t>
  </si>
  <si>
    <t>Bern</t>
  </si>
  <si>
    <t>Germano- Lyr</t>
  </si>
  <si>
    <t>Jorf Lasfar</t>
  </si>
  <si>
    <t>Anthracite Bulk</t>
  </si>
  <si>
    <t>Barcelona Sp</t>
  </si>
  <si>
    <t>Casabanca</t>
  </si>
  <si>
    <t>00:00</t>
  </si>
  <si>
    <t>FP</t>
  </si>
  <si>
    <t>DB</t>
  </si>
  <si>
    <t>Nationality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</si>
</sst>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-40C]d\ mmmm\ yyyy;@"/>
    <numFmt numFmtId="165" formatCode="h:mm;@"/>
    <numFmt numFmtId="166" formatCode="0.000"/>
    <numFmt numFmtId="167" formatCode="0.0000"/>
    <numFmt numFmtId="168" formatCode="0.0"/>
    <numFmt numFmtId="169" formatCode="#,##0.000"/>
    <numFmt numFmtId="170" formatCode="#,##0.0000"/>
    <numFmt numFmtId="171" formatCode="#,##0.000;[Red]#,##0.000"/>
    <numFmt numFmtId="172" formatCode="dd/mm/yy;@"/>
  </numFmts>
  <fonts count="50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1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7.5"/>
      <name val="Arial"/>
      <family val="2"/>
    </font>
    <font>
      <b/>
      <i/>
      <sz val="11"/>
      <color indexed="10"/>
      <name val="Arial"/>
      <family val="2"/>
    </font>
    <font>
      <b/>
      <sz val="11"/>
      <color indexed="10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0"/>
      <color rgb="FF000000"/>
      <name val="Arial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i/>
      <sz val="11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11"/>
      <color indexed="10"/>
      <name val="Arial"/>
      <family val="2"/>
    </font>
    <font>
      <u/>
      <sz val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i/>
      <sz val="9"/>
      <name val="Arial"/>
      <family val="2"/>
    </font>
    <font>
      <i/>
      <u/>
      <sz val="11"/>
      <name val="Arial"/>
      <family val="2"/>
    </font>
    <font>
      <sz val="7"/>
      <name val="Arial"/>
      <family val="2"/>
    </font>
    <font>
      <b/>
      <sz val="8"/>
      <color indexed="53"/>
      <name val="Arial"/>
      <family val="2"/>
    </font>
    <font>
      <b/>
      <sz val="7"/>
      <name val="Arial"/>
      <family val="2"/>
    </font>
    <font>
      <sz val="7"/>
      <name val="CG Times"/>
      <family val="1"/>
    </font>
    <font>
      <sz val="7"/>
      <name val="Times New Roman"/>
      <family val="1"/>
    </font>
    <font>
      <b/>
      <sz val="12"/>
      <name val="Arial"/>
      <family val="2"/>
    </font>
    <font>
      <b/>
      <sz val="14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b/>
      <i/>
      <u/>
      <sz val="10"/>
      <name val="Arial"/>
      <family val="2"/>
    </font>
    <font>
      <b/>
      <i/>
      <u/>
      <sz val="1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vertAlign val="superscript"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</fills>
  <borders count="1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10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10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10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10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10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double">
        <color indexed="10"/>
      </right>
      <top/>
      <bottom/>
      <diagonal/>
    </border>
    <border>
      <left/>
      <right/>
      <top style="hair">
        <color indexed="64"/>
      </top>
      <bottom/>
      <diagonal/>
    </border>
    <border>
      <left style="double">
        <color indexed="10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1"/>
      </left>
      <right/>
      <top/>
      <bottom/>
      <diagonal/>
    </border>
    <border>
      <left/>
      <right style="double">
        <color indexed="10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uble">
        <color indexed="10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10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/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thin">
        <color indexed="11"/>
      </left>
      <right style="double">
        <color indexed="10"/>
      </right>
      <top/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 style="thin">
        <color indexed="64"/>
      </top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/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/>
      <top style="thin">
        <color indexed="64"/>
      </top>
      <bottom style="thin">
        <color indexed="64"/>
      </bottom>
      <diagonal/>
    </border>
    <border>
      <left style="double">
        <color indexed="10"/>
      </left>
      <right/>
      <top style="thin">
        <color indexed="64"/>
      </top>
      <bottom/>
      <diagonal/>
    </border>
    <border>
      <left style="double">
        <color indexed="10"/>
      </left>
      <right/>
      <top/>
      <bottom/>
      <diagonal/>
    </border>
    <border>
      <left style="double">
        <color indexed="10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5">
    <xf numFmtId="0" fontId="0" fillId="0" borderId="0"/>
    <xf numFmtId="14" fontId="1" fillId="3" borderId="1"/>
    <xf numFmtId="164" fontId="1" fillId="3" borderId="1"/>
    <xf numFmtId="0" fontId="1" fillId="3" borderId="2"/>
    <xf numFmtId="165" fontId="1" fillId="3" borderId="1"/>
  </cellStyleXfs>
  <cellXfs count="1030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 applyAlignment="1">
      <alignment horizontal="center" vertical="center"/>
    </xf>
    <xf numFmtId="14" fontId="0" fillId="0" borderId="0" xfId="0" applyNumberFormat="1"/>
    <xf numFmtId="0" fontId="16" fillId="0" borderId="0" xfId="0" applyFont="1"/>
    <xf numFmtId="0" fontId="18" fillId="5" borderId="0" xfId="0" applyFont="1" applyFill="1" applyProtection="1">
      <protection locked="0"/>
    </xf>
    <xf numFmtId="0" fontId="19" fillId="0" borderId="0" xfId="0" applyFont="1"/>
    <xf numFmtId="166" fontId="19" fillId="4" borderId="0" xfId="0" applyNumberFormat="1" applyFont="1" applyFill="1"/>
    <xf numFmtId="0" fontId="16" fillId="3" borderId="0" xfId="0" applyFont="1" applyFill="1"/>
    <xf numFmtId="0" fontId="19" fillId="4" borderId="0" xfId="0" applyFont="1" applyFill="1" applyProtection="1">
      <protection locked="0"/>
    </xf>
    <xf numFmtId="0" fontId="0" fillId="6" borderId="0" xfId="0" applyFill="1"/>
    <xf numFmtId="169" fontId="19" fillId="4" borderId="0" xfId="0" applyNumberFormat="1" applyFont="1" applyFill="1"/>
    <xf numFmtId="2" fontId="19" fillId="4" borderId="0" xfId="0" applyNumberFormat="1" applyFont="1" applyFill="1"/>
    <xf numFmtId="0" fontId="19" fillId="4" borderId="0" xfId="0" applyFont="1" applyFill="1"/>
    <xf numFmtId="0" fontId="0" fillId="7" borderId="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7" borderId="0" xfId="0" applyFill="1" applyProtection="1">
      <protection locked="0"/>
    </xf>
    <xf numFmtId="169" fontId="0" fillId="0" borderId="0" xfId="0" applyNumberFormat="1"/>
    <xf numFmtId="166" fontId="0" fillId="0" borderId="0" xfId="0" applyNumberFormat="1"/>
    <xf numFmtId="166" fontId="19" fillId="0" borderId="0" xfId="0" applyNumberFormat="1" applyFont="1"/>
    <xf numFmtId="169" fontId="19" fillId="0" borderId="0" xfId="0" applyNumberFormat="1" applyFont="1"/>
    <xf numFmtId="0" fontId="19" fillId="2" borderId="0" xfId="0" applyFont="1" applyFill="1"/>
    <xf numFmtId="0" fontId="0" fillId="8" borderId="0" xfId="0" applyFill="1"/>
    <xf numFmtId="0" fontId="3" fillId="8" borderId="0" xfId="0" applyFont="1" applyFill="1"/>
    <xf numFmtId="0" fontId="3" fillId="8" borderId="0" xfId="0" applyFont="1" applyFill="1" applyAlignment="1">
      <alignment horizontal="center"/>
    </xf>
    <xf numFmtId="0" fontId="21" fillId="8" borderId="0" xfId="0" applyFont="1" applyFill="1" applyAlignment="1">
      <alignment horizontal="left" shrinkToFit="1"/>
    </xf>
    <xf numFmtId="14" fontId="21" fillId="8" borderId="0" xfId="0" applyNumberFormat="1" applyFont="1" applyFill="1" applyAlignment="1">
      <alignment horizontal="center"/>
    </xf>
    <xf numFmtId="49" fontId="21" fillId="8" borderId="0" xfId="0" applyNumberFormat="1" applyFont="1" applyFill="1" applyAlignment="1">
      <alignment horizontal="center"/>
    </xf>
    <xf numFmtId="0" fontId="4" fillId="8" borderId="0" xfId="0" applyFont="1" applyFill="1"/>
    <xf numFmtId="0" fontId="4" fillId="8" borderId="0" xfId="0" applyFont="1" applyFill="1" applyAlignment="1">
      <alignment shrinkToFit="1"/>
    </xf>
    <xf numFmtId="0" fontId="22" fillId="8" borderId="0" xfId="0" applyFont="1" applyFill="1"/>
    <xf numFmtId="0" fontId="0" fillId="8" borderId="0" xfId="0" applyFill="1" applyAlignment="1">
      <alignment shrinkToFit="1"/>
    </xf>
    <xf numFmtId="0" fontId="23" fillId="8" borderId="0" xfId="0" applyFont="1" applyFill="1" applyAlignment="1">
      <alignment shrinkToFit="1"/>
    </xf>
    <xf numFmtId="0" fontId="4" fillId="8" borderId="0" xfId="0" applyFont="1" applyFill="1" applyAlignment="1">
      <alignment horizontal="left"/>
    </xf>
    <xf numFmtId="14" fontId="23" fillId="8" borderId="0" xfId="0" applyNumberFormat="1" applyFont="1" applyFill="1" applyAlignment="1">
      <alignment horizontal="center"/>
    </xf>
    <xf numFmtId="49" fontId="23" fillId="8" borderId="0" xfId="0" applyNumberFormat="1" applyFont="1" applyFill="1" applyAlignment="1">
      <alignment horizontal="center"/>
    </xf>
    <xf numFmtId="166" fontId="6" fillId="8" borderId="0" xfId="0" applyNumberFormat="1" applyFont="1" applyFill="1"/>
    <xf numFmtId="169" fontId="21" fillId="8" borderId="0" xfId="0" applyNumberFormat="1" applyFont="1" applyFill="1" applyAlignment="1">
      <alignment horizontal="right"/>
    </xf>
    <xf numFmtId="166" fontId="21" fillId="8" borderId="0" xfId="0" applyNumberFormat="1" applyFont="1" applyFill="1" applyAlignment="1">
      <alignment horizontal="right"/>
    </xf>
    <xf numFmtId="0" fontId="4" fillId="8" borderId="0" xfId="0" applyFont="1" applyFill="1" applyAlignment="1">
      <alignment horizontal="right"/>
    </xf>
    <xf numFmtId="0" fontId="21" fillId="8" borderId="0" xfId="0" applyFont="1" applyFill="1" applyAlignment="1">
      <alignment horizontal="right"/>
    </xf>
    <xf numFmtId="0" fontId="23" fillId="8" borderId="0" xfId="0" applyFont="1" applyFill="1" applyAlignment="1">
      <alignment horizontal="right"/>
    </xf>
    <xf numFmtId="0" fontId="4" fillId="8" borderId="0" xfId="0" applyFont="1" applyFill="1" applyAlignment="1">
      <alignment horizontal="center"/>
    </xf>
    <xf numFmtId="0" fontId="3" fillId="8" borderId="20" xfId="0" applyFont="1" applyFill="1" applyBorder="1"/>
    <xf numFmtId="0" fontId="4" fillId="8" borderId="25" xfId="0" applyFont="1" applyFill="1" applyBorder="1"/>
    <xf numFmtId="0" fontId="4" fillId="8" borderId="25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 vertical="top"/>
    </xf>
    <xf numFmtId="0" fontId="4" fillId="8" borderId="21" xfId="0" applyFont="1" applyFill="1" applyBorder="1"/>
    <xf numFmtId="0" fontId="6" fillId="8" borderId="0" xfId="0" applyFont="1" applyFill="1" applyAlignment="1">
      <alignment horizontal="center"/>
    </xf>
    <xf numFmtId="0" fontId="4" fillId="8" borderId="36" xfId="0" applyFont="1" applyFill="1" applyBorder="1"/>
    <xf numFmtId="0" fontId="15" fillId="8" borderId="0" xfId="0" applyFont="1" applyFill="1"/>
    <xf numFmtId="0" fontId="5" fillId="8" borderId="35" xfId="0" applyFont="1" applyFill="1" applyBorder="1" applyAlignment="1">
      <alignment horizontal="right"/>
    </xf>
    <xf numFmtId="0" fontId="5" fillId="8" borderId="0" xfId="0" applyFont="1" applyFill="1" applyAlignment="1">
      <alignment horizontal="right"/>
    </xf>
    <xf numFmtId="0" fontId="0" fillId="8" borderId="0" xfId="0" applyFill="1" applyAlignment="1">
      <alignment horizontal="right"/>
    </xf>
    <xf numFmtId="0" fontId="7" fillId="8" borderId="0" xfId="0" applyFont="1" applyFill="1" applyAlignment="1">
      <alignment horizontal="center"/>
    </xf>
    <xf numFmtId="2" fontId="6" fillId="8" borderId="0" xfId="0" applyNumberFormat="1" applyFont="1" applyFill="1" applyAlignment="1">
      <alignment horizontal="right"/>
    </xf>
    <xf numFmtId="0" fontId="15" fillId="8" borderId="0" xfId="0" quotePrefix="1" applyFont="1" applyFill="1"/>
    <xf numFmtId="0" fontId="5" fillId="8" borderId="0" xfId="0" applyFont="1" applyFill="1"/>
    <xf numFmtId="0" fontId="8" fillId="8" borderId="0" xfId="0" applyFont="1" applyFill="1" applyAlignment="1">
      <alignment horizontal="center" vertical="center"/>
    </xf>
    <xf numFmtId="0" fontId="5" fillId="8" borderId="35" xfId="0" applyFont="1" applyFill="1" applyBorder="1" applyAlignment="1">
      <alignment horizontal="left"/>
    </xf>
    <xf numFmtId="0" fontId="5" fillId="8" borderId="0" xfId="0" applyFont="1" applyFill="1" applyAlignment="1">
      <alignment horizontal="left"/>
    </xf>
    <xf numFmtId="2" fontId="6" fillId="8" borderId="0" xfId="0" applyNumberFormat="1" applyFont="1" applyFill="1" applyAlignment="1">
      <alignment horizontal="right" vertical="center"/>
    </xf>
    <xf numFmtId="0" fontId="10" fillId="8" borderId="0" xfId="0" applyFont="1" applyFill="1"/>
    <xf numFmtId="0" fontId="9" fillId="8" borderId="0" xfId="0" applyFont="1" applyFill="1" applyAlignment="1">
      <alignment wrapText="1"/>
    </xf>
    <xf numFmtId="0" fontId="9" fillId="8" borderId="35" xfId="0" applyFont="1" applyFill="1" applyBorder="1" applyAlignment="1">
      <alignment horizontal="left" wrapText="1"/>
    </xf>
    <xf numFmtId="0" fontId="9" fillId="8" borderId="0" xfId="0" applyFont="1" applyFill="1" applyAlignment="1">
      <alignment horizontal="left" wrapText="1"/>
    </xf>
    <xf numFmtId="0" fontId="4" fillId="8" borderId="54" xfId="0" applyFont="1" applyFill="1" applyBorder="1"/>
    <xf numFmtId="0" fontId="8" fillId="8" borderId="35" xfId="0" applyFont="1" applyFill="1" applyBorder="1"/>
    <xf numFmtId="0" fontId="8" fillId="8" borderId="0" xfId="0" applyFont="1" applyFill="1"/>
    <xf numFmtId="0" fontId="3" fillId="8" borderId="54" xfId="0" applyFont="1" applyFill="1" applyBorder="1"/>
    <xf numFmtId="0" fontId="3" fillId="8" borderId="35" xfId="0" applyFont="1" applyFill="1" applyBorder="1" applyAlignment="1">
      <alignment vertical="center"/>
    </xf>
    <xf numFmtId="0" fontId="3" fillId="8" borderId="0" xfId="0" applyFont="1" applyFill="1" applyAlignment="1">
      <alignment vertical="center"/>
    </xf>
    <xf numFmtId="4" fontId="4" fillId="8" borderId="52" xfId="0" applyNumberFormat="1" applyFont="1" applyFill="1" applyBorder="1"/>
    <xf numFmtId="4" fontId="4" fillId="8" borderId="25" xfId="0" applyNumberFormat="1" applyFont="1" applyFill="1" applyBorder="1"/>
    <xf numFmtId="0" fontId="3" fillId="8" borderId="35" xfId="0" applyFont="1" applyFill="1" applyBorder="1" applyAlignment="1">
      <alignment horizontal="right"/>
    </xf>
    <xf numFmtId="4" fontId="6" fillId="8" borderId="0" xfId="0" applyNumberFormat="1" applyFont="1" applyFill="1" applyAlignment="1">
      <alignment horizontal="right"/>
    </xf>
    <xf numFmtId="4" fontId="4" fillId="8" borderId="54" xfId="0" applyNumberFormat="1" applyFont="1" applyFill="1" applyBorder="1"/>
    <xf numFmtId="4" fontId="4" fillId="8" borderId="0" xfId="0" applyNumberFormat="1" applyFont="1" applyFill="1"/>
    <xf numFmtId="4" fontId="4" fillId="8" borderId="59" xfId="0" applyNumberFormat="1" applyFont="1" applyFill="1" applyBorder="1"/>
    <xf numFmtId="4" fontId="4" fillId="8" borderId="45" xfId="0" applyNumberFormat="1" applyFont="1" applyFill="1" applyBorder="1"/>
    <xf numFmtId="0" fontId="4" fillId="8" borderId="23" xfId="0" applyFont="1" applyFill="1" applyBorder="1"/>
    <xf numFmtId="0" fontId="4" fillId="8" borderId="35" xfId="0" applyFont="1" applyFill="1" applyBorder="1"/>
    <xf numFmtId="3" fontId="11" fillId="8" borderId="0" xfId="0" applyNumberFormat="1" applyFont="1" applyFill="1" applyAlignment="1">
      <alignment horizontal="right"/>
    </xf>
    <xf numFmtId="4" fontId="4" fillId="8" borderId="0" xfId="0" applyNumberFormat="1" applyFont="1" applyFill="1" applyAlignment="1">
      <alignment horizontal="right"/>
    </xf>
    <xf numFmtId="0" fontId="4" fillId="8" borderId="35" xfId="0" applyFont="1" applyFill="1" applyBorder="1" applyAlignment="1">
      <alignment vertical="center"/>
    </xf>
    <xf numFmtId="0" fontId="4" fillId="8" borderId="0" xfId="0" applyFont="1" applyFill="1" applyAlignment="1">
      <alignment vertical="center"/>
    </xf>
    <xf numFmtId="0" fontId="3" fillId="8" borderId="0" xfId="0" applyFont="1" applyFill="1" applyAlignment="1">
      <alignment horizontal="right"/>
    </xf>
    <xf numFmtId="0" fontId="4" fillId="8" borderId="45" xfId="0" applyFont="1" applyFill="1" applyBorder="1"/>
    <xf numFmtId="0" fontId="3" fillId="8" borderId="35" xfId="0" applyFont="1" applyFill="1" applyBorder="1"/>
    <xf numFmtId="4" fontId="3" fillId="8" borderId="0" xfId="0" applyNumberFormat="1" applyFont="1" applyFill="1" applyAlignment="1">
      <alignment horizontal="right"/>
    </xf>
    <xf numFmtId="0" fontId="12" fillId="8" borderId="0" xfId="0" applyFont="1" applyFill="1"/>
    <xf numFmtId="0" fontId="4" fillId="8" borderId="40" xfId="0" applyFont="1" applyFill="1" applyBorder="1"/>
    <xf numFmtId="0" fontId="13" fillId="8" borderId="0" xfId="0" applyFont="1" applyFill="1"/>
    <xf numFmtId="169" fontId="6" fillId="8" borderId="64" xfId="0" applyNumberFormat="1" applyFont="1" applyFill="1" applyBorder="1" applyAlignment="1">
      <alignment vertical="center"/>
    </xf>
    <xf numFmtId="0" fontId="4" fillId="8" borderId="65" xfId="0" applyFont="1" applyFill="1" applyBorder="1"/>
    <xf numFmtId="0" fontId="4" fillId="8" borderId="65" xfId="0" applyFont="1" applyFill="1" applyBorder="1" applyAlignment="1">
      <alignment horizontal="right"/>
    </xf>
    <xf numFmtId="0" fontId="4" fillId="8" borderId="66" xfId="0" applyFont="1" applyFill="1" applyBorder="1"/>
    <xf numFmtId="169" fontId="6" fillId="8" borderId="35" xfId="0" applyNumberFormat="1" applyFont="1" applyFill="1" applyBorder="1" applyAlignment="1">
      <alignment vertical="center"/>
    </xf>
    <xf numFmtId="169" fontId="11" fillId="8" borderId="54" xfId="0" applyNumberFormat="1" applyFont="1" applyFill="1" applyBorder="1" applyAlignment="1">
      <alignment horizontal="center" vertical="center"/>
    </xf>
    <xf numFmtId="169" fontId="6" fillId="8" borderId="54" xfId="0" applyNumberFormat="1" applyFont="1" applyFill="1" applyBorder="1" applyAlignment="1">
      <alignment horizontal="center" vertical="center"/>
    </xf>
    <xf numFmtId="0" fontId="25" fillId="8" borderId="35" xfId="0" applyFont="1" applyFill="1" applyBorder="1" applyAlignment="1">
      <alignment horizontal="left"/>
    </xf>
    <xf numFmtId="169" fontId="6" fillId="8" borderId="0" xfId="0" applyNumberFormat="1" applyFont="1" applyFill="1" applyAlignment="1">
      <alignment horizontal="right" vertical="center"/>
    </xf>
    <xf numFmtId="169" fontId="6" fillId="8" borderId="0" xfId="0" applyNumberFormat="1" applyFont="1" applyFill="1" applyAlignment="1">
      <alignment horizontal="center" vertical="center"/>
    </xf>
    <xf numFmtId="169" fontId="6" fillId="8" borderId="0" xfId="0" applyNumberFormat="1" applyFont="1" applyFill="1" applyAlignment="1">
      <alignment horizontal="right"/>
    </xf>
    <xf numFmtId="169" fontId="6" fillId="8" borderId="65" xfId="0" applyNumberFormat="1" applyFont="1" applyFill="1" applyBorder="1" applyAlignment="1">
      <alignment vertical="center"/>
    </xf>
    <xf numFmtId="169" fontId="6" fillId="8" borderId="67" xfId="0" applyNumberFormat="1" applyFont="1" applyFill="1" applyBorder="1" applyAlignment="1">
      <alignment vertical="center"/>
    </xf>
    <xf numFmtId="169" fontId="12" fillId="8" borderId="54" xfId="0" applyNumberFormat="1" applyFont="1" applyFill="1" applyBorder="1" applyAlignment="1">
      <alignment horizontal="center" vertical="center"/>
    </xf>
    <xf numFmtId="0" fontId="26" fillId="8" borderId="0" xfId="0" applyFont="1" applyFill="1" applyAlignment="1">
      <alignment wrapText="1"/>
    </xf>
    <xf numFmtId="0" fontId="25" fillId="8" borderId="68" xfId="0" applyFont="1" applyFill="1" applyBorder="1" applyAlignment="1">
      <alignment horizontal="left"/>
    </xf>
    <xf numFmtId="0" fontId="4" fillId="8" borderId="69" xfId="0" applyFont="1" applyFill="1" applyBorder="1"/>
    <xf numFmtId="0" fontId="4" fillId="8" borderId="69" xfId="0" applyFont="1" applyFill="1" applyBorder="1" applyAlignment="1">
      <alignment horizontal="center"/>
    </xf>
    <xf numFmtId="169" fontId="6" fillId="8" borderId="69" xfId="0" applyNumberFormat="1" applyFont="1" applyFill="1" applyBorder="1" applyAlignment="1">
      <alignment horizontal="right" vertical="center"/>
    </xf>
    <xf numFmtId="169" fontId="6" fillId="8" borderId="70" xfId="0" applyNumberFormat="1" applyFont="1" applyFill="1" applyBorder="1" applyAlignment="1">
      <alignment horizontal="center" vertical="center"/>
    </xf>
    <xf numFmtId="169" fontId="4" fillId="8" borderId="69" xfId="0" applyNumberFormat="1" applyFont="1" applyFill="1" applyBorder="1" applyAlignment="1">
      <alignment horizontal="center" vertical="center"/>
    </xf>
    <xf numFmtId="0" fontId="4" fillId="8" borderId="69" xfId="0" applyFont="1" applyFill="1" applyBorder="1" applyAlignment="1">
      <alignment horizontal="right"/>
    </xf>
    <xf numFmtId="169" fontId="6" fillId="8" borderId="69" xfId="0" applyNumberFormat="1" applyFont="1" applyFill="1" applyBorder="1" applyAlignment="1">
      <alignment horizontal="right"/>
    </xf>
    <xf numFmtId="0" fontId="4" fillId="8" borderId="71" xfId="0" applyFont="1" applyFill="1" applyBorder="1"/>
    <xf numFmtId="0" fontId="15" fillId="8" borderId="0" xfId="0" applyFont="1" applyFill="1" applyAlignment="1">
      <alignment wrapText="1"/>
    </xf>
    <xf numFmtId="169" fontId="6" fillId="8" borderId="0" xfId="0" applyNumberFormat="1" applyFont="1" applyFill="1" applyAlignment="1">
      <alignment vertical="center"/>
    </xf>
    <xf numFmtId="0" fontId="4" fillId="8" borderId="72" xfId="0" applyFont="1" applyFill="1" applyBorder="1"/>
    <xf numFmtId="0" fontId="4" fillId="8" borderId="73" xfId="0" applyFont="1" applyFill="1" applyBorder="1"/>
    <xf numFmtId="0" fontId="4" fillId="8" borderId="74" xfId="0" applyFont="1" applyFill="1" applyBorder="1"/>
    <xf numFmtId="0" fontId="4" fillId="8" borderId="75" xfId="0" applyFont="1" applyFill="1" applyBorder="1"/>
    <xf numFmtId="0" fontId="4" fillId="8" borderId="76" xfId="0" applyFont="1" applyFill="1" applyBorder="1"/>
    <xf numFmtId="0" fontId="5" fillId="8" borderId="76" xfId="0" applyFont="1" applyFill="1" applyBorder="1"/>
    <xf numFmtId="169" fontId="6" fillId="8" borderId="0" xfId="0" applyNumberFormat="1" applyFont="1" applyFill="1" applyAlignment="1">
      <alignment horizontal="center"/>
    </xf>
    <xf numFmtId="0" fontId="9" fillId="8" borderId="35" xfId="0" applyFont="1" applyFill="1" applyBorder="1"/>
    <xf numFmtId="169" fontId="25" fillId="8" borderId="0" xfId="0" applyNumberFormat="1" applyFont="1" applyFill="1" applyAlignment="1">
      <alignment horizontal="left" vertical="center"/>
    </xf>
    <xf numFmtId="0" fontId="15" fillId="8" borderId="35" xfId="0" applyFont="1" applyFill="1" applyBorder="1"/>
    <xf numFmtId="0" fontId="7" fillId="8" borderId="4" xfId="0" applyFont="1" applyFill="1" applyBorder="1" applyAlignment="1">
      <alignment horizontal="center"/>
    </xf>
    <xf numFmtId="0" fontId="25" fillId="8" borderId="64" xfId="0" applyFont="1" applyFill="1" applyBorder="1" applyAlignment="1">
      <alignment horizontal="left"/>
    </xf>
    <xf numFmtId="169" fontId="6" fillId="8" borderId="65" xfId="0" applyNumberFormat="1" applyFont="1" applyFill="1" applyBorder="1" applyAlignment="1">
      <alignment horizontal="right" vertical="center"/>
    </xf>
    <xf numFmtId="169" fontId="25" fillId="8" borderId="65" xfId="0" applyNumberFormat="1" applyFont="1" applyFill="1" applyBorder="1" applyAlignment="1">
      <alignment horizontal="left" vertical="center"/>
    </xf>
    <xf numFmtId="0" fontId="4" fillId="8" borderId="67" xfId="0" applyFont="1" applyFill="1" applyBorder="1"/>
    <xf numFmtId="169" fontId="6" fillId="8" borderId="65" xfId="0" applyNumberFormat="1" applyFont="1" applyFill="1" applyBorder="1" applyAlignment="1">
      <alignment horizontal="right"/>
    </xf>
    <xf numFmtId="169" fontId="6" fillId="8" borderId="65" xfId="0" applyNumberFormat="1" applyFont="1" applyFill="1" applyBorder="1" applyAlignment="1">
      <alignment horizontal="center"/>
    </xf>
    <xf numFmtId="0" fontId="4" fillId="8" borderId="78" xfId="0" applyFont="1" applyFill="1" applyBorder="1"/>
    <xf numFmtId="0" fontId="15" fillId="8" borderId="79" xfId="0" applyFont="1" applyFill="1" applyBorder="1" applyAlignment="1">
      <alignment horizontal="left"/>
    </xf>
    <xf numFmtId="0" fontId="0" fillId="8" borderId="80" xfId="0" applyFill="1" applyBorder="1" applyAlignment="1">
      <alignment horizontal="left"/>
    </xf>
    <xf numFmtId="2" fontId="7" fillId="8" borderId="80" xfId="0" applyNumberFormat="1" applyFont="1" applyFill="1" applyBorder="1" applyAlignment="1">
      <alignment horizontal="center"/>
    </xf>
    <xf numFmtId="0" fontId="7" fillId="8" borderId="80" xfId="0" applyFont="1" applyFill="1" applyBorder="1" applyAlignment="1">
      <alignment horizontal="center"/>
    </xf>
    <xf numFmtId="0" fontId="4" fillId="8" borderId="80" xfId="0" applyFont="1" applyFill="1" applyBorder="1"/>
    <xf numFmtId="0" fontId="4" fillId="8" borderId="81" xfId="0" applyFont="1" applyFill="1" applyBorder="1"/>
    <xf numFmtId="0" fontId="5" fillId="8" borderId="35" xfId="0" applyFont="1" applyFill="1" applyBorder="1"/>
    <xf numFmtId="2" fontId="4" fillId="8" borderId="0" xfId="0" applyNumberFormat="1" applyFont="1" applyFill="1" applyAlignment="1">
      <alignment horizontal="center"/>
    </xf>
    <xf numFmtId="0" fontId="0" fillId="8" borderId="0" xfId="0" applyFill="1" applyAlignment="1">
      <alignment horizontal="right" vertical="center"/>
    </xf>
    <xf numFmtId="0" fontId="5" fillId="8" borderId="64" xfId="0" applyFont="1" applyFill="1" applyBorder="1"/>
    <xf numFmtId="0" fontId="3" fillId="8" borderId="65" xfId="0" applyFont="1" applyFill="1" applyBorder="1"/>
    <xf numFmtId="0" fontId="6" fillId="8" borderId="67" xfId="0" applyFont="1" applyFill="1" applyBorder="1" applyAlignment="1">
      <alignment horizontal="center"/>
    </xf>
    <xf numFmtId="0" fontId="8" fillId="8" borderId="65" xfId="0" applyFont="1" applyFill="1" applyBorder="1" applyAlignment="1">
      <alignment horizontal="center"/>
    </xf>
    <xf numFmtId="0" fontId="6" fillId="8" borderId="54" xfId="0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7" fillId="8" borderId="0" xfId="0" applyFont="1" applyFill="1"/>
    <xf numFmtId="3" fontId="12" fillId="8" borderId="54" xfId="0" applyNumberFormat="1" applyFont="1" applyFill="1" applyBorder="1" applyAlignment="1">
      <alignment horizontal="center"/>
    </xf>
    <xf numFmtId="3" fontId="12" fillId="8" borderId="0" xfId="0" applyNumberFormat="1" applyFont="1" applyFill="1" applyAlignment="1">
      <alignment horizontal="center"/>
    </xf>
    <xf numFmtId="4" fontId="12" fillId="8" borderId="0" xfId="0" applyNumberFormat="1" applyFont="1" applyFill="1" applyAlignment="1">
      <alignment horizontal="right"/>
    </xf>
    <xf numFmtId="0" fontId="27" fillId="8" borderId="0" xfId="0" applyFont="1" applyFill="1" applyAlignment="1">
      <alignment horizontal="right"/>
    </xf>
    <xf numFmtId="0" fontId="24" fillId="8" borderId="0" xfId="0" applyFont="1" applyFill="1" applyAlignment="1">
      <alignment horizontal="right"/>
    </xf>
    <xf numFmtId="0" fontId="4" fillId="8" borderId="20" xfId="0" applyFont="1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43" xfId="0" applyFill="1" applyBorder="1"/>
    <xf numFmtId="0" fontId="0" fillId="8" borderId="44" xfId="0" applyFill="1" applyBorder="1"/>
    <xf numFmtId="169" fontId="5" fillId="8" borderId="0" xfId="0" applyNumberFormat="1" applyFont="1" applyFill="1" applyAlignment="1">
      <alignment horizontal="right"/>
    </xf>
    <xf numFmtId="0" fontId="0" fillId="8" borderId="25" xfId="0" applyFill="1" applyBorder="1"/>
    <xf numFmtId="169" fontId="5" fillId="8" borderId="51" xfId="0" applyNumberFormat="1" applyFont="1" applyFill="1" applyBorder="1" applyAlignment="1">
      <alignment horizontal="right"/>
    </xf>
    <xf numFmtId="169" fontId="5" fillId="8" borderId="25" xfId="0" applyNumberFormat="1" applyFont="1" applyFill="1" applyBorder="1" applyAlignment="1">
      <alignment horizontal="right"/>
    </xf>
    <xf numFmtId="169" fontId="5" fillId="8" borderId="52" xfId="0" applyNumberFormat="1" applyFont="1" applyFill="1" applyBorder="1" applyAlignment="1">
      <alignment horizontal="right"/>
    </xf>
    <xf numFmtId="169" fontId="5" fillId="8" borderId="21" xfId="0" applyNumberFormat="1" applyFont="1" applyFill="1" applyBorder="1" applyAlignment="1">
      <alignment horizontal="right"/>
    </xf>
    <xf numFmtId="169" fontId="5" fillId="8" borderId="36" xfId="0" applyNumberFormat="1" applyFont="1" applyFill="1" applyBorder="1" applyAlignment="1">
      <alignment horizontal="right"/>
    </xf>
    <xf numFmtId="0" fontId="4" fillId="8" borderId="22" xfId="0" applyFont="1" applyFill="1" applyBorder="1"/>
    <xf numFmtId="169" fontId="5" fillId="8" borderId="54" xfId="0" applyNumberFormat="1" applyFont="1" applyFill="1" applyBorder="1" applyAlignment="1">
      <alignment horizontal="right"/>
    </xf>
    <xf numFmtId="0" fontId="0" fillId="8" borderId="45" xfId="0" applyFill="1" applyBorder="1"/>
    <xf numFmtId="169" fontId="5" fillId="8" borderId="45" xfId="0" applyNumberFormat="1" applyFont="1" applyFill="1" applyBorder="1" applyAlignment="1">
      <alignment horizontal="right"/>
    </xf>
    <xf numFmtId="169" fontId="5" fillId="8" borderId="23" xfId="0" applyNumberFormat="1" applyFont="1" applyFill="1" applyBorder="1" applyAlignment="1">
      <alignment horizontal="right"/>
    </xf>
    <xf numFmtId="0" fontId="4" fillId="8" borderId="82" xfId="0" applyFont="1" applyFill="1" applyBorder="1"/>
    <xf numFmtId="0" fontId="4" fillId="8" borderId="83" xfId="0" applyFont="1" applyFill="1" applyBorder="1"/>
    <xf numFmtId="0" fontId="4" fillId="8" borderId="3" xfId="0" applyFont="1" applyFill="1" applyBorder="1"/>
    <xf numFmtId="0" fontId="4" fillId="8" borderId="4" xfId="0" applyFont="1" applyFill="1" applyBorder="1"/>
    <xf numFmtId="0" fontId="4" fillId="8" borderId="2" xfId="0" applyFont="1" applyFill="1" applyBorder="1"/>
    <xf numFmtId="0" fontId="3" fillId="8" borderId="3" xfId="0" applyFont="1" applyFill="1" applyBorder="1"/>
    <xf numFmtId="0" fontId="13" fillId="8" borderId="3" xfId="0" applyFont="1" applyFill="1" applyBorder="1"/>
    <xf numFmtId="0" fontId="13" fillId="8" borderId="0" xfId="0" applyFont="1" applyFill="1" applyAlignment="1">
      <alignment horizontal="right"/>
    </xf>
    <xf numFmtId="0" fontId="4" fillId="8" borderId="19" xfId="0" applyFont="1" applyFill="1" applyBorder="1"/>
    <xf numFmtId="0" fontId="4" fillId="8" borderId="59" xfId="0" applyFont="1" applyFill="1" applyBorder="1"/>
    <xf numFmtId="0" fontId="4" fillId="8" borderId="45" xfId="0" applyFont="1" applyFill="1" applyBorder="1" applyAlignment="1">
      <alignment horizontal="right"/>
    </xf>
    <xf numFmtId="0" fontId="3" fillId="8" borderId="22" xfId="0" applyFont="1" applyFill="1" applyBorder="1" applyAlignment="1">
      <alignment horizontal="center" vertical="center"/>
    </xf>
    <xf numFmtId="0" fontId="3" fillId="8" borderId="45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" fontId="8" fillId="8" borderId="0" xfId="0" applyNumberFormat="1" applyFont="1" applyFill="1" applyAlignment="1">
      <alignment horizontal="right"/>
    </xf>
    <xf numFmtId="4" fontId="8" fillId="8" borderId="0" xfId="0" applyNumberFormat="1" applyFont="1" applyFill="1"/>
    <xf numFmtId="0" fontId="4" fillId="8" borderId="52" xfId="0" applyFont="1" applyFill="1" applyBorder="1"/>
    <xf numFmtId="0" fontId="13" fillId="8" borderId="25" xfId="0" applyFont="1" applyFill="1" applyBorder="1"/>
    <xf numFmtId="0" fontId="13" fillId="8" borderId="25" xfId="0" applyFont="1" applyFill="1" applyBorder="1" applyAlignment="1">
      <alignment horizontal="right"/>
    </xf>
    <xf numFmtId="0" fontId="4" fillId="8" borderId="2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3" fillId="8" borderId="84" xfId="0" applyFont="1" applyFill="1" applyBorder="1"/>
    <xf numFmtId="0" fontId="13" fillId="8" borderId="85" xfId="0" applyFont="1" applyFill="1" applyBorder="1"/>
    <xf numFmtId="0" fontId="4" fillId="8" borderId="85" xfId="0" applyFont="1" applyFill="1" applyBorder="1"/>
    <xf numFmtId="0" fontId="4" fillId="8" borderId="86" xfId="0" applyFont="1" applyFill="1" applyBorder="1"/>
    <xf numFmtId="0" fontId="4" fillId="8" borderId="84" xfId="0" applyFont="1" applyFill="1" applyBorder="1"/>
    <xf numFmtId="0" fontId="4" fillId="8" borderId="25" xfId="0" applyFont="1" applyFill="1" applyBorder="1" applyAlignment="1">
      <alignment horizontal="right"/>
    </xf>
    <xf numFmtId="4" fontId="3" fillId="8" borderId="25" xfId="0" applyNumberFormat="1" applyFont="1" applyFill="1" applyBorder="1"/>
    <xf numFmtId="0" fontId="3" fillId="8" borderId="25" xfId="0" applyFont="1" applyFill="1" applyBorder="1"/>
    <xf numFmtId="0" fontId="23" fillId="8" borderId="25" xfId="0" applyFont="1" applyFill="1" applyBorder="1" applyAlignment="1">
      <alignment horizontal="right"/>
    </xf>
    <xf numFmtId="4" fontId="3" fillId="8" borderId="25" xfId="0" applyNumberFormat="1" applyFont="1" applyFill="1" applyBorder="1" applyAlignment="1">
      <alignment horizontal="center" vertical="center"/>
    </xf>
    <xf numFmtId="0" fontId="23" fillId="8" borderId="0" xfId="0" applyFont="1" applyFill="1" applyAlignment="1">
      <alignment horizontal="left"/>
    </xf>
    <xf numFmtId="0" fontId="8" fillId="8" borderId="20" xfId="0" applyFont="1" applyFill="1" applyBorder="1"/>
    <xf numFmtId="0" fontId="25" fillId="8" borderId="35" xfId="0" applyFont="1" applyFill="1" applyBorder="1"/>
    <xf numFmtId="0" fontId="24" fillId="8" borderId="0" xfId="0" applyFont="1" applyFill="1"/>
    <xf numFmtId="0" fontId="25" fillId="8" borderId="82" xfId="0" applyFont="1" applyFill="1" applyBorder="1"/>
    <xf numFmtId="0" fontId="6" fillId="8" borderId="45" xfId="0" applyFont="1" applyFill="1" applyBorder="1" applyAlignment="1">
      <alignment horizontal="left"/>
    </xf>
    <xf numFmtId="0" fontId="3" fillId="8" borderId="45" xfId="0" applyFont="1" applyFill="1" applyBorder="1" applyAlignment="1">
      <alignment horizontal="left"/>
    </xf>
    <xf numFmtId="169" fontId="25" fillId="8" borderId="0" xfId="0" applyNumberFormat="1" applyFont="1" applyFill="1" applyAlignment="1">
      <alignment horizontal="right"/>
    </xf>
    <xf numFmtId="0" fontId="25" fillId="8" borderId="0" xfId="0" applyFont="1" applyFill="1" applyAlignment="1">
      <alignment horizontal="right"/>
    </xf>
    <xf numFmtId="169" fontId="25" fillId="8" borderId="40" xfId="0" applyNumberFormat="1" applyFont="1" applyFill="1" applyBorder="1" applyAlignment="1">
      <alignment horizontal="right"/>
    </xf>
    <xf numFmtId="0" fontId="4" fillId="8" borderId="88" xfId="0" applyFont="1" applyFill="1" applyBorder="1"/>
    <xf numFmtId="0" fontId="4" fillId="8" borderId="51" xfId="0" applyFont="1" applyFill="1" applyBorder="1"/>
    <xf numFmtId="0" fontId="4" fillId="8" borderId="51" xfId="0" applyFont="1" applyFill="1" applyBorder="1" applyAlignment="1">
      <alignment horizontal="right"/>
    </xf>
    <xf numFmtId="0" fontId="4" fillId="8" borderId="37" xfId="0" applyFont="1" applyFill="1" applyBorder="1"/>
    <xf numFmtId="0" fontId="4" fillId="8" borderId="91" xfId="0" applyFont="1" applyFill="1" applyBorder="1"/>
    <xf numFmtId="0" fontId="4" fillId="8" borderId="91" xfId="0" applyFont="1" applyFill="1" applyBorder="1" applyAlignment="1">
      <alignment horizontal="right"/>
    </xf>
    <xf numFmtId="0" fontId="21" fillId="8" borderId="0" xfId="0" applyFont="1" applyFill="1"/>
    <xf numFmtId="14" fontId="4" fillId="8" borderId="0" xfId="0" applyNumberFormat="1" applyFont="1" applyFill="1"/>
    <xf numFmtId="0" fontId="23" fillId="8" borderId="0" xfId="0" applyFont="1" applyFill="1" applyAlignment="1">
      <alignment horizontal="center"/>
    </xf>
    <xf numFmtId="169" fontId="4" fillId="8" borderId="0" xfId="0" applyNumberFormat="1" applyFont="1" applyFill="1"/>
    <xf numFmtId="0" fontId="4" fillId="8" borderId="75" xfId="0" applyFont="1" applyFill="1" applyBorder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7" fillId="8" borderId="21" xfId="0" applyFont="1" applyFill="1" applyBorder="1"/>
    <xf numFmtId="0" fontId="6" fillId="8" borderId="0" xfId="0" applyFont="1" applyFill="1"/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4" fillId="8" borderId="4" xfId="0" applyFont="1" applyFill="1" applyBorder="1" applyAlignment="1">
      <alignment vertical="center"/>
    </xf>
    <xf numFmtId="0" fontId="4" fillId="8" borderId="0" xfId="0" quotePrefix="1" applyFont="1" applyFill="1"/>
    <xf numFmtId="0" fontId="4" fillId="8" borderId="45" xfId="0" quotePrefix="1" applyFont="1" applyFill="1" applyBorder="1"/>
    <xf numFmtId="0" fontId="3" fillId="0" borderId="0" xfId="0" applyFont="1"/>
    <xf numFmtId="0" fontId="3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28" fillId="0" borderId="0" xfId="0" applyFont="1"/>
    <xf numFmtId="0" fontId="29" fillId="0" borderId="0" xfId="0" applyFont="1" applyAlignment="1">
      <alignment vertical="center"/>
    </xf>
    <xf numFmtId="49" fontId="5" fillId="0" borderId="0" xfId="0" applyNumberFormat="1" applyFont="1" applyAlignment="1">
      <alignment horizontal="center"/>
    </xf>
    <xf numFmtId="0" fontId="3" fillId="0" borderId="9" xfId="0" applyFont="1" applyBorder="1"/>
    <xf numFmtId="0" fontId="3" fillId="0" borderId="105" xfId="0" applyFont="1" applyBorder="1"/>
    <xf numFmtId="0" fontId="3" fillId="0" borderId="105" xfId="0" applyFont="1" applyBorder="1" applyAlignment="1">
      <alignment horizontal="right"/>
    </xf>
    <xf numFmtId="0" fontId="3" fillId="0" borderId="105" xfId="0" applyFont="1" applyBorder="1" applyProtection="1">
      <protection hidden="1"/>
    </xf>
    <xf numFmtId="0" fontId="3" fillId="0" borderId="25" xfId="0" applyFont="1" applyBorder="1"/>
    <xf numFmtId="0" fontId="3" fillId="0" borderId="10" xfId="0" applyFont="1" applyBorder="1" applyProtection="1">
      <protection hidden="1"/>
    </xf>
    <xf numFmtId="0" fontId="3" fillId="0" borderId="14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right"/>
    </xf>
    <xf numFmtId="0" fontId="3" fillId="0" borderId="24" xfId="0" applyFont="1" applyBorder="1" applyProtection="1">
      <protection hidden="1"/>
    </xf>
    <xf numFmtId="0" fontId="3" fillId="0" borderId="15" xfId="0" applyFont="1" applyBorder="1" applyProtection="1">
      <protection hidden="1"/>
    </xf>
    <xf numFmtId="169" fontId="3" fillId="0" borderId="0" xfId="0" applyNumberFormat="1" applyFont="1"/>
    <xf numFmtId="0" fontId="3" fillId="0" borderId="53" xfId="0" applyFont="1" applyBorder="1" applyAlignment="1">
      <alignment horizontal="right"/>
    </xf>
    <xf numFmtId="0" fontId="3" fillId="0" borderId="22" xfId="0" applyFont="1" applyBorder="1"/>
    <xf numFmtId="0" fontId="3" fillId="0" borderId="45" xfId="0" applyFont="1" applyBorder="1"/>
    <xf numFmtId="0" fontId="3" fillId="0" borderId="23" xfId="0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53" xfId="0" applyFont="1" applyBorder="1" applyAlignment="1" applyProtection="1">
      <alignment horizontal="center"/>
      <protection hidden="1"/>
    </xf>
    <xf numFmtId="0" fontId="3" fillId="0" borderId="24" xfId="0" applyFont="1" applyBorder="1" applyAlignment="1" applyProtection="1">
      <alignment horizontal="center"/>
      <protection hidden="1"/>
    </xf>
    <xf numFmtId="0" fontId="4" fillId="0" borderId="22" xfId="0" applyFont="1" applyBorder="1" applyAlignment="1" applyProtection="1">
      <alignment horizontal="left"/>
      <protection hidden="1"/>
    </xf>
    <xf numFmtId="0" fontId="4" fillId="0" borderId="45" xfId="0" applyFont="1" applyBorder="1" applyAlignment="1" applyProtection="1">
      <alignment horizontal="left"/>
      <protection hidden="1"/>
    </xf>
    <xf numFmtId="0" fontId="0" fillId="0" borderId="45" xfId="0" applyBorder="1"/>
    <xf numFmtId="14" fontId="4" fillId="0" borderId="45" xfId="0" applyNumberFormat="1" applyFont="1" applyBorder="1" applyAlignment="1" applyProtection="1">
      <alignment horizontal="center"/>
      <protection hidden="1"/>
    </xf>
    <xf numFmtId="0" fontId="4" fillId="0" borderId="45" xfId="0" applyFont="1" applyBorder="1" applyAlignment="1" applyProtection="1">
      <alignment horizontal="center"/>
      <protection hidden="1"/>
    </xf>
    <xf numFmtId="0" fontId="0" fillId="0" borderId="23" xfId="0" applyBorder="1"/>
    <xf numFmtId="0" fontId="4" fillId="0" borderId="0" xfId="0" applyFont="1" applyAlignment="1" applyProtection="1">
      <alignment horizontal="left"/>
      <protection hidden="1"/>
    </xf>
    <xf numFmtId="14" fontId="4" fillId="0" borderId="0" xfId="0" applyNumberFormat="1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0" borderId="107" xfId="0" applyFont="1" applyBorder="1" applyAlignment="1">
      <alignment horizontal="center"/>
    </xf>
    <xf numFmtId="0" fontId="3" fillId="0" borderId="110" xfId="0" applyFont="1" applyBorder="1"/>
    <xf numFmtId="0" fontId="3" fillId="0" borderId="110" xfId="0" applyFont="1" applyBorder="1" applyAlignment="1">
      <alignment horizontal="right"/>
    </xf>
    <xf numFmtId="0" fontId="3" fillId="0" borderId="111" xfId="0" applyFont="1" applyBorder="1"/>
    <xf numFmtId="0" fontId="3" fillId="0" borderId="112" xfId="0" applyFont="1" applyBorder="1" applyAlignment="1">
      <alignment horizontal="center"/>
    </xf>
    <xf numFmtId="0" fontId="3" fillId="0" borderId="110" xfId="0" applyFont="1" applyBorder="1" applyProtection="1">
      <protection hidden="1"/>
    </xf>
    <xf numFmtId="4" fontId="3" fillId="0" borderId="110" xfId="0" applyNumberFormat="1" applyFont="1" applyBorder="1" applyProtection="1">
      <protection hidden="1"/>
    </xf>
    <xf numFmtId="0" fontId="3" fillId="0" borderId="111" xfId="0" applyFont="1" applyBorder="1" applyProtection="1">
      <protection hidden="1"/>
    </xf>
    <xf numFmtId="0" fontId="3" fillId="0" borderId="113" xfId="0" applyFont="1" applyBorder="1" applyProtection="1">
      <protection hidden="1"/>
    </xf>
    <xf numFmtId="0" fontId="3" fillId="0" borderId="114" xfId="0" applyFont="1" applyBorder="1" applyProtection="1">
      <protection hidden="1"/>
    </xf>
    <xf numFmtId="0" fontId="3" fillId="0" borderId="15" xfId="0" applyFont="1" applyBorder="1"/>
    <xf numFmtId="0" fontId="3" fillId="0" borderId="16" xfId="0" applyFont="1" applyBorder="1" applyAlignment="1">
      <alignment horizontal="center"/>
    </xf>
    <xf numFmtId="4" fontId="3" fillId="0" borderId="24" xfId="0" applyNumberFormat="1" applyFont="1" applyBorder="1" applyProtection="1">
      <protection hidden="1"/>
    </xf>
    <xf numFmtId="0" fontId="3" fillId="0" borderId="14" xfId="0" applyFont="1" applyBorder="1" applyProtection="1">
      <protection hidden="1"/>
    </xf>
    <xf numFmtId="0" fontId="3" fillId="0" borderId="18" xfId="0" applyFont="1" applyBorder="1" applyProtection="1">
      <protection hidden="1"/>
    </xf>
    <xf numFmtId="0" fontId="3" fillId="0" borderId="106" xfId="0" applyFont="1" applyBorder="1"/>
    <xf numFmtId="0" fontId="3" fillId="0" borderId="8" xfId="0" applyFont="1" applyBorder="1" applyAlignment="1">
      <alignment horizontal="center"/>
    </xf>
    <xf numFmtId="0" fontId="3" fillId="0" borderId="53" xfId="0" applyFont="1" applyBorder="1" applyProtection="1">
      <protection hidden="1"/>
    </xf>
    <xf numFmtId="4" fontId="3" fillId="0" borderId="53" xfId="0" applyNumberFormat="1" applyFont="1" applyBorder="1" applyProtection="1">
      <protection hidden="1"/>
    </xf>
    <xf numFmtId="0" fontId="3" fillId="0" borderId="106" xfId="0" applyFont="1" applyBorder="1" applyProtection="1">
      <protection hidden="1"/>
    </xf>
    <xf numFmtId="0" fontId="3" fillId="0" borderId="12" xfId="0" applyFont="1" applyBorder="1" applyProtection="1">
      <protection hidden="1"/>
    </xf>
    <xf numFmtId="0" fontId="3" fillId="0" borderId="13" xfId="0" applyFont="1" applyBorder="1" applyProtection="1">
      <protection hidden="1"/>
    </xf>
    <xf numFmtId="0" fontId="3" fillId="0" borderId="47" xfId="0" applyFont="1" applyBorder="1"/>
    <xf numFmtId="0" fontId="3" fillId="0" borderId="47" xfId="0" applyFont="1" applyBorder="1" applyAlignment="1">
      <alignment horizontal="right"/>
    </xf>
    <xf numFmtId="0" fontId="3" fillId="0" borderId="28" xfId="0" applyFont="1" applyBorder="1"/>
    <xf numFmtId="0" fontId="3" fillId="0" borderId="26" xfId="0" applyFont="1" applyBorder="1" applyAlignment="1">
      <alignment horizontal="center"/>
    </xf>
    <xf numFmtId="0" fontId="3" fillId="0" borderId="47" xfId="0" applyFont="1" applyBorder="1" applyProtection="1">
      <protection hidden="1"/>
    </xf>
    <xf numFmtId="4" fontId="3" fillId="0" borderId="47" xfId="0" applyNumberFormat="1" applyFont="1" applyBorder="1" applyProtection="1">
      <protection hidden="1"/>
    </xf>
    <xf numFmtId="0" fontId="3" fillId="0" borderId="28" xfId="0" applyFont="1" applyBorder="1" applyProtection="1">
      <protection hidden="1"/>
    </xf>
    <xf numFmtId="0" fontId="3" fillId="0" borderId="27" xfId="0" applyFont="1" applyBorder="1" applyProtection="1">
      <protection hidden="1"/>
    </xf>
    <xf numFmtId="0" fontId="3" fillId="0" borderId="48" xfId="0" applyFont="1" applyBorder="1" applyProtection="1">
      <protection hidden="1"/>
    </xf>
    <xf numFmtId="0" fontId="3" fillId="0" borderId="117" xfId="0" applyFont="1" applyBorder="1" applyAlignment="1">
      <alignment horizontal="center"/>
    </xf>
    <xf numFmtId="4" fontId="3" fillId="0" borderId="105" xfId="0" applyNumberFormat="1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118" xfId="0" applyFont="1" applyBorder="1" applyProtection="1">
      <protection hidden="1"/>
    </xf>
    <xf numFmtId="0" fontId="3" fillId="0" borderId="10" xfId="0" applyFont="1" applyBorder="1"/>
    <xf numFmtId="0" fontId="3" fillId="0" borderId="14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3" fillId="0" borderId="119" xfId="0" applyFont="1" applyBorder="1"/>
    <xf numFmtId="0" fontId="3" fillId="0" borderId="53" xfId="0" applyFont="1" applyBorder="1"/>
    <xf numFmtId="0" fontId="3" fillId="0" borderId="119" xfId="0" applyFont="1" applyBorder="1" applyAlignment="1">
      <alignment horizontal="right"/>
    </xf>
    <xf numFmtId="0" fontId="3" fillId="0" borderId="120" xfId="0" applyFont="1" applyBorder="1"/>
    <xf numFmtId="0" fontId="3" fillId="0" borderId="120" xfId="0" applyFont="1" applyBorder="1" applyAlignment="1">
      <alignment horizontal="right"/>
    </xf>
    <xf numFmtId="0" fontId="8" fillId="0" borderId="121" xfId="0" applyFont="1" applyBorder="1"/>
    <xf numFmtId="0" fontId="8" fillId="0" borderId="47" xfId="0" applyFont="1" applyBorder="1"/>
    <xf numFmtId="0" fontId="3" fillId="0" borderId="121" xfId="0" applyFont="1" applyBorder="1" applyAlignment="1">
      <alignment horizontal="right"/>
    </xf>
    <xf numFmtId="0" fontId="4" fillId="0" borderId="119" xfId="0" applyFont="1" applyBorder="1"/>
    <xf numFmtId="0" fontId="4" fillId="0" borderId="53" xfId="0" applyFont="1" applyBorder="1"/>
    <xf numFmtId="0" fontId="4" fillId="0" borderId="120" xfId="0" applyFont="1" applyBorder="1"/>
    <xf numFmtId="0" fontId="4" fillId="0" borderId="24" xfId="0" applyFont="1" applyBorder="1"/>
    <xf numFmtId="170" fontId="3" fillId="0" borderId="24" xfId="0" applyNumberFormat="1" applyFont="1" applyBorder="1" applyProtection="1">
      <protection hidden="1"/>
    </xf>
    <xf numFmtId="169" fontId="3" fillId="0" borderId="24" xfId="0" applyNumberFormat="1" applyFont="1" applyBorder="1" applyProtection="1">
      <protection hidden="1"/>
    </xf>
    <xf numFmtId="0" fontId="4" fillId="0" borderId="122" xfId="0" applyFont="1" applyBorder="1"/>
    <xf numFmtId="0" fontId="4" fillId="0" borderId="31" xfId="0" applyFont="1" applyBorder="1"/>
    <xf numFmtId="0" fontId="3" fillId="0" borderId="31" xfId="0" applyFont="1" applyBorder="1"/>
    <xf numFmtId="0" fontId="3" fillId="0" borderId="122" xfId="0" applyFont="1" applyBorder="1" applyAlignment="1">
      <alignment horizontal="right"/>
    </xf>
    <xf numFmtId="0" fontId="3" fillId="0" borderId="32" xfId="0" applyFont="1" applyBorder="1"/>
    <xf numFmtId="0" fontId="3" fillId="0" borderId="29" xfId="0" applyFont="1" applyBorder="1" applyAlignment="1">
      <alignment horizontal="center"/>
    </xf>
    <xf numFmtId="0" fontId="3" fillId="0" borderId="31" xfId="0" applyFont="1" applyBorder="1" applyProtection="1">
      <protection hidden="1"/>
    </xf>
    <xf numFmtId="0" fontId="3" fillId="0" borderId="32" xfId="0" applyFont="1" applyBorder="1" applyProtection="1">
      <protection hidden="1"/>
    </xf>
    <xf numFmtId="0" fontId="3" fillId="0" borderId="33" xfId="0" applyFont="1" applyBorder="1" applyProtection="1">
      <protection hidden="1"/>
    </xf>
    <xf numFmtId="169" fontId="3" fillId="0" borderId="31" xfId="0" applyNumberFormat="1" applyFont="1" applyBorder="1" applyProtection="1">
      <protection hidden="1"/>
    </xf>
    <xf numFmtId="0" fontId="3" fillId="0" borderId="34" xfId="0" applyFont="1" applyBorder="1" applyProtection="1">
      <protection hidden="1"/>
    </xf>
    <xf numFmtId="0" fontId="0" fillId="0" borderId="0" xfId="0" applyProtection="1">
      <protection hidden="1"/>
    </xf>
    <xf numFmtId="0" fontId="0" fillId="0" borderId="20" xfId="0" applyBorder="1"/>
    <xf numFmtId="0" fontId="0" fillId="0" borderId="25" xfId="0" applyBorder="1"/>
    <xf numFmtId="0" fontId="0" fillId="0" borderId="21" xfId="0" applyBorder="1"/>
    <xf numFmtId="0" fontId="0" fillId="0" borderId="39" xfId="0" applyBorder="1" applyProtection="1">
      <protection hidden="1"/>
    </xf>
    <xf numFmtId="166" fontId="5" fillId="0" borderId="0" xfId="0" applyNumberFormat="1" applyFont="1" applyProtection="1">
      <protection hidden="1"/>
    </xf>
    <xf numFmtId="0" fontId="0" fillId="0" borderId="22" xfId="0" applyBorder="1"/>
    <xf numFmtId="0" fontId="8" fillId="0" borderId="0" xfId="0" applyFont="1" applyAlignment="1" applyProtection="1">
      <alignment horizontal="right" vertical="center"/>
      <protection hidden="1"/>
    </xf>
    <xf numFmtId="0" fontId="30" fillId="0" borderId="0" xfId="0" applyFont="1" applyAlignment="1">
      <alignment horizontal="left" wrapText="1"/>
    </xf>
    <xf numFmtId="0" fontId="8" fillId="0" borderId="20" xfId="0" applyFont="1" applyBorder="1"/>
    <xf numFmtId="0" fontId="4" fillId="0" borderId="25" xfId="0" applyFont="1" applyBorder="1"/>
    <xf numFmtId="0" fontId="4" fillId="0" borderId="0" xfId="0" applyFont="1" applyAlignment="1" applyProtection="1">
      <alignment horizontal="left" vertical="top" wrapText="1"/>
      <protection hidden="1"/>
    </xf>
    <xf numFmtId="0" fontId="31" fillId="0" borderId="0" xfId="0" applyFont="1" applyAlignment="1">
      <alignment vertical="justify" wrapText="1"/>
    </xf>
    <xf numFmtId="0" fontId="32" fillId="0" borderId="0" xfId="0" applyFont="1" applyAlignment="1">
      <alignment horizontal="right"/>
    </xf>
    <xf numFmtId="0" fontId="23" fillId="0" borderId="0" xfId="0" applyFont="1"/>
    <xf numFmtId="0" fontId="21" fillId="0" borderId="0" xfId="0" applyFont="1"/>
    <xf numFmtId="0" fontId="31" fillId="0" borderId="0" xfId="0" applyFont="1" applyAlignment="1" applyProtection="1">
      <alignment vertical="justify" wrapText="1"/>
      <protection locked="0"/>
    </xf>
    <xf numFmtId="0" fontId="30" fillId="0" borderId="0" xfId="0" applyFont="1" applyAlignment="1">
      <alignment horizontal="left"/>
    </xf>
    <xf numFmtId="0" fontId="8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5" fillId="0" borderId="0" xfId="0" applyFont="1"/>
    <xf numFmtId="0" fontId="36" fillId="0" borderId="0" xfId="0" applyFont="1"/>
    <xf numFmtId="0" fontId="37" fillId="0" borderId="0" xfId="0" applyFont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0" fillId="0" borderId="2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7" xfId="0" applyBorder="1" applyProtection="1">
      <protection hidden="1"/>
    </xf>
    <xf numFmtId="0" fontId="0" fillId="0" borderId="28" xfId="0" applyBorder="1" applyProtection="1">
      <protection hidden="1"/>
    </xf>
    <xf numFmtId="0" fontId="38" fillId="0" borderId="0" xfId="0" applyFont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117" xfId="0" applyBorder="1" applyAlignment="1">
      <alignment horizontal="center"/>
    </xf>
    <xf numFmtId="0" fontId="0" fillId="0" borderId="105" xfId="0" applyBorder="1" applyAlignment="1" applyProtection="1">
      <alignment horizontal="center"/>
      <protection hidden="1"/>
    </xf>
    <xf numFmtId="0" fontId="0" fillId="0" borderId="10" xfId="0" applyBorder="1" applyProtection="1">
      <protection hidden="1"/>
    </xf>
    <xf numFmtId="0" fontId="0" fillId="0" borderId="16" xfId="0" applyBorder="1" applyAlignment="1">
      <alignment horizontal="center"/>
    </xf>
    <xf numFmtId="0" fontId="0" fillId="0" borderId="24" xfId="0" applyBorder="1" applyAlignment="1" applyProtection="1">
      <alignment horizontal="center"/>
      <protection hidden="1"/>
    </xf>
    <xf numFmtId="4" fontId="0" fillId="0" borderId="24" xfId="0" applyNumberFormat="1" applyBorder="1" applyProtection="1">
      <protection hidden="1"/>
    </xf>
    <xf numFmtId="0" fontId="0" fillId="0" borderId="26" xfId="0" quotePrefix="1" applyBorder="1" applyAlignment="1">
      <alignment horizontal="center"/>
    </xf>
    <xf numFmtId="169" fontId="0" fillId="0" borderId="105" xfId="0" applyNumberFormat="1" applyBorder="1" applyProtection="1">
      <protection hidden="1"/>
    </xf>
    <xf numFmtId="0" fontId="0" fillId="0" borderId="105" xfId="0" applyBorder="1" applyProtection="1">
      <protection hidden="1"/>
    </xf>
    <xf numFmtId="169" fontId="0" fillId="0" borderId="24" xfId="0" applyNumberFormat="1" applyBorder="1" applyProtection="1">
      <protection hidden="1"/>
    </xf>
    <xf numFmtId="0" fontId="0" fillId="0" borderId="16" xfId="0" quotePrefix="1" applyBorder="1" applyAlignment="1">
      <alignment horizontal="center"/>
    </xf>
    <xf numFmtId="169" fontId="0" fillId="0" borderId="15" xfId="0" applyNumberFormat="1" applyBorder="1" applyProtection="1">
      <protection hidden="1"/>
    </xf>
    <xf numFmtId="0" fontId="0" fillId="0" borderId="26" xfId="0" applyBorder="1" applyAlignment="1">
      <alignment horizontal="center"/>
    </xf>
    <xf numFmtId="169" fontId="0" fillId="0" borderId="47" xfId="0" applyNumberFormat="1" applyBorder="1" applyProtection="1">
      <protection hidden="1"/>
    </xf>
    <xf numFmtId="0" fontId="0" fillId="0" borderId="106" xfId="0" applyBorder="1" applyProtection="1">
      <protection hidden="1"/>
    </xf>
    <xf numFmtId="169" fontId="0" fillId="0" borderId="9" xfId="0" applyNumberFormat="1" applyBorder="1" applyProtection="1">
      <protection hidden="1"/>
    </xf>
    <xf numFmtId="0" fontId="3" fillId="0" borderId="126" xfId="0" applyFont="1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127" xfId="0" applyBorder="1" applyAlignment="1">
      <alignment horizontal="left"/>
    </xf>
    <xf numFmtId="0" fontId="0" fillId="0" borderId="0" xfId="0" applyAlignment="1">
      <alignment horizontal="right"/>
    </xf>
    <xf numFmtId="0" fontId="40" fillId="0" borderId="0" xfId="0" applyFont="1"/>
    <xf numFmtId="0" fontId="0" fillId="0" borderId="0" xfId="0" applyProtection="1">
      <protection locked="0" hidden="1"/>
    </xf>
    <xf numFmtId="0" fontId="4" fillId="0" borderId="0" xfId="0" applyFont="1" applyProtection="1">
      <protection locked="0" hidden="1"/>
    </xf>
    <xf numFmtId="14" fontId="4" fillId="0" borderId="0" xfId="0" applyNumberFormat="1" applyFont="1" applyProtection="1">
      <protection locked="0" hidden="1"/>
    </xf>
    <xf numFmtId="166" fontId="8" fillId="0" borderId="0" xfId="0" applyNumberFormat="1" applyFont="1" applyProtection="1">
      <protection locked="0" hidden="1"/>
    </xf>
    <xf numFmtId="0" fontId="5" fillId="0" borderId="0" xfId="0" applyFont="1" applyProtection="1">
      <protection locked="0" hidden="1"/>
    </xf>
    <xf numFmtId="0" fontId="38" fillId="0" borderId="0" xfId="0" applyFont="1" applyAlignment="1" applyProtection="1">
      <alignment horizontal="right" vertical="center"/>
      <protection locked="0" hidden="1"/>
    </xf>
    <xf numFmtId="0" fontId="42" fillId="0" borderId="0" xfId="0" applyFont="1" applyProtection="1">
      <protection locked="0" hidden="1"/>
    </xf>
    <xf numFmtId="0" fontId="0" fillId="0" borderId="0" xfId="0" applyAlignment="1" applyProtection="1">
      <alignment horizontal="right"/>
      <protection locked="0" hidden="1"/>
    </xf>
    <xf numFmtId="0" fontId="43" fillId="0" borderId="0" xfId="0" applyFont="1" applyProtection="1">
      <protection locked="0" hidden="1"/>
    </xf>
    <xf numFmtId="0" fontId="8" fillId="0" borderId="69" xfId="0" applyFont="1" applyBorder="1" applyAlignment="1" applyProtection="1">
      <alignment horizontal="center" vertical="center"/>
      <protection locked="0" hidden="1"/>
    </xf>
    <xf numFmtId="0" fontId="0" fillId="0" borderId="39" xfId="0" applyBorder="1" applyProtection="1">
      <protection locked="0" hidden="1"/>
    </xf>
    <xf numFmtId="0" fontId="0" fillId="0" borderId="40" xfId="0" applyBorder="1" applyProtection="1">
      <protection locked="0" hidden="1"/>
    </xf>
    <xf numFmtId="166" fontId="0" fillId="0" borderId="0" xfId="0" applyNumberFormat="1" applyProtection="1">
      <protection locked="0" hidden="1"/>
    </xf>
    <xf numFmtId="0" fontId="30" fillId="0" borderId="0" xfId="0" applyFont="1" applyProtection="1">
      <protection locked="0" hidden="1"/>
    </xf>
    <xf numFmtId="0" fontId="32" fillId="0" borderId="0" xfId="0" applyFont="1" applyProtection="1">
      <protection locked="0" hidden="1"/>
    </xf>
    <xf numFmtId="0" fontId="6" fillId="0" borderId="0" xfId="0" applyFont="1" applyAlignment="1" applyProtection="1">
      <alignment horizontal="right"/>
      <protection locked="0" hidden="1"/>
    </xf>
    <xf numFmtId="0" fontId="32" fillId="0" borderId="0" xfId="0" applyFont="1" applyAlignment="1" applyProtection="1">
      <alignment horizontal="right"/>
      <protection locked="0" hidden="1"/>
    </xf>
    <xf numFmtId="0" fontId="10" fillId="0" borderId="0" xfId="0" applyFont="1" applyAlignment="1" applyProtection="1">
      <alignment horizontal="left"/>
      <protection locked="0" hidden="1"/>
    </xf>
    <xf numFmtId="0" fontId="8" fillId="0" borderId="0" xfId="0" applyFont="1" applyProtection="1">
      <protection locked="0" hidden="1"/>
    </xf>
    <xf numFmtId="0" fontId="23" fillId="0" borderId="0" xfId="0" applyFont="1" applyProtection="1">
      <protection locked="0" hidden="1"/>
    </xf>
    <xf numFmtId="0" fontId="30" fillId="0" borderId="0" xfId="0" applyFont="1" applyAlignment="1" applyProtection="1">
      <alignment horizontal="left"/>
      <protection locked="0" hidden="1"/>
    </xf>
    <xf numFmtId="0" fontId="34" fillId="0" borderId="0" xfId="0" applyFont="1" applyAlignment="1" applyProtection="1">
      <alignment horizontal="right"/>
      <protection hidden="1"/>
    </xf>
    <xf numFmtId="0" fontId="21" fillId="0" borderId="0" xfId="0" applyFont="1" applyAlignment="1" applyProtection="1">
      <alignment horizontal="right"/>
    </xf>
    <xf numFmtId="0" fontId="6" fillId="0" borderId="58" xfId="0" applyFont="1" applyBorder="1" applyAlignment="1" applyProtection="1">
      <alignment horizontal="center"/>
    </xf>
    <xf numFmtId="0" fontId="8" fillId="0" borderId="58" xfId="0" applyFont="1" applyBorder="1" applyAlignment="1" applyProtection="1">
      <alignment horizontal="center"/>
    </xf>
    <xf numFmtId="0" fontId="8" fillId="0" borderId="77" xfId="0" applyFont="1" applyBorder="1" applyAlignment="1" applyProtection="1">
      <alignment horizontal="center"/>
    </xf>
    <xf numFmtId="18" fontId="4" fillId="8" borderId="0" xfId="0" applyNumberFormat="1" applyFont="1" applyFill="1"/>
    <xf numFmtId="14" fontId="4" fillId="8" borderId="25" xfId="0" applyNumberFormat="1" applyFont="1" applyFill="1" applyBorder="1"/>
    <xf numFmtId="18" fontId="4" fillId="8" borderId="25" xfId="0" applyNumberFormat="1" applyFont="1" applyFill="1" applyBorder="1"/>
    <xf numFmtId="0" fontId="5" fillId="9" borderId="0" xfId="0" applyFont="1" applyFill="1"/>
    <xf numFmtId="0" fontId="4" fillId="9" borderId="0" xfId="0" applyFont="1" applyFill="1"/>
    <xf numFmtId="0" fontId="4" fillId="10" borderId="0" xfId="0" applyFont="1" applyFill="1"/>
    <xf numFmtId="0" fontId="0" fillId="11" borderId="0" xfId="0" applyFont="1" applyFill="1"/>
    <xf numFmtId="0" fontId="1" fillId="11" borderId="0" xfId="0" applyFont="1" applyFill="1"/>
    <xf numFmtId="0" fontId="1" fillId="11" borderId="0" xfId="0" applyFont="1" applyFill="1" applyAlignment="1">
      <alignment horizontal="center"/>
    </xf>
    <xf numFmtId="0" fontId="44" fillId="11" borderId="0" xfId="0" applyFont="1" applyFill="1" applyAlignment="1">
      <alignment horizontal="center"/>
    </xf>
    <xf numFmtId="0" fontId="44" fillId="11" borderId="0" xfId="0" applyFont="1" applyFill="1"/>
    <xf numFmtId="0" fontId="45" fillId="8" borderId="0" xfId="0" applyFont="1" applyFill="1"/>
    <xf numFmtId="0" fontId="0" fillId="0" borderId="24" xfId="0" applyBorder="1" applyAlignment="1">
      <alignment shrinkToFit="1"/>
    </xf>
    <xf numFmtId="0" fontId="3" fillId="0" borderId="0" xfId="0" applyFont="1" applyBorder="1"/>
    <xf numFmtId="0" fontId="14" fillId="5" borderId="0" xfId="0" applyFont="1" applyFill="1" applyBorder="1"/>
    <xf numFmtId="0" fontId="4" fillId="5" borderId="0" xfId="0" applyFont="1" applyFill="1" applyBorder="1"/>
    <xf numFmtId="169" fontId="0" fillId="0" borderId="39" xfId="0" applyNumberFormat="1" applyBorder="1" applyProtection="1">
      <protection locked="0" hidden="1"/>
    </xf>
    <xf numFmtId="0" fontId="0" fillId="0" borderId="0" xfId="0" applyBorder="1" applyProtection="1">
      <protection locked="0" hidden="1"/>
    </xf>
    <xf numFmtId="0" fontId="8" fillId="0" borderId="0" xfId="0" applyFont="1" applyBorder="1" applyAlignment="1" applyProtection="1">
      <alignment horizontal="center" vertical="center"/>
      <protection locked="0" hidden="1"/>
    </xf>
    <xf numFmtId="0" fontId="14" fillId="8" borderId="0" xfId="0" applyFont="1" applyFill="1"/>
    <xf numFmtId="0" fontId="4" fillId="8" borderId="158" xfId="0" applyFont="1" applyFill="1" applyBorder="1"/>
    <xf numFmtId="0" fontId="4" fillId="8" borderId="159" xfId="0" applyFont="1" applyFill="1" applyBorder="1"/>
    <xf numFmtId="0" fontId="4" fillId="8" borderId="160" xfId="0" applyFont="1" applyFill="1" applyBorder="1"/>
    <xf numFmtId="0" fontId="4" fillId="8" borderId="161" xfId="0" applyFont="1" applyFill="1" applyBorder="1"/>
    <xf numFmtId="0" fontId="4" fillId="8" borderId="162" xfId="0" applyFont="1" applyFill="1" applyBorder="1"/>
    <xf numFmtId="0" fontId="4" fillId="8" borderId="166" xfId="0" applyFont="1" applyFill="1" applyBorder="1"/>
    <xf numFmtId="0" fontId="4" fillId="8" borderId="167" xfId="0" applyFont="1" applyFill="1" applyBorder="1"/>
    <xf numFmtId="0" fontId="4" fillId="8" borderId="168" xfId="0" applyFont="1" applyFill="1" applyBorder="1"/>
    <xf numFmtId="0" fontId="48" fillId="3" borderId="0" xfId="0" applyFont="1" applyFill="1"/>
    <xf numFmtId="0" fontId="47" fillId="0" borderId="0" xfId="0" applyFont="1" applyAlignment="1">
      <alignment horizontal="center" vertical="center"/>
    </xf>
    <xf numFmtId="0" fontId="47" fillId="3" borderId="0" xfId="0" applyFont="1" applyFill="1"/>
    <xf numFmtId="3" fontId="0" fillId="0" borderId="105" xfId="0" applyNumberFormat="1" applyBorder="1" applyAlignment="1" applyProtection="1">
      <alignment horizontal="center"/>
      <protection hidden="1"/>
    </xf>
    <xf numFmtId="3" fontId="0" fillId="0" borderId="24" xfId="0" applyNumberFormat="1" applyBorder="1" applyAlignment="1" applyProtection="1">
      <alignment horizontal="center"/>
      <protection hidden="1"/>
    </xf>
    <xf numFmtId="4" fontId="7" fillId="8" borderId="1" xfId="0" applyNumberFormat="1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4" fillId="8" borderId="22" xfId="0" applyFont="1" applyFill="1" applyBorder="1" applyAlignment="1">
      <alignment horizontal="center"/>
    </xf>
    <xf numFmtId="0" fontId="4" fillId="8" borderId="45" xfId="0" applyFont="1" applyFill="1" applyBorder="1" applyAlignment="1">
      <alignment horizontal="center"/>
    </xf>
    <xf numFmtId="0" fontId="4" fillId="8" borderId="23" xfId="0" applyFont="1" applyFill="1" applyBorder="1" applyAlignment="1">
      <alignment horizontal="center"/>
    </xf>
    <xf numFmtId="166" fontId="7" fillId="8" borderId="92" xfId="0" applyNumberFormat="1" applyFont="1" applyFill="1" applyBorder="1" applyAlignment="1" applyProtection="1">
      <alignment horizontal="right"/>
      <protection hidden="1"/>
    </xf>
    <xf numFmtId="166" fontId="7" fillId="8" borderId="38" xfId="0" applyNumberFormat="1" applyFont="1" applyFill="1" applyBorder="1" applyAlignment="1" applyProtection="1">
      <alignment horizontal="right"/>
      <protection hidden="1"/>
    </xf>
    <xf numFmtId="0" fontId="8" fillId="8" borderId="20" xfId="0" applyFont="1" applyFill="1" applyBorder="1" applyAlignment="1">
      <alignment horizontal="left"/>
    </xf>
    <xf numFmtId="0" fontId="8" fillId="8" borderId="25" xfId="0" applyFont="1" applyFill="1" applyBorder="1" applyAlignment="1">
      <alignment horizontal="left"/>
    </xf>
    <xf numFmtId="0" fontId="8" fillId="8" borderId="21" xfId="0" applyFont="1" applyFill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36" xfId="0" applyFont="1" applyBorder="1" applyAlignment="1">
      <alignment horizontal="left"/>
    </xf>
    <xf numFmtId="0" fontId="5" fillId="8" borderId="62" xfId="0" applyFont="1" applyFill="1" applyBorder="1" applyAlignment="1">
      <alignment horizontal="center" vertical="center"/>
    </xf>
    <xf numFmtId="0" fontId="5" fillId="8" borderId="87" xfId="0" applyFont="1" applyFill="1" applyBorder="1" applyAlignment="1">
      <alignment horizontal="center" vertical="center"/>
    </xf>
    <xf numFmtId="0" fontId="5" fillId="8" borderId="63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left"/>
    </xf>
    <xf numFmtId="0" fontId="8" fillId="8" borderId="3" xfId="0" applyFont="1" applyFill="1" applyBorder="1" applyAlignment="1">
      <alignment horizontal="left"/>
    </xf>
    <xf numFmtId="0" fontId="8" fillId="8" borderId="4" xfId="0" applyFont="1" applyFill="1" applyBorder="1" applyAlignment="1">
      <alignment horizontal="left"/>
    </xf>
    <xf numFmtId="169" fontId="12" fillId="8" borderId="2" xfId="0" applyNumberFormat="1" applyFont="1" applyFill="1" applyBorder="1" applyAlignment="1">
      <alignment horizontal="right"/>
    </xf>
    <xf numFmtId="169" fontId="12" fillId="8" borderId="3" xfId="0" applyNumberFormat="1" applyFont="1" applyFill="1" applyBorder="1" applyAlignment="1">
      <alignment horizontal="right"/>
    </xf>
    <xf numFmtId="0" fontId="24" fillId="8" borderId="3" xfId="0" applyFont="1" applyFill="1" applyBorder="1" applyAlignment="1">
      <alignment horizontal="right"/>
    </xf>
    <xf numFmtId="0" fontId="8" fillId="8" borderId="22" xfId="0" applyFont="1" applyFill="1" applyBorder="1" applyAlignment="1">
      <alignment horizontal="left"/>
    </xf>
    <xf numFmtId="0" fontId="8" fillId="8" borderId="45" xfId="0" applyFont="1" applyFill="1" applyBorder="1" applyAlignment="1">
      <alignment horizontal="left"/>
    </xf>
    <xf numFmtId="0" fontId="8" fillId="8" borderId="23" xfId="0" applyFont="1" applyFill="1" applyBorder="1" applyAlignment="1">
      <alignment horizontal="left"/>
    </xf>
    <xf numFmtId="169" fontId="12" fillId="8" borderId="62" xfId="0" applyNumberFormat="1" applyFont="1" applyFill="1" applyBorder="1" applyAlignment="1">
      <alignment horizontal="center"/>
    </xf>
    <xf numFmtId="169" fontId="12" fillId="8" borderId="87" xfId="0" applyNumberFormat="1" applyFont="1" applyFill="1" applyBorder="1" applyAlignment="1">
      <alignment horizontal="center"/>
    </xf>
    <xf numFmtId="169" fontId="12" fillId="8" borderId="63" xfId="0" applyNumberFormat="1" applyFont="1" applyFill="1" applyBorder="1" applyAlignment="1">
      <alignment horizontal="center"/>
    </xf>
    <xf numFmtId="169" fontId="7" fillId="8" borderId="89" xfId="0" applyNumberFormat="1" applyFont="1" applyFill="1" applyBorder="1" applyAlignment="1">
      <alignment horizontal="right"/>
    </xf>
    <xf numFmtId="0" fontId="7" fillId="8" borderId="90" xfId="0" applyFont="1" applyFill="1" applyBorder="1" applyAlignment="1">
      <alignment horizontal="right"/>
    </xf>
    <xf numFmtId="0" fontId="5" fillId="8" borderId="35" xfId="0" applyFont="1" applyFill="1" applyBorder="1" applyAlignment="1">
      <alignment horizontal="right"/>
    </xf>
    <xf numFmtId="0" fontId="5" fillId="8" borderId="0" xfId="0" applyFont="1" applyFill="1" applyAlignment="1">
      <alignment horizontal="right"/>
    </xf>
    <xf numFmtId="170" fontId="6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5" fillId="8" borderId="2" xfId="0" applyFont="1" applyFill="1" applyBorder="1" applyAlignment="1">
      <alignment horizontal="left"/>
    </xf>
    <xf numFmtId="0" fontId="4" fillId="8" borderId="3" xfId="0" applyFont="1" applyFill="1" applyBorder="1" applyAlignment="1">
      <alignment horizontal="left"/>
    </xf>
    <xf numFmtId="0" fontId="4" fillId="8" borderId="4" xfId="0" applyFont="1" applyFill="1" applyBorder="1" applyAlignment="1">
      <alignment horizontal="left"/>
    </xf>
    <xf numFmtId="0" fontId="5" fillId="8" borderId="22" xfId="0" applyFont="1" applyFill="1" applyBorder="1" applyAlignment="1">
      <alignment horizontal="left"/>
    </xf>
    <xf numFmtId="0" fontId="4" fillId="8" borderId="45" xfId="0" applyFont="1" applyFill="1" applyBorder="1" applyAlignment="1">
      <alignment horizontal="left"/>
    </xf>
    <xf numFmtId="0" fontId="4" fillId="8" borderId="23" xfId="0" applyFont="1" applyFill="1" applyBorder="1" applyAlignment="1">
      <alignment horizontal="left"/>
    </xf>
    <xf numFmtId="169" fontId="12" fillId="8" borderId="45" xfId="0" applyNumberFormat="1" applyFont="1" applyFill="1" applyBorder="1" applyAlignment="1">
      <alignment horizontal="right" vertical="center"/>
    </xf>
    <xf numFmtId="0" fontId="27" fillId="8" borderId="45" xfId="0" applyFont="1" applyFill="1" applyBorder="1" applyAlignment="1">
      <alignment horizontal="right" vertical="center"/>
    </xf>
    <xf numFmtId="169" fontId="12" fillId="8" borderId="45" xfId="0" applyNumberFormat="1" applyFont="1" applyFill="1" applyBorder="1" applyAlignment="1">
      <alignment horizontal="right"/>
    </xf>
    <xf numFmtId="0" fontId="24" fillId="8" borderId="45" xfId="0" applyFont="1" applyFill="1" applyBorder="1" applyAlignment="1">
      <alignment horizontal="right"/>
    </xf>
    <xf numFmtId="0" fontId="24" fillId="8" borderId="0" xfId="0" applyFont="1" applyFill="1" applyAlignment="1">
      <alignment horizontal="center"/>
    </xf>
    <xf numFmtId="0" fontId="5" fillId="8" borderId="20" xfId="0" applyFont="1" applyFill="1" applyBorder="1" applyAlignment="1">
      <alignment horizontal="left"/>
    </xf>
    <xf numFmtId="0" fontId="4" fillId="8" borderId="25" xfId="0" applyFont="1" applyFill="1" applyBorder="1" applyAlignment="1">
      <alignment horizontal="left"/>
    </xf>
    <xf numFmtId="0" fontId="4" fillId="8" borderId="21" xfId="0" applyFont="1" applyFill="1" applyBorder="1" applyAlignment="1">
      <alignment horizontal="left"/>
    </xf>
    <xf numFmtId="169" fontId="12" fillId="8" borderId="25" xfId="0" applyNumberFormat="1" applyFont="1" applyFill="1" applyBorder="1" applyAlignment="1">
      <alignment horizontal="right" vertical="center"/>
    </xf>
    <xf numFmtId="169" fontId="12" fillId="8" borderId="25" xfId="0" applyNumberFormat="1" applyFont="1" applyFill="1" applyBorder="1" applyAlignment="1">
      <alignment horizontal="right"/>
    </xf>
    <xf numFmtId="0" fontId="27" fillId="8" borderId="25" xfId="0" applyFont="1" applyFill="1" applyBorder="1" applyAlignment="1">
      <alignment horizontal="right"/>
    </xf>
    <xf numFmtId="0" fontId="5" fillId="8" borderId="35" xfId="0" applyFont="1" applyFill="1" applyBorder="1" applyAlignment="1">
      <alignment horizontal="left"/>
    </xf>
    <xf numFmtId="0" fontId="4" fillId="8" borderId="0" xfId="0" applyFont="1" applyFill="1" applyAlignment="1">
      <alignment horizontal="left"/>
    </xf>
    <xf numFmtId="0" fontId="4" fillId="8" borderId="36" xfId="0" applyFont="1" applyFill="1" applyBorder="1" applyAlignment="1">
      <alignment horizontal="left"/>
    </xf>
    <xf numFmtId="169" fontId="12" fillId="8" borderId="0" xfId="0" applyNumberFormat="1" applyFont="1" applyFill="1" applyAlignment="1">
      <alignment horizontal="right" vertical="center"/>
    </xf>
    <xf numFmtId="0" fontId="27" fillId="8" borderId="0" xfId="0" applyFont="1" applyFill="1" applyAlignment="1">
      <alignment horizontal="right" vertical="center"/>
    </xf>
    <xf numFmtId="169" fontId="12" fillId="8" borderId="0" xfId="0" applyNumberFormat="1" applyFont="1" applyFill="1" applyAlignment="1">
      <alignment horizontal="right"/>
    </xf>
    <xf numFmtId="0" fontId="24" fillId="8" borderId="0" xfId="0" applyFont="1" applyFill="1" applyAlignment="1">
      <alignment horizontal="right"/>
    </xf>
    <xf numFmtId="0" fontId="5" fillId="8" borderId="22" xfId="0" applyFont="1" applyFill="1" applyBorder="1" applyAlignment="1">
      <alignment horizontal="right"/>
    </xf>
    <xf numFmtId="0" fontId="0" fillId="0" borderId="45" xfId="0" applyBorder="1" applyAlignment="1">
      <alignment horizontal="right"/>
    </xf>
    <xf numFmtId="0" fontId="0" fillId="0" borderId="23" xfId="0" applyBorder="1" applyAlignment="1">
      <alignment horizontal="right"/>
    </xf>
    <xf numFmtId="4" fontId="12" fillId="8" borderId="22" xfId="0" applyNumberFormat="1" applyFont="1" applyFill="1" applyBorder="1" applyAlignment="1">
      <alignment horizontal="right"/>
    </xf>
    <xf numFmtId="0" fontId="0" fillId="8" borderId="45" xfId="0" applyFill="1" applyBorder="1" applyAlignment="1">
      <alignment horizontal="right"/>
    </xf>
    <xf numFmtId="4" fontId="12" fillId="8" borderId="45" xfId="0" applyNumberFormat="1" applyFont="1" applyFill="1" applyBorder="1" applyAlignment="1">
      <alignment horizontal="right"/>
    </xf>
    <xf numFmtId="4" fontId="4" fillId="8" borderId="25" xfId="0" applyNumberFormat="1" applyFont="1" applyFill="1" applyBorder="1" applyAlignment="1">
      <alignment horizontal="right"/>
    </xf>
    <xf numFmtId="0" fontId="6" fillId="8" borderId="2" xfId="0" applyFont="1" applyFill="1" applyBorder="1" applyAlignment="1">
      <alignment horizontal="left"/>
    </xf>
    <xf numFmtId="0" fontId="6" fillId="8" borderId="3" xfId="0" applyFont="1" applyFill="1" applyBorder="1" applyAlignment="1">
      <alignment horizontal="left"/>
    </xf>
    <xf numFmtId="0" fontId="6" fillId="8" borderId="4" xfId="0" applyFont="1" applyFill="1" applyBorder="1" applyAlignment="1">
      <alignment horizontal="left"/>
    </xf>
    <xf numFmtId="169" fontId="12" fillId="8" borderId="3" xfId="0" applyNumberFormat="1" applyFont="1" applyFill="1" applyBorder="1" applyAlignment="1">
      <alignment horizontal="right" vertical="center"/>
    </xf>
    <xf numFmtId="0" fontId="27" fillId="8" borderId="3" xfId="0" applyFont="1" applyFill="1" applyBorder="1" applyAlignment="1">
      <alignment horizontal="right"/>
    </xf>
    <xf numFmtId="0" fontId="5" fillId="8" borderId="20" xfId="0" applyFont="1" applyFill="1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1" xfId="0" applyBorder="1" applyAlignment="1">
      <alignment horizontal="right"/>
    </xf>
    <xf numFmtId="4" fontId="12" fillId="8" borderId="20" xfId="0" applyNumberFormat="1" applyFont="1" applyFill="1" applyBorder="1" applyAlignment="1">
      <alignment horizontal="right"/>
    </xf>
    <xf numFmtId="4" fontId="12" fillId="8" borderId="25" xfId="0" applyNumberFormat="1" applyFont="1" applyFill="1" applyBorder="1" applyAlignment="1">
      <alignment horizontal="right"/>
    </xf>
    <xf numFmtId="0" fontId="0" fillId="0" borderId="36" xfId="0" applyBorder="1" applyAlignment="1">
      <alignment horizontal="right"/>
    </xf>
    <xf numFmtId="4" fontId="12" fillId="8" borderId="35" xfId="0" applyNumberFormat="1" applyFont="1" applyFill="1" applyBorder="1" applyAlignment="1">
      <alignment horizontal="right"/>
    </xf>
    <xf numFmtId="0" fontId="0" fillId="8" borderId="0" xfId="0" applyFill="1" applyAlignment="1">
      <alignment horizontal="right"/>
    </xf>
    <xf numFmtId="4" fontId="12" fillId="8" borderId="0" xfId="0" applyNumberFormat="1" applyFont="1" applyFill="1" applyAlignment="1">
      <alignment horizontal="right"/>
    </xf>
    <xf numFmtId="0" fontId="3" fillId="8" borderId="35" xfId="0" applyFont="1" applyFill="1" applyBorder="1" applyAlignment="1">
      <alignment horizontal="right"/>
    </xf>
    <xf numFmtId="0" fontId="27" fillId="8" borderId="0" xfId="0" applyFont="1" applyFill="1" applyAlignment="1">
      <alignment horizontal="right"/>
    </xf>
    <xf numFmtId="0" fontId="3" fillId="8" borderId="22" xfId="0" applyFont="1" applyFill="1" applyBorder="1" applyAlignment="1">
      <alignment horizontal="right"/>
    </xf>
    <xf numFmtId="0" fontId="27" fillId="8" borderId="45" xfId="0" applyFont="1" applyFill="1" applyBorder="1" applyAlignment="1">
      <alignment horizontal="right"/>
    </xf>
    <xf numFmtId="0" fontId="4" fillId="8" borderId="20" xfId="0" applyFont="1" applyFill="1" applyBorder="1" applyAlignment="1">
      <alignment horizontal="center" vertical="center" wrapText="1"/>
    </xf>
    <xf numFmtId="0" fontId="0" fillId="8" borderId="35" xfId="0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right"/>
    </xf>
    <xf numFmtId="0" fontId="0" fillId="8" borderId="25" xfId="0" applyFill="1" applyBorder="1" applyAlignment="1">
      <alignment horizontal="right"/>
    </xf>
    <xf numFmtId="0" fontId="4" fillId="8" borderId="35" xfId="0" applyFont="1" applyFill="1" applyBorder="1" applyAlignment="1">
      <alignment horizontal="right"/>
    </xf>
    <xf numFmtId="0" fontId="3" fillId="8" borderId="35" xfId="0" applyFont="1" applyFill="1" applyBorder="1" applyAlignment="1">
      <alignment horizontal="center" vertical="center" wrapText="1"/>
    </xf>
    <xf numFmtId="0" fontId="3" fillId="8" borderId="22" xfId="0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right"/>
    </xf>
    <xf numFmtId="0" fontId="3" fillId="8" borderId="36" xfId="0" applyFont="1" applyFill="1" applyBorder="1" applyAlignment="1">
      <alignment horizontal="right"/>
    </xf>
    <xf numFmtId="0" fontId="5" fillId="8" borderId="0" xfId="0" applyFont="1" applyFill="1" applyAlignment="1">
      <alignment horizontal="left"/>
    </xf>
    <xf numFmtId="0" fontId="5" fillId="0" borderId="0" xfId="0" applyFont="1" applyAlignment="1" applyProtection="1">
      <alignment horizontal="left"/>
    </xf>
    <xf numFmtId="169" fontId="6" fillId="0" borderId="24" xfId="0" applyNumberFormat="1" applyFont="1" applyBorder="1" applyAlignment="1" applyProtection="1">
      <alignment horizontal="right" shrinkToFit="1"/>
    </xf>
    <xf numFmtId="169" fontId="4" fillId="0" borderId="24" xfId="0" applyNumberFormat="1" applyFont="1" applyBorder="1" applyAlignment="1" applyProtection="1">
      <alignment horizontal="right" shrinkToFit="1"/>
    </xf>
    <xf numFmtId="0" fontId="5" fillId="8" borderId="3" xfId="0" applyFont="1" applyFill="1" applyBorder="1" applyAlignment="1">
      <alignment horizontal="left"/>
    </xf>
    <xf numFmtId="0" fontId="0" fillId="8" borderId="35" xfId="0" applyFill="1" applyBorder="1" applyAlignment="1">
      <alignment horizontal="left"/>
    </xf>
    <xf numFmtId="0" fontId="0" fillId="8" borderId="0" xfId="0" applyFill="1" applyAlignment="1">
      <alignment horizontal="left"/>
    </xf>
    <xf numFmtId="169" fontId="5" fillId="8" borderId="55" xfId="0" applyNumberFormat="1" applyFont="1" applyFill="1" applyBorder="1" applyAlignment="1">
      <alignment horizontal="right"/>
    </xf>
    <xf numFmtId="169" fontId="6" fillId="0" borderId="53" xfId="0" applyNumberFormat="1" applyFont="1" applyBorder="1" applyAlignment="1" applyProtection="1">
      <alignment horizontal="right" shrinkToFit="1"/>
    </xf>
    <xf numFmtId="169" fontId="4" fillId="0" borderId="53" xfId="0" applyNumberFormat="1" applyFont="1" applyBorder="1" applyAlignment="1" applyProtection="1">
      <alignment horizontal="right" shrinkToFit="1"/>
    </xf>
    <xf numFmtId="169" fontId="5" fillId="0" borderId="24" xfId="0" applyNumberFormat="1" applyFont="1" applyBorder="1" applyAlignment="1" applyProtection="1">
      <alignment horizontal="right" shrinkToFit="1"/>
    </xf>
    <xf numFmtId="169" fontId="0" fillId="0" borderId="24" xfId="0" applyNumberFormat="1" applyBorder="1" applyAlignment="1" applyProtection="1">
      <alignment horizontal="right" shrinkToFit="1"/>
    </xf>
    <xf numFmtId="169" fontId="5" fillId="0" borderId="27" xfId="0" applyNumberFormat="1" applyFont="1" applyBorder="1" applyAlignment="1" applyProtection="1">
      <alignment horizontal="right" shrinkToFit="1"/>
    </xf>
    <xf numFmtId="169" fontId="0" fillId="0" borderId="28" xfId="0" applyNumberFormat="1" applyBorder="1" applyAlignment="1" applyProtection="1">
      <alignment horizontal="right" shrinkToFit="1"/>
    </xf>
    <xf numFmtId="170" fontId="5" fillId="8" borderId="26" xfId="0" applyNumberFormat="1" applyFont="1" applyFill="1" applyBorder="1" applyAlignment="1">
      <alignment horizontal="center"/>
    </xf>
    <xf numFmtId="169" fontId="5" fillId="8" borderId="27" xfId="0" applyNumberFormat="1" applyFont="1" applyFill="1" applyBorder="1" applyAlignment="1">
      <alignment horizontal="right"/>
    </xf>
    <xf numFmtId="0" fontId="0" fillId="8" borderId="48" xfId="0" applyFill="1" applyBorder="1" applyAlignment="1">
      <alignment horizontal="right"/>
    </xf>
    <xf numFmtId="169" fontId="5" fillId="8" borderId="49" xfId="0" applyNumberFormat="1" applyFont="1" applyFill="1" applyBorder="1" applyAlignment="1">
      <alignment horizontal="right" shrinkToFit="1"/>
    </xf>
    <xf numFmtId="169" fontId="0" fillId="8" borderId="50" xfId="0" applyNumberFormat="1" applyFill="1" applyBorder="1" applyAlignment="1">
      <alignment horizontal="right" shrinkToFit="1"/>
    </xf>
    <xf numFmtId="169" fontId="5" fillId="8" borderId="49" xfId="0" applyNumberFormat="1" applyFont="1" applyFill="1" applyBorder="1" applyAlignment="1">
      <alignment horizontal="right"/>
    </xf>
    <xf numFmtId="0" fontId="0" fillId="8" borderId="50" xfId="0" applyFill="1" applyBorder="1" applyAlignment="1">
      <alignment horizontal="right"/>
    </xf>
    <xf numFmtId="169" fontId="5" fillId="0" borderId="53" xfId="0" applyNumberFormat="1" applyFont="1" applyBorder="1" applyAlignment="1" applyProtection="1">
      <alignment horizontal="right" shrinkToFit="1"/>
    </xf>
    <xf numFmtId="169" fontId="0" fillId="0" borderId="53" xfId="0" applyNumberFormat="1" applyBorder="1" applyAlignment="1" applyProtection="1">
      <alignment horizontal="right" shrinkToFit="1"/>
    </xf>
    <xf numFmtId="0" fontId="4" fillId="0" borderId="26" xfId="0" applyFont="1" applyBorder="1" applyAlignment="1" applyProtection="1">
      <alignment horizontal="left"/>
    </xf>
    <xf numFmtId="2" fontId="5" fillId="0" borderId="26" xfId="0" applyNumberFormat="1" applyFont="1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169" fontId="5" fillId="0" borderId="26" xfId="0" applyNumberFormat="1" applyFont="1" applyBorder="1" applyAlignment="1" applyProtection="1">
      <alignment horizontal="right" shrinkToFit="1"/>
    </xf>
    <xf numFmtId="169" fontId="0" fillId="0" borderId="26" xfId="0" applyNumberFormat="1" applyBorder="1" applyAlignment="1" applyProtection="1">
      <alignment horizontal="right" shrinkToFit="1"/>
    </xf>
    <xf numFmtId="170" fontId="5" fillId="8" borderId="16" xfId="0" applyNumberFormat="1" applyFont="1" applyFill="1" applyBorder="1" applyAlignment="1">
      <alignment horizontal="center"/>
    </xf>
    <xf numFmtId="169" fontId="5" fillId="8" borderId="26" xfId="0" applyNumberFormat="1" applyFont="1" applyFill="1" applyBorder="1" applyAlignment="1">
      <alignment horizontal="right" shrinkToFit="1"/>
    </xf>
    <xf numFmtId="169" fontId="0" fillId="8" borderId="46" xfId="0" applyNumberFormat="1" applyFill="1" applyBorder="1" applyAlignment="1">
      <alignment horizontal="right" shrinkToFit="1"/>
    </xf>
    <xf numFmtId="2" fontId="5" fillId="0" borderId="47" xfId="0" applyNumberFormat="1" applyFont="1" applyBorder="1" applyAlignment="1" applyProtection="1">
      <alignment horizontal="center"/>
    </xf>
    <xf numFmtId="0" fontId="0" fillId="0" borderId="28" xfId="0" applyBorder="1" applyAlignment="1" applyProtection="1">
      <alignment horizontal="center"/>
    </xf>
    <xf numFmtId="0" fontId="4" fillId="0" borderId="16" xfId="0" applyFont="1" applyBorder="1" applyAlignment="1" applyProtection="1">
      <alignment horizontal="left"/>
    </xf>
    <xf numFmtId="2" fontId="5" fillId="0" borderId="16" xfId="0" applyNumberFormat="1" applyFont="1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169" fontId="5" fillId="0" borderId="16" xfId="0" applyNumberFormat="1" applyFont="1" applyBorder="1" applyAlignment="1" applyProtection="1">
      <alignment horizontal="right" shrinkToFit="1"/>
    </xf>
    <xf numFmtId="169" fontId="0" fillId="0" borderId="16" xfId="0" applyNumberFormat="1" applyBorder="1" applyAlignment="1" applyProtection="1">
      <alignment horizontal="right" shrinkToFit="1"/>
    </xf>
    <xf numFmtId="169" fontId="5" fillId="8" borderId="16" xfId="0" applyNumberFormat="1" applyFont="1" applyFill="1" applyBorder="1" applyAlignment="1">
      <alignment horizontal="right" shrinkToFit="1"/>
    </xf>
    <xf numFmtId="169" fontId="0" fillId="8" borderId="17" xfId="0" applyNumberFormat="1" applyFill="1" applyBorder="1" applyAlignment="1">
      <alignment horizontal="right" shrinkToFit="1"/>
    </xf>
    <xf numFmtId="2" fontId="5" fillId="0" borderId="24" xfId="0" applyNumberFormat="1" applyFont="1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169" fontId="5" fillId="0" borderId="14" xfId="0" applyNumberFormat="1" applyFont="1" applyBorder="1" applyAlignment="1" applyProtection="1">
      <alignment horizontal="right" shrinkToFit="1"/>
    </xf>
    <xf numFmtId="169" fontId="0" fillId="0" borderId="15" xfId="0" applyNumberFormat="1" applyBorder="1" applyAlignment="1" applyProtection="1">
      <alignment horizontal="right" shrinkToFit="1"/>
    </xf>
    <xf numFmtId="169" fontId="5" fillId="8" borderId="14" xfId="0" applyNumberFormat="1" applyFont="1" applyFill="1" applyBorder="1" applyAlignment="1">
      <alignment horizontal="right"/>
    </xf>
    <xf numFmtId="0" fontId="0" fillId="8" borderId="18" xfId="0" applyFill="1" applyBorder="1" applyAlignment="1">
      <alignment horizontal="right"/>
    </xf>
    <xf numFmtId="0" fontId="5" fillId="8" borderId="1" xfId="0" applyFont="1" applyFill="1" applyBorder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8" borderId="6" xfId="0" applyFont="1" applyFill="1" applyBorder="1" applyAlignment="1">
      <alignment horizontal="left"/>
    </xf>
    <xf numFmtId="0" fontId="5" fillId="8" borderId="4" xfId="0" applyFont="1" applyFill="1" applyBorder="1" applyAlignment="1">
      <alignment horizontal="left"/>
    </xf>
    <xf numFmtId="169" fontId="5" fillId="8" borderId="33" xfId="0" applyNumberFormat="1" applyFont="1" applyFill="1" applyBorder="1" applyAlignment="1">
      <alignment horizontal="right" shrinkToFit="1"/>
    </xf>
    <xf numFmtId="169" fontId="0" fillId="8" borderId="34" xfId="0" applyNumberFormat="1" applyFill="1" applyBorder="1" applyAlignment="1">
      <alignment horizontal="right" shrinkToFit="1"/>
    </xf>
    <xf numFmtId="169" fontId="5" fillId="8" borderId="37" xfId="0" applyNumberFormat="1" applyFont="1" applyFill="1" applyBorder="1" applyAlignment="1">
      <alignment horizontal="right" shrinkToFit="1"/>
    </xf>
    <xf numFmtId="169" fontId="5" fillId="8" borderId="38" xfId="0" applyNumberFormat="1" applyFont="1" applyFill="1" applyBorder="1" applyAlignment="1">
      <alignment horizontal="right" shrinkToFit="1"/>
    </xf>
    <xf numFmtId="169" fontId="5" fillId="8" borderId="41" xfId="0" applyNumberFormat="1" applyFont="1" applyFill="1" applyBorder="1" applyAlignment="1">
      <alignment horizontal="right" shrinkToFit="1"/>
    </xf>
    <xf numFmtId="169" fontId="5" fillId="8" borderId="42" xfId="0" applyNumberFormat="1" applyFont="1" applyFill="1" applyBorder="1" applyAlignment="1">
      <alignment horizontal="right" shrinkToFit="1"/>
    </xf>
    <xf numFmtId="169" fontId="5" fillId="0" borderId="45" xfId="0" applyNumberFormat="1" applyFont="1" applyBorder="1" applyAlignment="1" applyProtection="1">
      <alignment horizontal="center"/>
    </xf>
    <xf numFmtId="170" fontId="5" fillId="0" borderId="14" xfId="0" applyNumberFormat="1" applyFont="1" applyBorder="1" applyAlignment="1" applyProtection="1">
      <alignment horizontal="center"/>
    </xf>
    <xf numFmtId="170" fontId="5" fillId="0" borderId="15" xfId="0" applyNumberFormat="1" applyFont="1" applyBorder="1" applyAlignment="1" applyProtection="1">
      <alignment horizontal="center"/>
    </xf>
    <xf numFmtId="169" fontId="5" fillId="8" borderId="14" xfId="0" applyNumberFormat="1" applyFont="1" applyFill="1" applyBorder="1" applyAlignment="1">
      <alignment horizontal="right" shrinkToFit="1"/>
    </xf>
    <xf numFmtId="169" fontId="0" fillId="8" borderId="18" xfId="0" applyNumberFormat="1" applyFill="1" applyBorder="1" applyAlignment="1">
      <alignment horizontal="right" shrinkToFit="1"/>
    </xf>
    <xf numFmtId="170" fontId="5" fillId="0" borderId="26" xfId="0" applyNumberFormat="1" applyFont="1" applyBorder="1" applyAlignment="1" applyProtection="1">
      <alignment horizontal="center"/>
    </xf>
    <xf numFmtId="169" fontId="5" fillId="8" borderId="29" xfId="0" applyNumberFormat="1" applyFont="1" applyFill="1" applyBorder="1" applyAlignment="1">
      <alignment horizontal="right" shrinkToFit="1"/>
    </xf>
    <xf numFmtId="169" fontId="0" fillId="8" borderId="30" xfId="0" applyNumberFormat="1" applyFill="1" applyBorder="1" applyAlignment="1">
      <alignment horizontal="right" shrinkToFit="1"/>
    </xf>
    <xf numFmtId="2" fontId="5" fillId="0" borderId="31" xfId="0" applyNumberFormat="1" applyFont="1" applyBorder="1" applyAlignment="1" applyProtection="1">
      <alignment horizontal="center"/>
    </xf>
    <xf numFmtId="0" fontId="0" fillId="0" borderId="32" xfId="0" applyBorder="1" applyAlignment="1" applyProtection="1">
      <alignment horizontal="center"/>
    </xf>
    <xf numFmtId="169" fontId="5" fillId="0" borderId="33" xfId="0" applyNumberFormat="1" applyFont="1" applyBorder="1" applyAlignment="1" applyProtection="1">
      <alignment horizontal="right" shrinkToFit="1"/>
    </xf>
    <xf numFmtId="169" fontId="0" fillId="0" borderId="32" xfId="0" applyNumberFormat="1" applyBorder="1" applyAlignment="1" applyProtection="1">
      <alignment horizontal="right" shrinkToFit="1"/>
    </xf>
    <xf numFmtId="170" fontId="5" fillId="0" borderId="33" xfId="0" applyNumberFormat="1" applyFont="1" applyBorder="1" applyAlignment="1" applyProtection="1">
      <alignment horizontal="center"/>
    </xf>
    <xf numFmtId="170" fontId="5" fillId="0" borderId="32" xfId="0" applyNumberFormat="1" applyFont="1" applyBorder="1" applyAlignment="1" applyProtection="1">
      <alignment horizontal="center"/>
    </xf>
    <xf numFmtId="170" fontId="5" fillId="0" borderId="8" xfId="0" applyNumberFormat="1" applyFont="1" applyBorder="1" applyAlignment="1" applyProtection="1">
      <alignment horizontal="center"/>
    </xf>
    <xf numFmtId="0" fontId="0" fillId="0" borderId="15" xfId="0" applyBorder="1" applyAlignment="1" applyProtection="1">
      <alignment horizontal="right" shrinkToFit="1"/>
    </xf>
    <xf numFmtId="170" fontId="5" fillId="0" borderId="16" xfId="0" applyNumberFormat="1" applyFont="1" applyBorder="1" applyAlignment="1" applyProtection="1">
      <alignment horizontal="center"/>
    </xf>
    <xf numFmtId="2" fontId="5" fillId="0" borderId="16" xfId="0" applyNumberFormat="1" applyFont="1" applyBorder="1" applyAlignment="1" applyProtection="1"/>
    <xf numFmtId="0" fontId="0" fillId="0" borderId="16" xfId="0" applyBorder="1" applyAlignment="1" applyProtection="1"/>
    <xf numFmtId="169" fontId="5" fillId="0" borderId="14" xfId="0" applyNumberFormat="1" applyFont="1" applyBorder="1" applyAlignment="1" applyProtection="1">
      <alignment horizontal="center" vertical="center" shrinkToFit="1"/>
    </xf>
    <xf numFmtId="0" fontId="0" fillId="0" borderId="15" xfId="0" applyBorder="1" applyAlignment="1" applyProtection="1">
      <alignment horizontal="center" vertical="center" shrinkToFit="1"/>
    </xf>
    <xf numFmtId="0" fontId="4" fillId="5" borderId="0" xfId="0" applyFont="1" applyFill="1" applyBorder="1" applyAlignment="1">
      <alignment horizontal="left"/>
    </xf>
    <xf numFmtId="2" fontId="13" fillId="5" borderId="0" xfId="0" applyNumberFormat="1" applyFont="1" applyFill="1" applyBorder="1" applyAlignment="1">
      <alignment horizontal="center"/>
    </xf>
    <xf numFmtId="0" fontId="15" fillId="5" borderId="0" xfId="0" applyFont="1" applyFill="1" applyBorder="1" applyAlignment="1">
      <alignment horizontal="center"/>
    </xf>
    <xf numFmtId="4" fontId="13" fillId="5" borderId="0" xfId="0" applyNumberFormat="1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1" fontId="15" fillId="5" borderId="0" xfId="0" applyNumberFormat="1" applyFont="1" applyFill="1" applyBorder="1" applyAlignment="1">
      <alignment horizontal="center"/>
    </xf>
    <xf numFmtId="166" fontId="13" fillId="5" borderId="0" xfId="0" applyNumberFormat="1" applyFont="1" applyFill="1" applyBorder="1" applyAlignment="1">
      <alignment horizontal="center"/>
    </xf>
    <xf numFmtId="0" fontId="4" fillId="0" borderId="8" xfId="0" applyFont="1" applyBorder="1" applyAlignment="1" applyProtection="1">
      <alignment horizontal="left"/>
    </xf>
    <xf numFmtId="168" fontId="15" fillId="5" borderId="0" xfId="0" applyNumberFormat="1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4" fontId="4" fillId="5" borderId="0" xfId="0" applyNumberFormat="1" applyFont="1" applyFill="1" applyBorder="1" applyAlignment="1">
      <alignment horizontal="center"/>
    </xf>
    <xf numFmtId="169" fontId="5" fillId="0" borderId="15" xfId="0" applyNumberFormat="1" applyFont="1" applyBorder="1" applyAlignment="1" applyProtection="1">
      <alignment horizontal="center" vertical="center" shrinkToFit="1"/>
    </xf>
    <xf numFmtId="169" fontId="5" fillId="0" borderId="9" xfId="0" applyNumberFormat="1" applyFont="1" applyBorder="1" applyAlignment="1" applyProtection="1">
      <alignment horizontal="right" shrinkToFit="1"/>
    </xf>
    <xf numFmtId="169" fontId="0" fillId="0" borderId="10" xfId="0" applyNumberFormat="1" applyBorder="1" applyAlignment="1" applyProtection="1">
      <alignment horizontal="right" shrinkToFit="1"/>
    </xf>
    <xf numFmtId="169" fontId="5" fillId="0" borderId="9" xfId="0" applyNumberFormat="1" applyFont="1" applyBorder="1" applyAlignment="1" applyProtection="1">
      <alignment horizontal="center" vertical="center" shrinkToFit="1"/>
    </xf>
    <xf numFmtId="169" fontId="5" fillId="0" borderId="10" xfId="0" applyNumberFormat="1" applyFont="1" applyBorder="1" applyAlignment="1" applyProtection="1">
      <alignment horizontal="center" vertical="center" shrinkToFit="1"/>
    </xf>
    <xf numFmtId="166" fontId="15" fillId="5" borderId="0" xfId="0" applyNumberFormat="1" applyFont="1" applyFill="1" applyBorder="1" applyAlignment="1">
      <alignment horizontal="center"/>
    </xf>
    <xf numFmtId="2" fontId="5" fillId="0" borderId="8" xfId="0" applyNumberFormat="1" applyFont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169" fontId="5" fillId="0" borderId="10" xfId="0" applyNumberFormat="1" applyFont="1" applyBorder="1" applyAlignment="1" applyProtection="1">
      <alignment horizontal="right" shrinkToFit="1"/>
    </xf>
    <xf numFmtId="169" fontId="5" fillId="8" borderId="8" xfId="0" applyNumberFormat="1" applyFont="1" applyFill="1" applyBorder="1" applyAlignment="1">
      <alignment horizontal="right" shrinkToFit="1"/>
    </xf>
    <xf numFmtId="169" fontId="5" fillId="8" borderId="11" xfId="0" applyNumberFormat="1" applyFont="1" applyFill="1" applyBorder="1" applyAlignment="1">
      <alignment horizontal="right" shrinkToFit="1"/>
    </xf>
    <xf numFmtId="169" fontId="5" fillId="8" borderId="12" xfId="0" applyNumberFormat="1" applyFont="1" applyFill="1" applyBorder="1" applyAlignment="1">
      <alignment horizontal="right" shrinkToFit="1"/>
    </xf>
    <xf numFmtId="169" fontId="5" fillId="8" borderId="13" xfId="0" applyNumberFormat="1" applyFont="1" applyFill="1" applyBorder="1" applyAlignment="1">
      <alignment horizontal="right" shrinkToFit="1"/>
    </xf>
    <xf numFmtId="0" fontId="5" fillId="0" borderId="5" xfId="0" applyFont="1" applyBorder="1" applyAlignment="1">
      <alignment horizontal="center"/>
    </xf>
    <xf numFmtId="166" fontId="5" fillId="8" borderId="1" xfId="0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4" fontId="12" fillId="8" borderId="65" xfId="0" applyNumberFormat="1" applyFont="1" applyFill="1" applyBorder="1" applyAlignment="1">
      <alignment horizontal="right"/>
    </xf>
    <xf numFmtId="0" fontId="5" fillId="0" borderId="1" xfId="0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169" fontId="6" fillId="0" borderId="0" xfId="0" applyNumberFormat="1" applyFont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0" fontId="0" fillId="8" borderId="0" xfId="0" applyFill="1" applyAlignment="1">
      <alignment horizontal="right" vertical="center"/>
    </xf>
    <xf numFmtId="0" fontId="15" fillId="8" borderId="2" xfId="0" applyFont="1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166" fontId="7" fillId="8" borderId="1" xfId="0" applyNumberFormat="1" applyFont="1" applyFill="1" applyBorder="1" applyAlignment="1">
      <alignment horizontal="center"/>
    </xf>
    <xf numFmtId="2" fontId="7" fillId="8" borderId="1" xfId="0" applyNumberFormat="1" applyFont="1" applyFill="1" applyBorder="1" applyAlignment="1">
      <alignment horizontal="center"/>
    </xf>
    <xf numFmtId="4" fontId="6" fillId="0" borderId="0" xfId="0" applyNumberFormat="1" applyFont="1" applyAlignment="1" applyProtection="1">
      <alignment horizontal="right" vertical="center"/>
    </xf>
    <xf numFmtId="4" fontId="0" fillId="0" borderId="0" xfId="0" applyNumberFormat="1" applyAlignment="1" applyProtection="1">
      <alignment horizontal="right" vertical="center"/>
    </xf>
    <xf numFmtId="169" fontId="4" fillId="8" borderId="0" xfId="0" applyNumberFormat="1" applyFont="1" applyFill="1" applyAlignment="1">
      <alignment horizontal="center" vertical="center"/>
    </xf>
    <xf numFmtId="169" fontId="5" fillId="0" borderId="1" xfId="0" applyNumberFormat="1" applyFont="1" applyBorder="1" applyAlignment="1">
      <alignment horizontal="center"/>
    </xf>
    <xf numFmtId="2" fontId="24" fillId="8" borderId="0" xfId="0" applyNumberFormat="1" applyFont="1" applyFill="1" applyAlignment="1">
      <alignment horizontal="center"/>
    </xf>
    <xf numFmtId="4" fontId="12" fillId="8" borderId="0" xfId="0" applyNumberFormat="1" applyFont="1" applyFill="1" applyAlignment="1">
      <alignment horizontal="right" vertical="center"/>
    </xf>
    <xf numFmtId="4" fontId="0" fillId="8" borderId="0" xfId="0" applyNumberFormat="1" applyFill="1" applyAlignment="1">
      <alignment horizontal="right" vertical="center"/>
    </xf>
    <xf numFmtId="169" fontId="24" fillId="8" borderId="0" xfId="0" applyNumberFormat="1" applyFont="1" applyFill="1" applyAlignment="1">
      <alignment horizontal="center" vertical="center"/>
    </xf>
    <xf numFmtId="0" fontId="21" fillId="0" borderId="0" xfId="0" applyFont="1" applyAlignment="1" applyProtection="1">
      <alignment horizontal="right" vertical="center"/>
    </xf>
    <xf numFmtId="4" fontId="24" fillId="8" borderId="0" xfId="0" applyNumberFormat="1" applyFont="1" applyFill="1" applyAlignment="1">
      <alignment horizontal="center"/>
    </xf>
    <xf numFmtId="4" fontId="24" fillId="8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 applyProtection="1">
      <alignment horizontal="center"/>
    </xf>
    <xf numFmtId="0" fontId="25" fillId="0" borderId="0" xfId="0" applyFont="1" applyAlignment="1" applyProtection="1">
      <alignment horizontal="right" vertical="center"/>
    </xf>
    <xf numFmtId="4" fontId="4" fillId="0" borderId="0" xfId="0" applyNumberFormat="1" applyFont="1" applyAlignment="1" applyProtection="1">
      <alignment horizontal="center" vertical="center"/>
    </xf>
    <xf numFmtId="169" fontId="6" fillId="0" borderId="0" xfId="0" applyNumberFormat="1" applyFont="1" applyAlignment="1" applyProtection="1">
      <alignment horizontal="right"/>
    </xf>
    <xf numFmtId="0" fontId="8" fillId="8" borderId="35" xfId="0" applyFont="1" applyFill="1" applyBorder="1" applyAlignment="1">
      <alignment horizontal="right"/>
    </xf>
    <xf numFmtId="0" fontId="8" fillId="8" borderId="0" xfId="0" applyFont="1" applyFill="1" applyAlignment="1">
      <alignment horizontal="right"/>
    </xf>
    <xf numFmtId="0" fontId="8" fillId="8" borderId="40" xfId="0" applyFont="1" applyFill="1" applyBorder="1" applyAlignment="1">
      <alignment horizontal="right"/>
    </xf>
    <xf numFmtId="4" fontId="12" fillId="8" borderId="60" xfId="0" applyNumberFormat="1" applyFont="1" applyFill="1" applyBorder="1" applyAlignment="1">
      <alignment horizontal="right"/>
    </xf>
    <xf numFmtId="4" fontId="12" fillId="8" borderId="61" xfId="0" applyNumberFormat="1" applyFont="1" applyFill="1" applyBorder="1" applyAlignment="1">
      <alignment horizontal="right"/>
    </xf>
    <xf numFmtId="4" fontId="12" fillId="8" borderId="62" xfId="0" applyNumberFormat="1" applyFont="1" applyFill="1" applyBorder="1" applyAlignment="1">
      <alignment horizontal="right"/>
    </xf>
    <xf numFmtId="4" fontId="12" fillId="8" borderId="63" xfId="0" applyNumberFormat="1" applyFont="1" applyFill="1" applyBorder="1" applyAlignment="1">
      <alignment horizontal="right"/>
    </xf>
    <xf numFmtId="169" fontId="6" fillId="0" borderId="65" xfId="0" applyNumberFormat="1" applyFont="1" applyBorder="1" applyAlignment="1" applyProtection="1">
      <alignment horizontal="left" vertical="center"/>
    </xf>
    <xf numFmtId="4" fontId="6" fillId="0" borderId="21" xfId="0" applyNumberFormat="1" applyFont="1" applyBorder="1" applyAlignment="1" applyProtection="1">
      <alignment horizontal="right"/>
    </xf>
    <xf numFmtId="4" fontId="6" fillId="0" borderId="20" xfId="0" applyNumberFormat="1" applyFont="1" applyBorder="1" applyAlignment="1" applyProtection="1">
      <alignment horizontal="right"/>
    </xf>
    <xf numFmtId="0" fontId="3" fillId="8" borderId="45" xfId="0" applyFont="1" applyFill="1" applyBorder="1" applyAlignment="1">
      <alignment horizontal="right"/>
    </xf>
    <xf numFmtId="4" fontId="6" fillId="0" borderId="23" xfId="0" applyNumberFormat="1" applyFont="1" applyBorder="1" applyAlignment="1" applyProtection="1">
      <alignment horizontal="right"/>
    </xf>
    <xf numFmtId="4" fontId="6" fillId="0" borderId="22" xfId="0" applyNumberFormat="1" applyFont="1" applyBorder="1" applyAlignment="1" applyProtection="1">
      <alignment horizontal="right"/>
    </xf>
    <xf numFmtId="0" fontId="3" fillId="8" borderId="25" xfId="0" applyFont="1" applyFill="1" applyBorder="1" applyAlignment="1">
      <alignment horizontal="right"/>
    </xf>
    <xf numFmtId="2" fontId="6" fillId="0" borderId="0" xfId="0" applyNumberFormat="1" applyFont="1" applyAlignment="1" applyProtection="1">
      <alignment horizontal="right" vertical="center"/>
    </xf>
    <xf numFmtId="0" fontId="9" fillId="8" borderId="35" xfId="0" applyFont="1" applyFill="1" applyBorder="1" applyAlignment="1">
      <alignment horizontal="left" wrapText="1"/>
    </xf>
    <xf numFmtId="0" fontId="9" fillId="8" borderId="0" xfId="0" applyFont="1" applyFill="1" applyAlignment="1">
      <alignment horizontal="left" wrapText="1"/>
    </xf>
    <xf numFmtId="2" fontId="6" fillId="0" borderId="0" xfId="0" applyNumberFormat="1" applyFont="1" applyAlignment="1" applyProtection="1">
      <alignment horizontal="right"/>
    </xf>
    <xf numFmtId="0" fontId="4" fillId="8" borderId="0" xfId="0" applyFont="1" applyFill="1" applyAlignment="1">
      <alignment horizontal="right"/>
    </xf>
    <xf numFmtId="166" fontId="21" fillId="0" borderId="0" xfId="0" applyNumberFormat="1" applyFont="1" applyAlignment="1" applyProtection="1">
      <alignment horizontal="center" vertical="center"/>
    </xf>
    <xf numFmtId="169" fontId="21" fillId="0" borderId="0" xfId="0" applyNumberFormat="1" applyFont="1" applyAlignment="1" applyProtection="1">
      <alignment horizontal="center" vertical="center"/>
    </xf>
    <xf numFmtId="0" fontId="4" fillId="8" borderId="6" xfId="0" applyFont="1" applyFill="1" applyBorder="1" applyAlignment="1">
      <alignment horizontal="center"/>
    </xf>
    <xf numFmtId="0" fontId="4" fillId="8" borderId="56" xfId="0" applyFont="1" applyFill="1" applyBorder="1" applyAlignment="1">
      <alignment horizontal="center"/>
    </xf>
    <xf numFmtId="0" fontId="4" fillId="8" borderId="57" xfId="0" applyFont="1" applyFill="1" applyBorder="1" applyAlignment="1">
      <alignment horizontal="center"/>
    </xf>
    <xf numFmtId="172" fontId="21" fillId="0" borderId="0" xfId="0" applyNumberFormat="1" applyFont="1" applyAlignment="1" applyProtection="1">
      <alignment horizontal="center"/>
    </xf>
    <xf numFmtId="166" fontId="21" fillId="0" borderId="0" xfId="0" applyNumberFormat="1" applyFont="1" applyAlignment="1" applyProtection="1">
      <alignment horizontal="right"/>
    </xf>
    <xf numFmtId="0" fontId="4" fillId="0" borderId="0" xfId="0" applyFont="1" applyAlignment="1" applyProtection="1">
      <alignment horizontal="right"/>
    </xf>
    <xf numFmtId="0" fontId="21" fillId="0" borderId="0" xfId="0" applyFont="1" applyAlignment="1" applyProtection="1">
      <alignment horizontal="center" vertical="center" shrinkToFit="1"/>
    </xf>
    <xf numFmtId="49" fontId="21" fillId="0" borderId="0" xfId="0" applyNumberFormat="1" applyFont="1" applyAlignment="1" applyProtection="1">
      <alignment horizontal="center"/>
    </xf>
    <xf numFmtId="169" fontId="21" fillId="0" borderId="0" xfId="0" applyNumberFormat="1" applyFont="1" applyAlignment="1" applyProtection="1">
      <alignment horizontal="center" shrinkToFit="1"/>
    </xf>
    <xf numFmtId="0" fontId="3" fillId="0" borderId="116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115" xfId="0" applyFont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169" fontId="3" fillId="0" borderId="24" xfId="0" applyNumberFormat="1" applyFont="1" applyBorder="1" applyAlignment="1" applyProtection="1">
      <alignment horizontal="right"/>
      <protection hidden="1"/>
    </xf>
    <xf numFmtId="0" fontId="3" fillId="0" borderId="24" xfId="0" applyFont="1" applyBorder="1" applyAlignment="1" applyProtection="1">
      <alignment horizontal="right"/>
      <protection hidden="1"/>
    </xf>
    <xf numFmtId="169" fontId="3" fillId="0" borderId="53" xfId="0" applyNumberFormat="1" applyFont="1" applyBorder="1" applyAlignment="1" applyProtection="1">
      <alignment horizontal="right"/>
      <protection hidden="1"/>
    </xf>
    <xf numFmtId="0" fontId="3" fillId="0" borderId="53" xfId="0" applyFont="1" applyBorder="1" applyAlignment="1" applyProtection="1">
      <alignment horizontal="right"/>
      <protection hidden="1"/>
    </xf>
    <xf numFmtId="166" fontId="3" fillId="0" borderId="24" xfId="0" applyNumberFormat="1" applyFont="1" applyBorder="1" applyAlignment="1" applyProtection="1">
      <alignment horizontal="right"/>
      <protection hidden="1"/>
    </xf>
    <xf numFmtId="4" fontId="3" fillId="0" borderId="24" xfId="0" applyNumberFormat="1" applyFont="1" applyBorder="1" applyAlignment="1" applyProtection="1">
      <alignment horizontal="right"/>
      <protection hidden="1"/>
    </xf>
    <xf numFmtId="4" fontId="3" fillId="0" borderId="47" xfId="0" applyNumberFormat="1" applyFont="1" applyBorder="1" applyAlignment="1" applyProtection="1">
      <alignment horizontal="right"/>
      <protection hidden="1"/>
    </xf>
    <xf numFmtId="169" fontId="3" fillId="0" borderId="24" xfId="0" applyNumberFormat="1" applyFont="1" applyBorder="1" applyAlignment="1" applyProtection="1">
      <alignment horizontal="center"/>
      <protection hidden="1"/>
    </xf>
    <xf numFmtId="170" fontId="3" fillId="0" borderId="24" xfId="0" applyNumberFormat="1" applyFont="1" applyBorder="1" applyAlignment="1" applyProtection="1">
      <alignment horizontal="right"/>
      <protection hidden="1"/>
    </xf>
    <xf numFmtId="4" fontId="3" fillId="0" borderId="105" xfId="0" applyNumberFormat="1" applyFont="1" applyBorder="1" applyAlignment="1" applyProtection="1">
      <alignment horizontal="right"/>
      <protection hidden="1"/>
    </xf>
    <xf numFmtId="0" fontId="4" fillId="0" borderId="35" xfId="0" applyFont="1" applyBorder="1" applyAlignment="1" applyProtection="1">
      <alignment horizontal="left" vertical="top" wrapText="1"/>
      <protection hidden="1"/>
    </xf>
    <xf numFmtId="0" fontId="4" fillId="0" borderId="0" xfId="0" applyFont="1" applyAlignment="1" applyProtection="1">
      <alignment horizontal="left" vertical="top" wrapText="1"/>
      <protection hidden="1"/>
    </xf>
    <xf numFmtId="0" fontId="4" fillId="0" borderId="36" xfId="0" applyFont="1" applyBorder="1" applyAlignment="1" applyProtection="1">
      <alignment horizontal="left" vertical="top" wrapText="1"/>
      <protection hidden="1"/>
    </xf>
    <xf numFmtId="0" fontId="4" fillId="0" borderId="22" xfId="0" applyFont="1" applyBorder="1" applyAlignment="1" applyProtection="1">
      <alignment horizontal="left" vertical="top" wrapText="1"/>
      <protection hidden="1"/>
    </xf>
    <xf numFmtId="0" fontId="4" fillId="0" borderId="45" xfId="0" applyFont="1" applyBorder="1" applyAlignment="1" applyProtection="1">
      <alignment horizontal="left" vertical="top" wrapText="1"/>
      <protection hidden="1"/>
    </xf>
    <xf numFmtId="0" fontId="4" fillId="0" borderId="23" xfId="0" applyFont="1" applyBorder="1" applyAlignment="1" applyProtection="1">
      <alignment horizontal="left" vertical="top" wrapText="1"/>
      <protection hidden="1"/>
    </xf>
    <xf numFmtId="169" fontId="3" fillId="0" borderId="31" xfId="0" applyNumberFormat="1" applyFont="1" applyBorder="1" applyAlignment="1" applyProtection="1">
      <alignment horizontal="right"/>
      <protection hidden="1"/>
    </xf>
    <xf numFmtId="0" fontId="3" fillId="0" borderId="31" xfId="0" applyFont="1" applyBorder="1" applyAlignment="1" applyProtection="1">
      <alignment horizontal="right"/>
      <protection hidden="1"/>
    </xf>
    <xf numFmtId="0" fontId="8" fillId="0" borderId="25" xfId="0" applyFont="1" applyBorder="1" applyAlignment="1" applyProtection="1">
      <alignment horizontal="right" vertical="center"/>
      <protection hidden="1"/>
    </xf>
    <xf numFmtId="0" fontId="8" fillId="0" borderId="45" xfId="0" applyFont="1" applyBorder="1" applyAlignment="1" applyProtection="1">
      <alignment horizontal="right" vertical="center"/>
      <protection hidden="1"/>
    </xf>
    <xf numFmtId="171" fontId="8" fillId="0" borderId="43" xfId="0" applyNumberFormat="1" applyFont="1" applyBorder="1" applyAlignment="1" applyProtection="1">
      <alignment horizontal="right" vertical="center"/>
      <protection hidden="1"/>
    </xf>
    <xf numFmtId="0" fontId="0" fillId="0" borderId="65" xfId="0" applyBorder="1" applyProtection="1">
      <protection hidden="1"/>
    </xf>
    <xf numFmtId="0" fontId="0" fillId="0" borderId="41" xfId="0" applyBorder="1" applyProtection="1">
      <protection hidden="1"/>
    </xf>
    <xf numFmtId="0" fontId="0" fillId="0" borderId="69" xfId="0" applyBorder="1" applyProtection="1">
      <protection hidden="1"/>
    </xf>
    <xf numFmtId="0" fontId="8" fillId="0" borderId="65" xfId="0" applyFont="1" applyBorder="1" applyAlignment="1" applyProtection="1">
      <alignment horizontal="center" vertical="center"/>
      <protection hidden="1"/>
    </xf>
    <xf numFmtId="0" fontId="8" fillId="0" borderId="69" xfId="0" applyFont="1" applyBorder="1" applyAlignment="1" applyProtection="1">
      <alignment horizontal="center" vertical="center"/>
      <protection hidden="1"/>
    </xf>
    <xf numFmtId="0" fontId="30" fillId="0" borderId="0" xfId="0" applyFont="1" applyAlignment="1">
      <alignment horizontal="left" wrapText="1"/>
    </xf>
    <xf numFmtId="0" fontId="3" fillId="0" borderId="0" xfId="0" applyFont="1" applyBorder="1" applyAlignment="1">
      <alignment horizontal="left" shrinkToFit="1"/>
    </xf>
    <xf numFmtId="0" fontId="0" fillId="0" borderId="0" xfId="0" applyBorder="1" applyAlignment="1">
      <alignment horizontal="left" shrinkToFit="1"/>
    </xf>
    <xf numFmtId="0" fontId="3" fillId="0" borderId="0" xfId="0" applyFont="1" applyBorder="1" applyAlignment="1" applyProtection="1">
      <alignment horizontal="left" shrinkToFit="1"/>
      <protection hidden="1"/>
    </xf>
    <xf numFmtId="0" fontId="3" fillId="0" borderId="24" xfId="0" applyFont="1" applyBorder="1" applyAlignment="1" applyProtection="1">
      <alignment horizontal="center" shrinkToFit="1"/>
      <protection hidden="1"/>
    </xf>
    <xf numFmtId="0" fontId="3" fillId="0" borderId="60" xfId="0" applyFont="1" applyBorder="1" applyAlignment="1">
      <alignment horizontal="left"/>
    </xf>
    <xf numFmtId="0" fontId="3" fillId="0" borderId="107" xfId="0" applyFont="1" applyBorder="1" applyAlignment="1">
      <alignment horizontal="left"/>
    </xf>
    <xf numFmtId="0" fontId="3" fillId="0" borderId="108" xfId="0" applyFont="1" applyBorder="1" applyAlignment="1">
      <alignment horizontal="left"/>
    </xf>
    <xf numFmtId="0" fontId="3" fillId="0" borderId="87" xfId="0" applyFont="1" applyBorder="1" applyAlignment="1">
      <alignment horizontal="center" vertical="center"/>
    </xf>
    <xf numFmtId="0" fontId="3" fillId="0" borderId="109" xfId="0" applyFont="1" applyBorder="1" applyAlignment="1">
      <alignment horizontal="center" vertical="center"/>
    </xf>
    <xf numFmtId="0" fontId="3" fillId="0" borderId="108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43" xfId="0" applyFont="1" applyBorder="1" applyAlignment="1">
      <alignment horizontal="left" vertical="center" wrapText="1"/>
    </xf>
    <xf numFmtId="0" fontId="3" fillId="0" borderId="65" xfId="0" applyFont="1" applyBorder="1" applyAlignment="1">
      <alignment horizontal="left" vertical="center" wrapText="1"/>
    </xf>
    <xf numFmtId="0" fontId="3" fillId="0" borderId="66" xfId="0" applyFont="1" applyBorder="1" applyAlignment="1">
      <alignment horizontal="left" vertical="center" wrapText="1"/>
    </xf>
    <xf numFmtId="4" fontId="3" fillId="0" borderId="110" xfId="0" applyNumberFormat="1" applyFont="1" applyBorder="1" applyAlignment="1" applyProtection="1">
      <alignment horizontal="right"/>
      <protection hidden="1"/>
    </xf>
    <xf numFmtId="165" fontId="21" fillId="0" borderId="53" xfId="0" applyNumberFormat="1" applyFont="1" applyBorder="1" applyAlignment="1" applyProtection="1">
      <alignment horizontal="center"/>
    </xf>
    <xf numFmtId="165" fontId="21" fillId="0" borderId="106" xfId="0" applyNumberFormat="1" applyFont="1" applyBorder="1" applyAlignment="1" applyProtection="1">
      <alignment horizontal="center"/>
    </xf>
    <xf numFmtId="169" fontId="3" fillId="0" borderId="24" xfId="0" applyNumberFormat="1" applyFont="1" applyBorder="1" applyAlignment="1" applyProtection="1">
      <alignment horizontal="left"/>
      <protection hidden="1"/>
    </xf>
    <xf numFmtId="169" fontId="3" fillId="0" borderId="15" xfId="0" applyNumberFormat="1" applyFont="1" applyBorder="1" applyAlignment="1" applyProtection="1">
      <alignment horizontal="right"/>
      <protection hidden="1"/>
    </xf>
    <xf numFmtId="165" fontId="3" fillId="0" borderId="24" xfId="0" applyNumberFormat="1" applyFont="1" applyBorder="1" applyAlignment="1" applyProtection="1">
      <alignment horizontal="center"/>
      <protection hidden="1"/>
    </xf>
    <xf numFmtId="165" fontId="3" fillId="0" borderId="15" xfId="0" applyNumberFormat="1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left" shrinkToFit="1"/>
      <protection hidden="1"/>
    </xf>
    <xf numFmtId="0" fontId="3" fillId="0" borderId="24" xfId="0" applyFont="1" applyBorder="1" applyAlignment="1" applyProtection="1">
      <alignment horizontal="left" shrinkToFit="1"/>
      <protection hidden="1"/>
    </xf>
    <xf numFmtId="14" fontId="3" fillId="0" borderId="24" xfId="0" applyNumberFormat="1" applyFont="1" applyBorder="1" applyAlignment="1" applyProtection="1">
      <alignment horizontal="center"/>
      <protection hidden="1"/>
    </xf>
    <xf numFmtId="165" fontId="21" fillId="0" borderId="0" xfId="0" applyNumberFormat="1" applyFont="1" applyAlignment="1" applyProtection="1">
      <alignment horizontal="center"/>
    </xf>
    <xf numFmtId="0" fontId="3" fillId="0" borderId="53" xfId="0" applyFont="1" applyBorder="1" applyAlignment="1">
      <alignment horizontal="left" shrinkToFit="1"/>
    </xf>
    <xf numFmtId="0" fontId="3" fillId="0" borderId="14" xfId="0" applyFont="1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165" fontId="21" fillId="0" borderId="24" xfId="0" applyNumberFormat="1" applyFont="1" applyBorder="1" applyAlignment="1" applyProtection="1">
      <alignment horizontal="center"/>
    </xf>
    <xf numFmtId="0" fontId="3" fillId="0" borderId="24" xfId="0" applyFont="1" applyBorder="1" applyAlignment="1">
      <alignment horizontal="left" shrinkToFit="1"/>
    </xf>
    <xf numFmtId="0" fontId="3" fillId="0" borderId="14" xfId="0" applyFont="1" applyBorder="1" applyAlignment="1" applyProtection="1">
      <alignment horizontal="center" shrinkToFit="1"/>
      <protection hidden="1"/>
    </xf>
    <xf numFmtId="0" fontId="3" fillId="0" borderId="12" xfId="0" applyFont="1" applyBorder="1" applyAlignment="1">
      <alignment horizontal="left" shrinkToFit="1"/>
    </xf>
    <xf numFmtId="0" fontId="0" fillId="0" borderId="53" xfId="0" applyBorder="1" applyAlignment="1">
      <alignment horizontal="left" shrinkToFit="1"/>
    </xf>
    <xf numFmtId="14" fontId="3" fillId="0" borderId="53" xfId="0" applyNumberFormat="1" applyFont="1" applyBorder="1" applyAlignment="1" applyProtection="1">
      <alignment horizontal="center"/>
      <protection hidden="1"/>
    </xf>
    <xf numFmtId="4" fontId="3" fillId="0" borderId="53" xfId="0" applyNumberFormat="1" applyFont="1" applyBorder="1" applyAlignment="1" applyProtection="1">
      <alignment horizontal="right"/>
      <protection hidden="1"/>
    </xf>
    <xf numFmtId="0" fontId="3" fillId="0" borderId="105" xfId="0" applyNumberFormat="1" applyFont="1" applyBorder="1" applyAlignment="1" applyProtection="1">
      <protection hidden="1"/>
    </xf>
    <xf numFmtId="0" fontId="3" fillId="0" borderId="10" xfId="0" applyNumberFormat="1" applyFont="1" applyBorder="1" applyAlignment="1" applyProtection="1">
      <protection hidden="1"/>
    </xf>
    <xf numFmtId="0" fontId="3" fillId="0" borderId="24" xfId="0" applyNumberFormat="1" applyFont="1" applyBorder="1" applyAlignment="1" applyProtection="1">
      <alignment horizontal="right"/>
      <protection hidden="1"/>
    </xf>
    <xf numFmtId="0" fontId="3" fillId="0" borderId="15" xfId="0" applyNumberFormat="1" applyFont="1" applyBorder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left"/>
      <protection hidden="1"/>
    </xf>
    <xf numFmtId="0" fontId="3" fillId="0" borderId="93" xfId="0" applyFont="1" applyBorder="1" applyAlignment="1" applyProtection="1">
      <alignment horizontal="left"/>
      <protection hidden="1"/>
    </xf>
    <xf numFmtId="0" fontId="3" fillId="0" borderId="94" xfId="0" applyFont="1" applyBorder="1" applyAlignment="1" applyProtection="1">
      <alignment horizontal="left"/>
      <protection hidden="1"/>
    </xf>
    <xf numFmtId="0" fontId="8" fillId="0" borderId="94" xfId="0" applyFont="1" applyBorder="1" applyAlignment="1" applyProtection="1">
      <alignment horizontal="left" shrinkToFit="1"/>
      <protection hidden="1"/>
    </xf>
    <xf numFmtId="0" fontId="8" fillId="0" borderId="95" xfId="0" applyFont="1" applyBorder="1" applyAlignment="1" applyProtection="1">
      <alignment horizontal="left" shrinkToFit="1"/>
      <protection hidden="1"/>
    </xf>
    <xf numFmtId="0" fontId="3" fillId="0" borderId="96" xfId="0" applyFont="1" applyBorder="1" applyAlignment="1" applyProtection="1">
      <alignment horizontal="left"/>
      <protection hidden="1"/>
    </xf>
    <xf numFmtId="0" fontId="3" fillId="0" borderId="97" xfId="0" applyFont="1" applyBorder="1" applyAlignment="1" applyProtection="1">
      <alignment horizontal="left"/>
      <protection hidden="1"/>
    </xf>
    <xf numFmtId="0" fontId="8" fillId="0" borderId="97" xfId="0" applyFont="1" applyBorder="1" applyAlignment="1" applyProtection="1">
      <alignment horizontal="left" shrinkToFit="1"/>
      <protection hidden="1"/>
    </xf>
    <xf numFmtId="0" fontId="8" fillId="0" borderId="98" xfId="0" applyFont="1" applyBorder="1" applyAlignment="1" applyProtection="1">
      <alignment horizontal="left" shrinkToFit="1"/>
      <protection hidden="1"/>
    </xf>
    <xf numFmtId="0" fontId="8" fillId="0" borderId="99" xfId="0" applyFont="1" applyBorder="1" applyAlignment="1" applyProtection="1">
      <alignment horizontal="left" shrinkToFit="1"/>
      <protection hidden="1"/>
    </xf>
    <xf numFmtId="169" fontId="8" fillId="0" borderId="100" xfId="0" applyNumberFormat="1" applyFont="1" applyBorder="1" applyAlignment="1" applyProtection="1">
      <alignment horizontal="left" shrinkToFit="1"/>
      <protection hidden="1"/>
    </xf>
    <xf numFmtId="169" fontId="8" fillId="0" borderId="24" xfId="0" applyNumberFormat="1" applyFont="1" applyBorder="1" applyAlignment="1" applyProtection="1">
      <alignment horizontal="left" shrinkToFit="1"/>
      <protection hidden="1"/>
    </xf>
    <xf numFmtId="169" fontId="5" fillId="0" borderId="24" xfId="0" applyNumberFormat="1" applyFont="1" applyBorder="1" applyAlignment="1" applyProtection="1">
      <alignment horizontal="center" shrinkToFit="1"/>
      <protection hidden="1"/>
    </xf>
    <xf numFmtId="14" fontId="8" fillId="0" borderId="24" xfId="0" applyNumberFormat="1" applyFont="1" applyBorder="1" applyAlignment="1" applyProtection="1">
      <alignment horizontal="center"/>
      <protection hidden="1"/>
    </xf>
    <xf numFmtId="14" fontId="8" fillId="0" borderId="15" xfId="0" applyNumberFormat="1" applyFont="1" applyBorder="1" applyAlignment="1" applyProtection="1">
      <alignment horizontal="center"/>
      <protection hidden="1"/>
    </xf>
    <xf numFmtId="0" fontId="8" fillId="0" borderId="101" xfId="0" applyFont="1" applyBorder="1" applyAlignment="1" applyProtection="1">
      <alignment horizontal="left" shrinkToFit="1"/>
      <protection hidden="1"/>
    </xf>
    <xf numFmtId="0" fontId="3" fillId="0" borderId="102" xfId="0" applyFont="1" applyBorder="1" applyAlignment="1" applyProtection="1">
      <alignment horizontal="left"/>
      <protection hidden="1"/>
    </xf>
    <xf numFmtId="0" fontId="3" fillId="0" borderId="103" xfId="0" applyFont="1" applyBorder="1" applyAlignment="1" applyProtection="1">
      <alignment horizontal="left"/>
      <protection hidden="1"/>
    </xf>
    <xf numFmtId="0" fontId="8" fillId="0" borderId="103" xfId="0" applyFont="1" applyBorder="1" applyAlignment="1" applyProtection="1">
      <alignment horizontal="left" shrinkToFit="1"/>
      <protection hidden="1"/>
    </xf>
    <xf numFmtId="0" fontId="8" fillId="0" borderId="104" xfId="0" applyFont="1" applyBorder="1" applyAlignment="1" applyProtection="1">
      <alignment horizontal="left" shrinkToFit="1"/>
      <protection hidden="1"/>
    </xf>
    <xf numFmtId="0" fontId="29" fillId="0" borderId="0" xfId="0" applyFont="1" applyAlignment="1">
      <alignment horizontal="center" vertical="center"/>
    </xf>
    <xf numFmtId="169" fontId="3" fillId="0" borderId="105" xfId="0" applyNumberFormat="1" applyFont="1" applyBorder="1" applyAlignment="1" applyProtection="1">
      <alignment horizontal="right"/>
      <protection hidden="1"/>
    </xf>
    <xf numFmtId="0" fontId="3" fillId="0" borderId="20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169" fontId="5" fillId="0" borderId="25" xfId="0" applyNumberFormat="1" applyFont="1" applyBorder="1" applyAlignment="1" applyProtection="1">
      <alignment horizontal="right" vertical="center"/>
      <protection hidden="1"/>
    </xf>
    <xf numFmtId="0" fontId="0" fillId="0" borderId="45" xfId="0" applyBorder="1" applyAlignment="1" applyProtection="1">
      <alignment horizontal="right" vertical="center"/>
      <protection hidden="1"/>
    </xf>
    <xf numFmtId="0" fontId="5" fillId="0" borderId="21" xfId="0" applyFont="1" applyBorder="1" applyAlignment="1" applyProtection="1">
      <alignment horizontal="left" vertical="center"/>
      <protection hidden="1"/>
    </xf>
    <xf numFmtId="0" fontId="5" fillId="0" borderId="23" xfId="0" applyFont="1" applyBorder="1" applyAlignment="1" applyProtection="1">
      <alignment horizontal="left" vertical="center"/>
      <protection hidden="1"/>
    </xf>
    <xf numFmtId="166" fontId="0" fillId="0" borderId="1" xfId="0" applyNumberFormat="1" applyBorder="1" applyAlignment="1" applyProtection="1">
      <alignment horizontal="right"/>
      <protection hidden="1"/>
    </xf>
    <xf numFmtId="169" fontId="0" fillId="0" borderId="14" xfId="0" applyNumberFormat="1" applyBorder="1" applyAlignment="1" applyProtection="1">
      <alignment horizontal="right"/>
      <protection hidden="1"/>
    </xf>
    <xf numFmtId="0" fontId="0" fillId="0" borderId="24" xfId="0" applyBorder="1" applyAlignment="1" applyProtection="1">
      <alignment horizontal="right"/>
      <protection hidden="1"/>
    </xf>
    <xf numFmtId="2" fontId="0" fillId="0" borderId="14" xfId="0" applyNumberFormat="1" applyBorder="1" applyAlignment="1" applyProtection="1">
      <alignment horizontal="right"/>
      <protection hidden="1"/>
    </xf>
    <xf numFmtId="2" fontId="0" fillId="0" borderId="24" xfId="0" applyNumberFormat="1" applyBorder="1" applyAlignment="1" applyProtection="1">
      <alignment horizontal="right"/>
      <protection hidden="1"/>
    </xf>
    <xf numFmtId="0" fontId="3" fillId="0" borderId="27" xfId="0" applyFont="1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28" xfId="0" applyBorder="1" applyAlignment="1">
      <alignment horizontal="left"/>
    </xf>
    <xf numFmtId="169" fontId="0" fillId="0" borderId="27" xfId="0" applyNumberFormat="1" applyBorder="1" applyAlignment="1" applyProtection="1">
      <alignment horizontal="right"/>
      <protection hidden="1"/>
    </xf>
    <xf numFmtId="169" fontId="0" fillId="0" borderId="47" xfId="0" applyNumberFormat="1" applyBorder="1" applyAlignment="1" applyProtection="1">
      <alignment horizontal="right"/>
      <protection hidden="1"/>
    </xf>
    <xf numFmtId="2" fontId="0" fillId="0" borderId="27" xfId="0" applyNumberFormat="1" applyBorder="1" applyAlignment="1" applyProtection="1">
      <alignment horizontal="right"/>
      <protection hidden="1"/>
    </xf>
    <xf numFmtId="2" fontId="0" fillId="0" borderId="47" xfId="0" applyNumberFormat="1" applyBorder="1" applyAlignment="1" applyProtection="1">
      <alignment horizontal="right"/>
      <protection hidden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left"/>
    </xf>
    <xf numFmtId="0" fontId="0" fillId="0" borderId="105" xfId="0" applyBorder="1" applyAlignment="1">
      <alignment horizontal="left"/>
    </xf>
    <xf numFmtId="0" fontId="0" fillId="0" borderId="10" xfId="0" applyBorder="1" applyAlignment="1">
      <alignment horizontal="left"/>
    </xf>
    <xf numFmtId="2" fontId="0" fillId="0" borderId="12" xfId="0" applyNumberFormat="1" applyBorder="1" applyAlignment="1" applyProtection="1">
      <alignment horizontal="right"/>
      <protection hidden="1"/>
    </xf>
    <xf numFmtId="2" fontId="0" fillId="0" borderId="53" xfId="0" applyNumberFormat="1" applyBorder="1" applyAlignment="1" applyProtection="1">
      <alignment horizontal="right"/>
      <protection hidden="1"/>
    </xf>
    <xf numFmtId="0" fontId="3" fillId="0" borderId="14" xfId="0" applyFont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15" xfId="0" applyBorder="1" applyAlignment="1">
      <alignment horizontal="left"/>
    </xf>
    <xf numFmtId="2" fontId="0" fillId="0" borderId="126" xfId="0" applyNumberFormat="1" applyBorder="1" applyAlignment="1" applyProtection="1">
      <alignment horizontal="right"/>
      <protection hidden="1"/>
    </xf>
    <xf numFmtId="2" fontId="0" fillId="0" borderId="55" xfId="0" applyNumberFormat="1" applyBorder="1" applyAlignment="1" applyProtection="1">
      <alignment horizontal="right"/>
      <protection hidden="1"/>
    </xf>
    <xf numFmtId="0" fontId="3" fillId="0" borderId="12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106" xfId="0" applyBorder="1" applyAlignment="1">
      <alignment horizontal="left"/>
    </xf>
    <xf numFmtId="169" fontId="0" fillId="0" borderId="9" xfId="0" applyNumberFormat="1" applyBorder="1" applyAlignment="1" applyProtection="1">
      <alignment horizontal="right"/>
      <protection hidden="1"/>
    </xf>
    <xf numFmtId="0" fontId="0" fillId="0" borderId="105" xfId="0" applyBorder="1" applyAlignment="1" applyProtection="1">
      <alignment horizontal="right"/>
      <protection hidden="1"/>
    </xf>
    <xf numFmtId="2" fontId="0" fillId="0" borderId="9" xfId="0" applyNumberFormat="1" applyBorder="1" applyAlignment="1" applyProtection="1">
      <alignment horizontal="right"/>
      <protection hidden="1"/>
    </xf>
    <xf numFmtId="2" fontId="0" fillId="0" borderId="105" xfId="0" applyNumberFormat="1" applyBorder="1" applyAlignment="1" applyProtection="1">
      <alignment horizontal="right"/>
      <protection hidden="1"/>
    </xf>
    <xf numFmtId="0" fontId="0" fillId="0" borderId="14" xfId="0" applyBorder="1" applyAlignment="1" applyProtection="1">
      <alignment horizontal="right"/>
      <protection hidden="1"/>
    </xf>
    <xf numFmtId="169" fontId="0" fillId="0" borderId="24" xfId="0" applyNumberFormat="1" applyBorder="1" applyAlignment="1" applyProtection="1">
      <alignment horizontal="right"/>
      <protection hidden="1"/>
    </xf>
    <xf numFmtId="0" fontId="3" fillId="0" borderId="126" xfId="0" applyFont="1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127" xfId="0" applyBorder="1" applyAlignment="1">
      <alignment horizontal="left"/>
    </xf>
    <xf numFmtId="2" fontId="0" fillId="0" borderId="35" xfId="0" applyNumberFormat="1" applyBorder="1" applyAlignment="1" applyProtection="1">
      <alignment horizontal="right"/>
      <protection hidden="1"/>
    </xf>
    <xf numFmtId="2" fontId="0" fillId="0" borderId="0" xfId="0" applyNumberFormat="1" applyBorder="1" applyAlignment="1" applyProtection="1">
      <alignment horizontal="right"/>
      <protection hidden="1"/>
    </xf>
    <xf numFmtId="0" fontId="3" fillId="0" borderId="53" xfId="0" applyFont="1" applyBorder="1" applyAlignment="1">
      <alignment horizontal="left"/>
    </xf>
    <xf numFmtId="0" fontId="3" fillId="0" borderId="106" xfId="0" applyFont="1" applyBorder="1" applyAlignment="1">
      <alignment horizontal="left"/>
    </xf>
    <xf numFmtId="0" fontId="4" fillId="0" borderId="14" xfId="0" applyFont="1" applyBorder="1" applyAlignment="1" applyProtection="1">
      <alignment horizontal="left"/>
      <protection hidden="1"/>
    </xf>
    <xf numFmtId="0" fontId="4" fillId="0" borderId="24" xfId="0" applyFont="1" applyBorder="1" applyAlignment="1" applyProtection="1">
      <alignment horizontal="left"/>
      <protection hidden="1"/>
    </xf>
    <xf numFmtId="0" fontId="4" fillId="0" borderId="124" xfId="0" applyFont="1" applyBorder="1" applyAlignment="1" applyProtection="1">
      <alignment horizontal="left"/>
      <protection hidden="1"/>
    </xf>
    <xf numFmtId="0" fontId="4" fillId="0" borderId="27" xfId="0" applyFont="1" applyBorder="1" applyAlignment="1" applyProtection="1">
      <alignment horizontal="left"/>
      <protection hidden="1"/>
    </xf>
    <xf numFmtId="0" fontId="4" fillId="0" borderId="47" xfId="0" applyFont="1" applyBorder="1" applyAlignment="1" applyProtection="1">
      <alignment horizontal="left"/>
      <protection hidden="1"/>
    </xf>
    <xf numFmtId="0" fontId="4" fillId="0" borderId="125" xfId="0" applyFont="1" applyBorder="1" applyAlignment="1" applyProtection="1">
      <alignment horizontal="left"/>
      <protection hidden="1"/>
    </xf>
    <xf numFmtId="0" fontId="3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9" xfId="0" applyFont="1" applyBorder="1" applyAlignment="1" applyProtection="1">
      <alignment horizontal="left"/>
      <protection hidden="1"/>
    </xf>
    <xf numFmtId="0" fontId="4" fillId="0" borderId="105" xfId="0" applyFont="1" applyBorder="1" applyAlignment="1" applyProtection="1">
      <alignment horizontal="left"/>
      <protection hidden="1"/>
    </xf>
    <xf numFmtId="0" fontId="4" fillId="0" borderId="123" xfId="0" applyFont="1" applyBorder="1" applyAlignment="1" applyProtection="1">
      <alignment horizontal="left"/>
      <protection hidden="1"/>
    </xf>
    <xf numFmtId="0" fontId="3" fillId="0" borderId="105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2" fontId="0" fillId="0" borderId="20" xfId="0" applyNumberFormat="1" applyBorder="1" applyAlignment="1" applyProtection="1">
      <alignment horizontal="right"/>
      <protection hidden="1"/>
    </xf>
    <xf numFmtId="2" fontId="0" fillId="0" borderId="25" xfId="0" applyNumberFormat="1" applyBorder="1" applyAlignment="1" applyProtection="1">
      <alignment horizontal="right"/>
      <protection hidden="1"/>
    </xf>
    <xf numFmtId="0" fontId="0" fillId="0" borderId="37" xfId="0" applyBorder="1" applyAlignment="1" applyProtection="1">
      <alignment horizontal="left"/>
      <protection locked="0" hidden="1"/>
    </xf>
    <xf numFmtId="0" fontId="0" fillId="0" borderId="91" xfId="0" applyBorder="1" applyAlignment="1">
      <alignment horizontal="left"/>
    </xf>
    <xf numFmtId="0" fontId="0" fillId="0" borderId="153" xfId="0" applyBorder="1" applyAlignment="1">
      <alignment horizontal="left"/>
    </xf>
    <xf numFmtId="169" fontId="5" fillId="0" borderId="108" xfId="0" applyNumberFormat="1" applyFont="1" applyBorder="1" applyAlignment="1" applyProtection="1">
      <alignment horizontal="right"/>
      <protection locked="0" hidden="1"/>
    </xf>
    <xf numFmtId="0" fontId="0" fillId="0" borderId="87" xfId="0" applyBorder="1" applyAlignment="1">
      <alignment horizontal="right"/>
    </xf>
    <xf numFmtId="0" fontId="0" fillId="0" borderId="128" xfId="0" applyBorder="1" applyAlignment="1">
      <alignment horizontal="right"/>
    </xf>
    <xf numFmtId="169" fontId="5" fillId="0" borderId="154" xfId="0" applyNumberFormat="1" applyFont="1" applyBorder="1" applyAlignment="1" applyProtection="1">
      <alignment horizontal="right"/>
      <protection locked="0" hidden="1"/>
    </xf>
    <xf numFmtId="0" fontId="0" fillId="0" borderId="155" xfId="0" applyBorder="1" applyAlignment="1" applyProtection="1">
      <alignment horizontal="right"/>
      <protection locked="0" hidden="1"/>
    </xf>
    <xf numFmtId="0" fontId="0" fillId="0" borderId="120" xfId="0" applyBorder="1" applyAlignment="1" applyProtection="1">
      <alignment horizontal="left"/>
      <protection locked="0" hidden="1"/>
    </xf>
    <xf numFmtId="169" fontId="5" fillId="0" borderId="14" xfId="0" applyNumberFormat="1" applyFont="1" applyBorder="1" applyAlignment="1" applyProtection="1">
      <alignment horizontal="right"/>
      <protection locked="0" hidden="1"/>
    </xf>
    <xf numFmtId="0" fontId="0" fillId="0" borderId="24" xfId="0" applyBorder="1" applyAlignment="1">
      <alignment horizontal="right"/>
    </xf>
    <xf numFmtId="0" fontId="0" fillId="0" borderId="137" xfId="0" applyBorder="1" applyAlignment="1">
      <alignment horizontal="right"/>
    </xf>
    <xf numFmtId="169" fontId="5" fillId="0" borderId="149" xfId="0" applyNumberFormat="1" applyFont="1" applyBorder="1" applyAlignment="1" applyProtection="1">
      <alignment horizontal="right"/>
      <protection locked="0" hidden="1"/>
    </xf>
    <xf numFmtId="169" fontId="5" fillId="0" borderId="150" xfId="0" applyNumberFormat="1" applyFont="1" applyBorder="1" applyAlignment="1" applyProtection="1">
      <alignment horizontal="right"/>
      <protection locked="0" hidden="1"/>
    </xf>
    <xf numFmtId="0" fontId="0" fillId="0" borderId="121" xfId="0" applyBorder="1" applyAlignment="1" applyProtection="1">
      <alignment horizontal="left"/>
      <protection locked="0" hidden="1"/>
    </xf>
    <xf numFmtId="169" fontId="5" fillId="0" borderId="33" xfId="0" applyNumberFormat="1" applyFont="1" applyBorder="1" applyAlignment="1" applyProtection="1">
      <alignment horizontal="right"/>
      <protection locked="0" hidden="1"/>
    </xf>
    <xf numFmtId="0" fontId="0" fillId="0" borderId="31" xfId="0" applyBorder="1" applyAlignment="1">
      <alignment horizontal="right"/>
    </xf>
    <xf numFmtId="0" fontId="0" fillId="0" borderId="139" xfId="0" applyBorder="1" applyAlignment="1">
      <alignment horizontal="right"/>
    </xf>
    <xf numFmtId="169" fontId="5" fillId="0" borderId="151" xfId="0" applyNumberFormat="1" applyFont="1" applyBorder="1" applyAlignment="1" applyProtection="1">
      <alignment horizontal="right"/>
      <protection locked="0" hidden="1"/>
    </xf>
    <xf numFmtId="169" fontId="5" fillId="0" borderId="152" xfId="0" applyNumberFormat="1" applyFont="1" applyBorder="1" applyAlignment="1" applyProtection="1">
      <alignment horizontal="right"/>
      <protection locked="0" hidden="1"/>
    </xf>
    <xf numFmtId="0" fontId="0" fillId="0" borderId="0" xfId="0" applyAlignment="1" applyProtection="1">
      <alignment horizontal="left"/>
      <protection locked="0" hidden="1"/>
    </xf>
    <xf numFmtId="169" fontId="5" fillId="0" borderId="41" xfId="0" applyNumberFormat="1" applyFont="1" applyBorder="1" applyAlignment="1" applyProtection="1">
      <alignment horizontal="right"/>
      <protection locked="0" hidden="1"/>
    </xf>
    <xf numFmtId="0" fontId="0" fillId="0" borderId="69" xfId="0" applyBorder="1" applyAlignment="1" applyProtection="1">
      <alignment horizontal="right"/>
      <protection locked="0" hidden="1"/>
    </xf>
    <xf numFmtId="0" fontId="0" fillId="0" borderId="42" xfId="0" applyBorder="1" applyAlignment="1" applyProtection="1">
      <alignment horizontal="right"/>
      <protection locked="0" hidden="1"/>
    </xf>
    <xf numFmtId="0" fontId="0" fillId="0" borderId="39" xfId="0" applyBorder="1" applyAlignment="1" applyProtection="1">
      <alignment horizontal="left" vertical="center" wrapText="1"/>
      <protection locked="0" hidden="1"/>
    </xf>
    <xf numFmtId="0" fontId="0" fillId="0" borderId="0" xfId="0" applyAlignment="1" applyProtection="1">
      <alignment horizontal="left" vertical="center" wrapText="1"/>
      <protection locked="0" hidden="1"/>
    </xf>
    <xf numFmtId="0" fontId="0" fillId="0" borderId="145" xfId="0" applyBorder="1" applyAlignment="1" applyProtection="1">
      <alignment horizontal="left"/>
      <protection locked="0" hidden="1"/>
    </xf>
    <xf numFmtId="0" fontId="0" fillId="0" borderId="110" xfId="0" applyBorder="1" applyAlignment="1" applyProtection="1">
      <alignment horizontal="left"/>
      <protection locked="0" hidden="1"/>
    </xf>
    <xf numFmtId="0" fontId="0" fillId="0" borderId="111" xfId="0" applyBorder="1" applyAlignment="1" applyProtection="1">
      <alignment horizontal="left"/>
      <protection locked="0" hidden="1"/>
    </xf>
    <xf numFmtId="169" fontId="5" fillId="0" borderId="113" xfId="0" applyNumberFormat="1" applyFont="1" applyBorder="1" applyAlignment="1" applyProtection="1">
      <alignment horizontal="right"/>
      <protection locked="0" hidden="1"/>
    </xf>
    <xf numFmtId="169" fontId="5" fillId="0" borderId="110" xfId="0" applyNumberFormat="1" applyFont="1" applyBorder="1" applyAlignment="1" applyProtection="1">
      <alignment horizontal="right"/>
      <protection locked="0" hidden="1"/>
    </xf>
    <xf numFmtId="169" fontId="5" fillId="0" borderId="146" xfId="0" applyNumberFormat="1" applyFont="1" applyBorder="1" applyAlignment="1" applyProtection="1">
      <alignment horizontal="right"/>
      <protection locked="0" hidden="1"/>
    </xf>
    <xf numFmtId="169" fontId="5" fillId="0" borderId="147" xfId="0" applyNumberFormat="1" applyFont="1" applyBorder="1" applyAlignment="1" applyProtection="1">
      <alignment horizontal="right"/>
      <protection locked="0" hidden="1"/>
    </xf>
    <xf numFmtId="169" fontId="5" fillId="0" borderId="148" xfId="0" applyNumberFormat="1" applyFont="1" applyBorder="1" applyAlignment="1" applyProtection="1">
      <alignment horizontal="right"/>
      <protection locked="0" hidden="1"/>
    </xf>
    <xf numFmtId="169" fontId="5" fillId="0" borderId="16" xfId="0" applyNumberFormat="1" applyFont="1" applyBorder="1" applyAlignment="1" applyProtection="1">
      <alignment horizontal="right"/>
      <protection locked="0" hidden="1"/>
    </xf>
    <xf numFmtId="169" fontId="5" fillId="0" borderId="143" xfId="0" applyNumberFormat="1" applyFont="1" applyBorder="1" applyAlignment="1" applyProtection="1">
      <alignment horizontal="right"/>
      <protection locked="0" hidden="1"/>
    </xf>
    <xf numFmtId="0" fontId="0" fillId="0" borderId="122" xfId="0" applyBorder="1" applyAlignment="1" applyProtection="1">
      <alignment horizontal="left"/>
      <protection locked="0" hidden="1"/>
    </xf>
    <xf numFmtId="0" fontId="0" fillId="0" borderId="31" xfId="0" applyBorder="1" applyAlignment="1" applyProtection="1">
      <alignment horizontal="left"/>
      <protection locked="0" hidden="1"/>
    </xf>
    <xf numFmtId="0" fontId="0" fillId="0" borderId="32" xfId="0" applyBorder="1" applyAlignment="1" applyProtection="1">
      <alignment horizontal="left"/>
      <protection locked="0" hidden="1"/>
    </xf>
    <xf numFmtId="2" fontId="5" fillId="0" borderId="33" xfId="0" applyNumberFormat="1" applyFont="1" applyBorder="1" applyAlignment="1" applyProtection="1">
      <alignment horizontal="center"/>
      <protection locked="0" hidden="1"/>
    </xf>
    <xf numFmtId="0" fontId="0" fillId="0" borderId="32" xfId="0" applyBorder="1" applyAlignment="1" applyProtection="1">
      <alignment horizontal="center"/>
      <protection locked="0" hidden="1"/>
    </xf>
    <xf numFmtId="169" fontId="5" fillId="0" borderId="31" xfId="0" applyNumberFormat="1" applyFont="1" applyBorder="1" applyAlignment="1" applyProtection="1">
      <alignment horizontal="right"/>
      <protection locked="0" hidden="1"/>
    </xf>
    <xf numFmtId="169" fontId="5" fillId="0" borderId="32" xfId="0" applyNumberFormat="1" applyFont="1" applyBorder="1" applyAlignment="1" applyProtection="1">
      <alignment horizontal="right"/>
      <protection locked="0" hidden="1"/>
    </xf>
    <xf numFmtId="0" fontId="0" fillId="0" borderId="31" xfId="0" applyBorder="1" applyAlignment="1" applyProtection="1">
      <alignment horizontal="right"/>
      <protection locked="0" hidden="1"/>
    </xf>
    <xf numFmtId="0" fontId="0" fillId="0" borderId="139" xfId="0" applyBorder="1" applyAlignment="1" applyProtection="1">
      <alignment horizontal="right"/>
      <protection locked="0" hidden="1"/>
    </xf>
    <xf numFmtId="0" fontId="0" fillId="0" borderId="140" xfId="0" applyBorder="1" applyAlignment="1" applyProtection="1">
      <alignment horizontal="left" vertical="center" wrapText="1"/>
      <protection locked="0" hidden="1"/>
    </xf>
    <xf numFmtId="0" fontId="0" fillId="0" borderId="31" xfId="0" applyBorder="1" applyAlignment="1" applyProtection="1">
      <alignment horizontal="left" vertical="center" wrapText="1"/>
      <protection locked="0" hidden="1"/>
    </xf>
    <xf numFmtId="0" fontId="0" fillId="0" borderId="32" xfId="0" applyBorder="1" applyAlignment="1" applyProtection="1">
      <alignment horizontal="left" vertical="center" wrapText="1"/>
      <protection locked="0" hidden="1"/>
    </xf>
    <xf numFmtId="4" fontId="5" fillId="0" borderId="33" xfId="0" applyNumberFormat="1" applyFont="1" applyBorder="1" applyAlignment="1" applyProtection="1">
      <alignment horizontal="center"/>
      <protection locked="0" hidden="1"/>
    </xf>
    <xf numFmtId="4" fontId="5" fillId="0" borderId="32" xfId="0" applyNumberFormat="1" applyFont="1" applyBorder="1" applyAlignment="1" applyProtection="1">
      <alignment horizontal="center"/>
      <protection locked="0" hidden="1"/>
    </xf>
    <xf numFmtId="169" fontId="5" fillId="0" borderId="29" xfId="0" applyNumberFormat="1" applyFont="1" applyBorder="1" applyAlignment="1" applyProtection="1">
      <alignment horizontal="right"/>
      <protection locked="0" hidden="1"/>
    </xf>
    <xf numFmtId="169" fontId="5" fillId="0" borderId="144" xfId="0" applyNumberFormat="1" applyFont="1" applyBorder="1" applyAlignment="1" applyProtection="1">
      <alignment horizontal="right"/>
      <protection locked="0" hidden="1"/>
    </xf>
    <xf numFmtId="0" fontId="0" fillId="0" borderId="24" xfId="0" applyBorder="1" applyAlignment="1" applyProtection="1">
      <alignment horizontal="left"/>
      <protection locked="0" hidden="1"/>
    </xf>
    <xf numFmtId="0" fontId="0" fillId="0" borderId="15" xfId="0" applyBorder="1" applyAlignment="1" applyProtection="1">
      <alignment horizontal="left"/>
      <protection locked="0" hidden="1"/>
    </xf>
    <xf numFmtId="2" fontId="5" fillId="0" borderId="14" xfId="0" applyNumberFormat="1" applyFon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69" fontId="5" fillId="0" borderId="24" xfId="0" applyNumberFormat="1" applyFont="1" applyBorder="1" applyAlignment="1" applyProtection="1">
      <alignment horizontal="right"/>
      <protection locked="0" hidden="1"/>
    </xf>
    <xf numFmtId="169" fontId="5" fillId="0" borderId="15" xfId="0" applyNumberFormat="1" applyFont="1" applyBorder="1" applyAlignment="1" applyProtection="1">
      <alignment horizontal="right"/>
      <protection locked="0" hidden="1"/>
    </xf>
    <xf numFmtId="0" fontId="0" fillId="0" borderId="24" xfId="0" applyBorder="1" applyAlignment="1" applyProtection="1">
      <alignment horizontal="right"/>
      <protection locked="0" hidden="1"/>
    </xf>
    <xf numFmtId="0" fontId="0" fillId="0" borderId="137" xfId="0" applyBorder="1" applyAlignment="1" applyProtection="1">
      <alignment horizontal="right"/>
      <protection locked="0" hidden="1"/>
    </xf>
    <xf numFmtId="0" fontId="0" fillId="0" borderId="138" xfId="0" applyBorder="1" applyAlignment="1" applyProtection="1">
      <alignment horizontal="left" vertical="center" wrapText="1"/>
      <protection locked="0" hidden="1"/>
    </xf>
    <xf numFmtId="0" fontId="0" fillId="0" borderId="24" xfId="0" applyBorder="1" applyAlignment="1" applyProtection="1">
      <alignment horizontal="left" vertical="center" wrapText="1"/>
      <protection locked="0" hidden="1"/>
    </xf>
    <xf numFmtId="0" fontId="0" fillId="0" borderId="15" xfId="0" applyBorder="1" applyAlignment="1" applyProtection="1">
      <alignment horizontal="left" vertical="center" wrapText="1"/>
      <protection locked="0" hidden="1"/>
    </xf>
    <xf numFmtId="4" fontId="5" fillId="0" borderId="14" xfId="0" applyNumberFormat="1" applyFont="1" applyBorder="1" applyAlignment="1" applyProtection="1">
      <alignment horizontal="center"/>
      <protection locked="0" hidden="1"/>
    </xf>
    <xf numFmtId="4" fontId="5" fillId="0" borderId="15" xfId="0" applyNumberFormat="1" applyFont="1" applyBorder="1" applyAlignment="1" applyProtection="1">
      <alignment horizontal="center"/>
      <protection locked="0" hidden="1"/>
    </xf>
    <xf numFmtId="0" fontId="0" fillId="0" borderId="134" xfId="0" applyBorder="1" applyAlignment="1" applyProtection="1">
      <alignment horizontal="left"/>
      <protection locked="0" hidden="1"/>
    </xf>
    <xf numFmtId="0" fontId="0" fillId="0" borderId="105" xfId="0" applyBorder="1" applyAlignment="1" applyProtection="1">
      <alignment horizontal="left"/>
      <protection locked="0" hidden="1"/>
    </xf>
    <xf numFmtId="0" fontId="0" fillId="0" borderId="10" xfId="0" applyBorder="1" applyAlignment="1" applyProtection="1">
      <alignment horizontal="left"/>
      <protection locked="0" hidden="1"/>
    </xf>
    <xf numFmtId="2" fontId="5" fillId="0" borderId="9" xfId="0" applyNumberFormat="1" applyFont="1" applyBorder="1" applyAlignment="1" applyProtection="1">
      <alignment horizontal="center"/>
      <protection locked="0" hidden="1"/>
    </xf>
    <xf numFmtId="0" fontId="0" fillId="0" borderId="10" xfId="0" applyBorder="1" applyAlignment="1" applyProtection="1">
      <alignment horizontal="center"/>
      <protection locked="0" hidden="1"/>
    </xf>
    <xf numFmtId="169" fontId="5" fillId="0" borderId="9" xfId="0" applyNumberFormat="1" applyFont="1" applyBorder="1" applyAlignment="1" applyProtection="1">
      <alignment horizontal="right"/>
      <protection locked="0" hidden="1"/>
    </xf>
    <xf numFmtId="169" fontId="5" fillId="0" borderId="105" xfId="0" applyNumberFormat="1" applyFont="1" applyBorder="1" applyAlignment="1" applyProtection="1">
      <alignment horizontal="right"/>
      <protection locked="0" hidden="1"/>
    </xf>
    <xf numFmtId="169" fontId="5" fillId="0" borderId="10" xfId="0" applyNumberFormat="1" applyFont="1" applyBorder="1" applyAlignment="1" applyProtection="1">
      <alignment horizontal="right"/>
      <protection locked="0" hidden="1"/>
    </xf>
    <xf numFmtId="169" fontId="5" fillId="0" borderId="135" xfId="0" applyNumberFormat="1" applyFont="1" applyBorder="1" applyAlignment="1" applyProtection="1">
      <alignment horizontal="right"/>
      <protection locked="0" hidden="1"/>
    </xf>
    <xf numFmtId="0" fontId="0" fillId="0" borderId="136" xfId="0" applyBorder="1" applyAlignment="1" applyProtection="1">
      <alignment horizontal="left" vertical="center" wrapText="1"/>
      <protection locked="0" hidden="1"/>
    </xf>
    <xf numFmtId="0" fontId="0" fillId="0" borderId="105" xfId="0" applyBorder="1" applyAlignment="1" applyProtection="1">
      <alignment horizontal="left" vertical="center" wrapText="1"/>
      <protection locked="0" hidden="1"/>
    </xf>
    <xf numFmtId="0" fontId="0" fillId="0" borderId="10" xfId="0" applyBorder="1" applyAlignment="1" applyProtection="1">
      <alignment horizontal="left" vertical="center" wrapText="1"/>
      <protection locked="0" hidden="1"/>
    </xf>
    <xf numFmtId="4" fontId="5" fillId="0" borderId="9" xfId="0" applyNumberFormat="1" applyFont="1" applyBorder="1" applyAlignment="1" applyProtection="1">
      <alignment horizontal="center"/>
      <protection locked="0" hidden="1"/>
    </xf>
    <xf numFmtId="4" fontId="5" fillId="0" borderId="10" xfId="0" applyNumberFormat="1" applyFont="1" applyBorder="1" applyAlignment="1" applyProtection="1">
      <alignment horizontal="center"/>
      <protection locked="0" hidden="1"/>
    </xf>
    <xf numFmtId="169" fontId="5" fillId="0" borderId="117" xfId="0" applyNumberFormat="1" applyFont="1" applyBorder="1" applyAlignment="1" applyProtection="1">
      <alignment horizontal="right"/>
      <protection locked="0" hidden="1"/>
    </xf>
    <xf numFmtId="169" fontId="5" fillId="0" borderId="142" xfId="0" applyNumberFormat="1" applyFont="1" applyBorder="1" applyAlignment="1" applyProtection="1">
      <alignment horizontal="right"/>
      <protection locked="0" hidden="1"/>
    </xf>
    <xf numFmtId="166" fontId="0" fillId="0" borderId="0" xfId="0" applyNumberFormat="1" applyAlignment="1" applyProtection="1">
      <alignment horizontal="right"/>
      <protection locked="0" hidden="1"/>
    </xf>
    <xf numFmtId="0" fontId="0" fillId="0" borderId="88" xfId="0" applyBorder="1" applyAlignment="1" applyProtection="1">
      <alignment horizontal="left" vertical="center" wrapText="1"/>
      <protection locked="0" hidden="1"/>
    </xf>
    <xf numFmtId="0" fontId="0" fillId="0" borderId="51" xfId="0" applyBorder="1" applyAlignment="1" applyProtection="1">
      <alignment horizontal="left" vertical="center" wrapText="1"/>
      <protection locked="0" hidden="1"/>
    </xf>
    <xf numFmtId="0" fontId="0" fillId="0" borderId="130" xfId="0" applyBorder="1" applyAlignment="1" applyProtection="1">
      <alignment horizontal="left" vertical="center" wrapText="1"/>
      <protection locked="0" hidden="1"/>
    </xf>
    <xf numFmtId="0" fontId="0" fillId="0" borderId="89" xfId="0" applyBorder="1" applyAlignment="1" applyProtection="1">
      <alignment horizontal="center" vertical="center" wrapText="1"/>
      <protection locked="0" hidden="1"/>
    </xf>
    <xf numFmtId="0" fontId="0" fillId="0" borderId="130" xfId="0" applyBorder="1" applyAlignment="1" applyProtection="1">
      <alignment horizontal="center" vertical="center" wrapText="1"/>
      <protection locked="0" hidden="1"/>
    </xf>
    <xf numFmtId="0" fontId="0" fillId="0" borderId="51" xfId="0" applyBorder="1" applyAlignment="1" applyProtection="1">
      <alignment horizontal="center" vertical="center" wrapText="1"/>
      <protection locked="0" hidden="1"/>
    </xf>
    <xf numFmtId="0" fontId="0" fillId="0" borderId="132" xfId="0" applyBorder="1" applyAlignment="1" applyProtection="1">
      <alignment horizontal="center" vertical="center" wrapText="1"/>
      <protection locked="0" hidden="1"/>
    </xf>
    <xf numFmtId="0" fontId="0" fillId="0" borderId="133" xfId="0" applyBorder="1" applyAlignment="1" applyProtection="1">
      <alignment horizontal="left" vertical="center" wrapText="1"/>
      <protection locked="0" hidden="1"/>
    </xf>
    <xf numFmtId="4" fontId="5" fillId="0" borderId="16" xfId="0" applyNumberFormat="1" applyFont="1" applyBorder="1" applyAlignment="1" applyProtection="1">
      <alignment horizontal="center"/>
      <protection locked="0" hidden="1"/>
    </xf>
    <xf numFmtId="167" fontId="5" fillId="0" borderId="16" xfId="0" applyNumberFormat="1" applyFont="1" applyBorder="1" applyAlignment="1" applyProtection="1">
      <alignment horizontal="center"/>
      <protection locked="0" hidden="1"/>
    </xf>
    <xf numFmtId="0" fontId="0" fillId="0" borderId="16" xfId="0" applyBorder="1" applyAlignment="1" applyProtection="1">
      <alignment horizontal="left"/>
      <protection locked="0" hidden="1"/>
    </xf>
    <xf numFmtId="2" fontId="5" fillId="0" borderId="16" xfId="0" applyNumberFormat="1" applyFont="1" applyBorder="1" applyAlignment="1" applyProtection="1">
      <alignment horizontal="center"/>
      <protection locked="0" hidden="1"/>
    </xf>
    <xf numFmtId="0" fontId="0" fillId="0" borderId="16" xfId="0" applyBorder="1" applyAlignment="1" applyProtection="1">
      <alignment horizontal="center"/>
      <protection locked="0" hidden="1"/>
    </xf>
    <xf numFmtId="0" fontId="0" fillId="0" borderId="131" xfId="0" applyBorder="1" applyAlignment="1" applyProtection="1">
      <alignment horizontal="center" vertical="center" wrapText="1"/>
      <protection locked="0" hidden="1"/>
    </xf>
    <xf numFmtId="0" fontId="0" fillId="0" borderId="141" xfId="0" applyBorder="1" applyAlignment="1" applyProtection="1">
      <alignment horizontal="center" vertical="center" wrapText="1"/>
      <protection locked="0" hidden="1"/>
    </xf>
    <xf numFmtId="0" fontId="0" fillId="0" borderId="105" xfId="0" applyBorder="1" applyAlignment="1" applyProtection="1">
      <alignment horizontal="center"/>
      <protection locked="0" hidden="1"/>
    </xf>
    <xf numFmtId="167" fontId="0" fillId="0" borderId="16" xfId="0" applyNumberFormat="1" applyBorder="1" applyAlignment="1" applyProtection="1">
      <alignment horizontal="center"/>
      <protection locked="0" hidden="1"/>
    </xf>
    <xf numFmtId="169" fontId="5" fillId="0" borderId="42" xfId="0" applyNumberFormat="1" applyFont="1" applyBorder="1" applyAlignment="1" applyProtection="1">
      <alignment horizontal="right"/>
      <protection locked="0" hidden="1"/>
    </xf>
    <xf numFmtId="167" fontId="5" fillId="0" borderId="9" xfId="0" applyNumberFormat="1" applyFont="1" applyBorder="1" applyAlignment="1" applyProtection="1">
      <alignment horizontal="center"/>
      <protection locked="0" hidden="1"/>
    </xf>
    <xf numFmtId="167" fontId="0" fillId="0" borderId="105" xfId="0" applyNumberFormat="1" applyBorder="1" applyAlignment="1" applyProtection="1">
      <alignment horizontal="center"/>
      <protection locked="0" hidden="1"/>
    </xf>
    <xf numFmtId="4" fontId="5" fillId="0" borderId="105" xfId="0" applyNumberFormat="1" applyFont="1" applyBorder="1" applyAlignment="1" applyProtection="1">
      <alignment horizontal="center"/>
      <protection locked="0" hidden="1"/>
    </xf>
    <xf numFmtId="167" fontId="5" fillId="0" borderId="105" xfId="0" applyNumberFormat="1" applyFont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 vertical="center" wrapText="1"/>
      <protection locked="0" hidden="1"/>
    </xf>
    <xf numFmtId="0" fontId="0" fillId="0" borderId="2" xfId="0" applyBorder="1" applyAlignment="1" applyProtection="1">
      <alignment horizontal="center" vertical="center" wrapText="1"/>
      <protection locked="0" hidden="1"/>
    </xf>
    <xf numFmtId="0" fontId="0" fillId="0" borderId="4" xfId="0" applyBorder="1" applyAlignment="1" applyProtection="1">
      <alignment horizontal="center" vertical="center" wrapText="1"/>
      <protection locked="0" hidden="1"/>
    </xf>
    <xf numFmtId="2" fontId="5" fillId="0" borderId="53" xfId="0" applyNumberFormat="1" applyFon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0" fontId="0" fillId="0" borderId="9" xfId="0" applyBorder="1" applyAlignment="1" applyProtection="1">
      <alignment horizontal="left"/>
      <protection locked="0" hidden="1"/>
    </xf>
    <xf numFmtId="0" fontId="0" fillId="0" borderId="156" xfId="0" applyBorder="1" applyAlignment="1" applyProtection="1">
      <alignment horizontal="center" vertical="center" wrapText="1"/>
      <protection locked="0" hidden="1"/>
    </xf>
    <xf numFmtId="0" fontId="0" fillId="0" borderId="157" xfId="0" applyBorder="1" applyAlignment="1" applyProtection="1">
      <alignment horizontal="left" vertical="center" wrapText="1"/>
      <protection locked="0" hidden="1"/>
    </xf>
    <xf numFmtId="0" fontId="0" fillId="0" borderId="3" xfId="0" applyBorder="1" applyAlignment="1" applyProtection="1">
      <alignment horizontal="left" vertical="center" wrapText="1"/>
      <protection locked="0" hidden="1"/>
    </xf>
    <xf numFmtId="0" fontId="0" fillId="0" borderId="4" xfId="0" applyBorder="1" applyAlignment="1" applyProtection="1">
      <alignment horizontal="left" vertical="center" wrapText="1"/>
      <protection locked="0" hidden="1"/>
    </xf>
    <xf numFmtId="0" fontId="39" fillId="0" borderId="0" xfId="0" applyFont="1" applyAlignment="1" applyProtection="1">
      <alignment horizontal="center"/>
      <protection locked="0" hidden="1"/>
    </xf>
    <xf numFmtId="0" fontId="8" fillId="0" borderId="62" xfId="0" applyFont="1" applyBorder="1" applyAlignment="1" applyProtection="1">
      <alignment horizontal="center" vertical="center"/>
      <protection locked="0" hidden="1"/>
    </xf>
    <xf numFmtId="0" fontId="8" fillId="0" borderId="87" xfId="0" applyFont="1" applyBorder="1" applyAlignment="1" applyProtection="1">
      <alignment horizontal="center" vertical="center"/>
      <protection locked="0" hidden="1"/>
    </xf>
    <xf numFmtId="0" fontId="8" fillId="0" borderId="128" xfId="0" applyFont="1" applyBorder="1" applyAlignment="1" applyProtection="1">
      <alignment horizontal="center" vertical="center"/>
      <protection locked="0" hidden="1"/>
    </xf>
    <xf numFmtId="0" fontId="8" fillId="0" borderId="129" xfId="0" applyFont="1" applyBorder="1" applyAlignment="1" applyProtection="1">
      <alignment horizontal="center" vertical="center"/>
      <protection locked="0" hidden="1"/>
    </xf>
    <xf numFmtId="0" fontId="8" fillId="0" borderId="63" xfId="0" applyFont="1" applyBorder="1" applyAlignment="1" applyProtection="1">
      <alignment horizontal="center" vertical="center"/>
      <protection locked="0" hidden="1"/>
    </xf>
    <xf numFmtId="0" fontId="4" fillId="0" borderId="14" xfId="0" applyFont="1" applyBorder="1" applyAlignment="1" applyProtection="1">
      <alignment horizontal="left"/>
      <protection locked="0" hidden="1"/>
    </xf>
    <xf numFmtId="0" fontId="0" fillId="0" borderId="24" xfId="0" applyBorder="1" applyProtection="1">
      <protection locked="0" hidden="1"/>
    </xf>
    <xf numFmtId="0" fontId="0" fillId="0" borderId="124" xfId="0" applyBorder="1" applyProtection="1">
      <protection locked="0" hidden="1"/>
    </xf>
    <xf numFmtId="169" fontId="5" fillId="0" borderId="24" xfId="0" applyNumberFormat="1" applyFont="1" applyBorder="1" applyAlignment="1" applyProtection="1">
      <alignment horizontal="left"/>
      <protection locked="0" hidden="1"/>
    </xf>
    <xf numFmtId="169" fontId="5" fillId="0" borderId="24" xfId="0" applyNumberFormat="1" applyFont="1" applyBorder="1" applyAlignment="1" applyProtection="1">
      <alignment horizontal="center" shrinkToFit="1"/>
      <protection locked="0" hidden="1"/>
    </xf>
    <xf numFmtId="14" fontId="5" fillId="0" borderId="24" xfId="0" applyNumberFormat="1" applyFont="1" applyBorder="1" applyAlignment="1" applyProtection="1">
      <alignment horizontal="center"/>
      <protection locked="0" hidden="1"/>
    </xf>
    <xf numFmtId="14" fontId="5" fillId="0" borderId="15" xfId="0" applyNumberFormat="1" applyFont="1" applyBorder="1" applyAlignment="1" applyProtection="1">
      <alignment horizontal="center"/>
      <protection locked="0" hidden="1"/>
    </xf>
    <xf numFmtId="0" fontId="5" fillId="0" borderId="24" xfId="0" applyFont="1" applyBorder="1" applyAlignment="1" applyProtection="1">
      <alignment horizontal="left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14" fontId="4" fillId="0" borderId="0" xfId="0" applyNumberFormat="1" applyFont="1" applyAlignment="1" applyProtection="1">
      <alignment horizontal="left"/>
      <protection locked="0" hidden="1"/>
    </xf>
    <xf numFmtId="0" fontId="4" fillId="0" borderId="9" xfId="0" applyFont="1" applyBorder="1" applyAlignment="1" applyProtection="1">
      <alignment horizontal="left"/>
      <protection locked="0" hidden="1"/>
    </xf>
    <xf numFmtId="0" fontId="4" fillId="0" borderId="105" xfId="0" applyFont="1" applyBorder="1" applyAlignment="1" applyProtection="1">
      <alignment horizontal="left"/>
      <protection locked="0" hidden="1"/>
    </xf>
    <xf numFmtId="0" fontId="4" fillId="0" borderId="123" xfId="0" applyFont="1" applyBorder="1" applyAlignment="1" applyProtection="1">
      <alignment horizontal="left"/>
      <protection locked="0" hidden="1"/>
    </xf>
    <xf numFmtId="0" fontId="5" fillId="0" borderId="105" xfId="0" applyFont="1" applyBorder="1" applyAlignment="1" applyProtection="1">
      <alignment horizontal="left"/>
      <protection locked="0" hidden="1"/>
    </xf>
    <xf numFmtId="0" fontId="5" fillId="0" borderId="10" xfId="0" applyFont="1" applyBorder="1" applyAlignment="1" applyProtection="1">
      <alignment horizontal="left"/>
      <protection locked="0" hidden="1"/>
    </xf>
    <xf numFmtId="0" fontId="4" fillId="0" borderId="27" xfId="0" applyFont="1" applyBorder="1" applyAlignment="1" applyProtection="1">
      <alignment horizontal="left"/>
      <protection locked="0" hidden="1"/>
    </xf>
    <xf numFmtId="0" fontId="0" fillId="0" borderId="47" xfId="0" applyBorder="1" applyProtection="1">
      <protection locked="0" hidden="1"/>
    </xf>
    <xf numFmtId="0" fontId="0" fillId="0" borderId="125" xfId="0" applyBorder="1" applyProtection="1">
      <protection locked="0" hidden="1"/>
    </xf>
    <xf numFmtId="0" fontId="5" fillId="0" borderId="47" xfId="0" applyFont="1" applyBorder="1" applyAlignment="1" applyProtection="1">
      <alignment horizontal="left"/>
      <protection locked="0" hidden="1"/>
    </xf>
    <xf numFmtId="0" fontId="0" fillId="0" borderId="47" xfId="0" applyBorder="1" applyAlignment="1" applyProtection="1">
      <alignment horizontal="left"/>
      <protection locked="0" hidden="1"/>
    </xf>
    <xf numFmtId="0" fontId="0" fillId="0" borderId="28" xfId="0" applyBorder="1" applyAlignment="1" applyProtection="1">
      <alignment horizontal="left"/>
      <protection locked="0" hidden="1"/>
    </xf>
    <xf numFmtId="0" fontId="29" fillId="0" borderId="0" xfId="0" applyFont="1" applyAlignment="1" applyProtection="1">
      <alignment horizontal="center" vertical="center"/>
      <protection locked="0" hidden="1"/>
    </xf>
    <xf numFmtId="166" fontId="15" fillId="0" borderId="1" xfId="0" applyNumberFormat="1" applyFont="1" applyBorder="1" applyAlignment="1">
      <alignment horizontal="center"/>
    </xf>
    <xf numFmtId="0" fontId="4" fillId="8" borderId="159" xfId="0" applyFont="1" applyFill="1" applyBorder="1" applyAlignment="1">
      <alignment horizontal="left"/>
    </xf>
    <xf numFmtId="4" fontId="13" fillId="8" borderId="159" xfId="0" applyNumberFormat="1" applyFont="1" applyFill="1" applyBorder="1" applyAlignment="1">
      <alignment horizontal="center"/>
    </xf>
    <xf numFmtId="0" fontId="13" fillId="8" borderId="159" xfId="0" applyFont="1" applyFill="1" applyBorder="1" applyAlignment="1">
      <alignment horizontal="center"/>
    </xf>
    <xf numFmtId="0" fontId="4" fillId="8" borderId="159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4" fillId="8" borderId="19" xfId="0" applyFont="1" applyFill="1" applyBorder="1" applyAlignment="1">
      <alignment horizontal="center"/>
    </xf>
    <xf numFmtId="166" fontId="13" fillId="8" borderId="2" xfId="0" applyNumberFormat="1" applyFont="1" applyFill="1" applyBorder="1" applyAlignment="1">
      <alignment horizontal="center"/>
    </xf>
    <xf numFmtId="166" fontId="13" fillId="8" borderId="4" xfId="0" applyNumberFormat="1" applyFont="1" applyFill="1" applyBorder="1" applyAlignment="1">
      <alignment horizontal="center"/>
    </xf>
    <xf numFmtId="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66" fontId="15" fillId="8" borderId="164" xfId="0" applyNumberFormat="1" applyFont="1" applyFill="1" applyBorder="1" applyAlignment="1">
      <alignment horizontal="center"/>
    </xf>
    <xf numFmtId="166" fontId="15" fillId="8" borderId="165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4" fillId="8" borderId="21" xfId="0" applyFont="1" applyFill="1" applyBorder="1" applyAlignment="1">
      <alignment horizontal="center"/>
    </xf>
    <xf numFmtId="168" fontId="15" fillId="12" borderId="163" xfId="0" applyNumberFormat="1" applyFont="1" applyFill="1" applyBorder="1" applyAlignment="1">
      <alignment horizontal="center"/>
    </xf>
    <xf numFmtId="4" fontId="13" fillId="8" borderId="22" xfId="0" applyNumberFormat="1" applyFont="1" applyFill="1" applyBorder="1" applyAlignment="1">
      <alignment horizontal="center"/>
    </xf>
    <xf numFmtId="0" fontId="13" fillId="8" borderId="23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left"/>
    </xf>
    <xf numFmtId="2" fontId="13" fillId="0" borderId="2" xfId="0" applyNumberFormat="1" applyFont="1" applyBorder="1" applyAlignment="1">
      <alignment horizontal="center"/>
    </xf>
    <xf numFmtId="2" fontId="13" fillId="0" borderId="4" xfId="0" applyNumberFormat="1" applyFont="1" applyBorder="1" applyAlignment="1">
      <alignment horizontal="center"/>
    </xf>
  </cellXfs>
  <cellStyles count="5">
    <cellStyle name="Normal" xfId="0" builtinId="0"/>
    <cellStyle name="Style 1" xfId="1" xr:uid="{726B5C23-38A9-4EB5-A5BB-A2AC6EC1519D}"/>
    <cellStyle name="Style 2" xfId="2" xr:uid="{350DC3AD-3427-40E5-BC03-3B28F1BDC5BC}"/>
    <cellStyle name="Style 3" xfId="3" xr:uid="{13268B1F-B324-4EB6-89E0-9EA544C4C0B8}"/>
    <cellStyle name="Style 4" xfId="4" xr:uid="{C9CBBBB9-7A90-4F26-83C7-54D67742ADFC}"/>
  </cellStyles>
  <dxfs count="0"/>
  <tableStyles count="0" defaultTableStyle="TableStyleMedium2" defaultPivotStyle="PivotStyleLight16"/>
  <colors>
    <mruColors>
      <color rgb="FFEDA8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82550</xdr:colOff>
      <xdr:row>197</xdr:row>
      <xdr:rowOff>101600</xdr:rowOff>
    </xdr:from>
    <xdr:to>
      <xdr:col>19</xdr:col>
      <xdr:colOff>273050</xdr:colOff>
      <xdr:row>198</xdr:row>
      <xdr:rowOff>6350</xdr:rowOff>
    </xdr:to>
    <xdr:sp macro="" textlink="">
      <xdr:nvSpPr>
        <xdr:cNvPr id="2" name="Freeform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/>
        </xdr:cNvSpPr>
      </xdr:nvSpPr>
      <xdr:spPr bwMode="auto">
        <a:xfrm>
          <a:off x="5581650" y="31394400"/>
          <a:ext cx="952500" cy="63500"/>
        </a:xfrm>
        <a:custGeom>
          <a:avLst/>
          <a:gdLst>
            <a:gd name="T0" fmla="*/ 0 w 157"/>
            <a:gd name="T1" fmla="*/ 0 h 20"/>
            <a:gd name="T2" fmla="*/ 2147483646 w 157"/>
            <a:gd name="T3" fmla="*/ 2147483646 h 20"/>
            <a:gd name="T4" fmla="*/ 2147483646 w 157"/>
            <a:gd name="T5" fmla="*/ 2147483646 h 20"/>
            <a:gd name="T6" fmla="*/ 0 60000 65536"/>
            <a:gd name="T7" fmla="*/ 0 60000 65536"/>
            <a:gd name="T8" fmla="*/ 0 60000 65536"/>
            <a:gd name="T9" fmla="*/ 0 w 157"/>
            <a:gd name="T10" fmla="*/ 0 h 20"/>
            <a:gd name="T11" fmla="*/ 157 w 157"/>
            <a:gd name="T12" fmla="*/ 20 h 2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57" h="20">
              <a:moveTo>
                <a:pt x="0" y="0"/>
              </a:moveTo>
              <a:cubicBezTo>
                <a:pt x="23" y="10"/>
                <a:pt x="46" y="20"/>
                <a:pt x="72" y="20"/>
              </a:cubicBezTo>
              <a:cubicBezTo>
                <a:pt x="98" y="20"/>
                <a:pt x="143" y="6"/>
                <a:pt x="157" y="3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57150</xdr:colOff>
      <xdr:row>197</xdr:row>
      <xdr:rowOff>114300</xdr:rowOff>
    </xdr:from>
    <xdr:to>
      <xdr:col>23</xdr:col>
      <xdr:colOff>260350</xdr:colOff>
      <xdr:row>198</xdr:row>
      <xdr:rowOff>44450</xdr:rowOff>
    </xdr:to>
    <xdr:sp macro="" textlink="">
      <xdr:nvSpPr>
        <xdr:cNvPr id="3" name="Freeform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 bwMode="auto">
        <a:xfrm>
          <a:off x="6978650" y="31407100"/>
          <a:ext cx="863600" cy="88900"/>
        </a:xfrm>
        <a:custGeom>
          <a:avLst/>
          <a:gdLst>
            <a:gd name="T0" fmla="*/ 0 w 169"/>
            <a:gd name="T1" fmla="*/ 2147483646 h 10"/>
            <a:gd name="T2" fmla="*/ 2147483646 w 169"/>
            <a:gd name="T3" fmla="*/ 0 h 10"/>
            <a:gd name="T4" fmla="*/ 2147483646 w 169"/>
            <a:gd name="T5" fmla="*/ 2147483646 h 10"/>
            <a:gd name="T6" fmla="*/ 0 60000 65536"/>
            <a:gd name="T7" fmla="*/ 0 60000 65536"/>
            <a:gd name="T8" fmla="*/ 0 60000 65536"/>
            <a:gd name="T9" fmla="*/ 0 w 169"/>
            <a:gd name="T10" fmla="*/ 0 h 10"/>
            <a:gd name="T11" fmla="*/ 169 w 169"/>
            <a:gd name="T12" fmla="*/ 10 h 1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9" h="10">
              <a:moveTo>
                <a:pt x="0" y="10"/>
              </a:moveTo>
              <a:cubicBezTo>
                <a:pt x="32" y="5"/>
                <a:pt x="64" y="0"/>
                <a:pt x="92" y="0"/>
              </a:cubicBezTo>
              <a:cubicBezTo>
                <a:pt x="120" y="0"/>
                <a:pt x="156" y="8"/>
                <a:pt x="169" y="9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24</xdr:col>
      <xdr:colOff>57150</xdr:colOff>
      <xdr:row>77</xdr:row>
      <xdr:rowOff>57150</xdr:rowOff>
    </xdr:from>
    <xdr:to>
      <xdr:col>24</xdr:col>
      <xdr:colOff>279400</xdr:colOff>
      <xdr:row>77</xdr:row>
      <xdr:rowOff>158750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7969250" y="11499850"/>
          <a:ext cx="222250" cy="101600"/>
        </a:xfrm>
        <a:prstGeom prst="rightArrow">
          <a:avLst>
            <a:gd name="adj1" fmla="val 50000"/>
            <a:gd name="adj2" fmla="val 5468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69850</xdr:colOff>
      <xdr:row>86</xdr:row>
      <xdr:rowOff>50800</xdr:rowOff>
    </xdr:from>
    <xdr:to>
      <xdr:col>24</xdr:col>
      <xdr:colOff>158750</xdr:colOff>
      <xdr:row>86</xdr:row>
      <xdr:rowOff>152400</xdr:rowOff>
    </xdr:to>
    <xdr:sp macro="" textlink="">
      <xdr:nvSpPr>
        <xdr:cNvPr id="5" name="AutoShape 4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7651750" y="13011150"/>
          <a:ext cx="419100" cy="101600"/>
        </a:xfrm>
        <a:prstGeom prst="rightArrow">
          <a:avLst>
            <a:gd name="adj1" fmla="val 50000"/>
            <a:gd name="adj2" fmla="val 10312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267280</xdr:colOff>
      <xdr:row>3</xdr:row>
      <xdr:rowOff>151534</xdr:rowOff>
    </xdr:from>
    <xdr:to>
      <xdr:col>4</xdr:col>
      <xdr:colOff>310286</xdr:colOff>
      <xdr:row>5</xdr:row>
      <xdr:rowOff>144318</xdr:rowOff>
    </xdr:to>
    <xdr:sp macro="" textlink="">
      <xdr:nvSpPr>
        <xdr:cNvPr id="6" name="AutoShape 8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 rot="19968807">
          <a:off x="1061030" y="598920"/>
          <a:ext cx="374938" cy="252557"/>
        </a:xfrm>
        <a:prstGeom prst="rightArrow">
          <a:avLst>
            <a:gd name="adj1" fmla="val 50000"/>
            <a:gd name="adj2" fmla="val 5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26</xdr:col>
      <xdr:colOff>50800</xdr:colOff>
      <xdr:row>111</xdr:row>
      <xdr:rowOff>38100</xdr:rowOff>
    </xdr:from>
    <xdr:to>
      <xdr:col>26</xdr:col>
      <xdr:colOff>292100</xdr:colOff>
      <xdr:row>111</xdr:row>
      <xdr:rowOff>139700</xdr:rowOff>
    </xdr:to>
    <xdr:sp macro="" textlink="">
      <xdr:nvSpPr>
        <xdr:cNvPr id="7" name="AutoShape 8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623300" y="17411700"/>
          <a:ext cx="241300" cy="101600"/>
        </a:xfrm>
        <a:prstGeom prst="rightArrow">
          <a:avLst>
            <a:gd name="adj1" fmla="val 50000"/>
            <a:gd name="adj2" fmla="val 5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311150</xdr:colOff>
          <xdr:row>0</xdr:row>
          <xdr:rowOff>12700</xdr:rowOff>
        </xdr:from>
        <xdr:to>
          <xdr:col>35</xdr:col>
          <xdr:colOff>12700</xdr:colOff>
          <xdr:row>1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</xdr:colOff>
          <xdr:row>0</xdr:row>
          <xdr:rowOff>0</xdr:rowOff>
        </xdr:from>
        <xdr:to>
          <xdr:col>31</xdr:col>
          <xdr:colOff>0</xdr:colOff>
          <xdr:row>1</xdr:row>
          <xdr:rowOff>158750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2</xdr:row>
          <xdr:rowOff>19050</xdr:rowOff>
        </xdr:from>
        <xdr:to>
          <xdr:col>33</xdr:col>
          <xdr:colOff>133350</xdr:colOff>
          <xdr:row>6</xdr:row>
          <xdr:rowOff>25400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30</xdr:col>
      <xdr:colOff>20614</xdr:colOff>
      <xdr:row>3</xdr:row>
      <xdr:rowOff>73433</xdr:rowOff>
    </xdr:from>
    <xdr:to>
      <xdr:col>30</xdr:col>
      <xdr:colOff>262356</xdr:colOff>
      <xdr:row>5</xdr:row>
      <xdr:rowOff>59986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65159" y="520819"/>
          <a:ext cx="241742" cy="246326"/>
        </a:xfrm>
        <a:prstGeom prst="rect">
          <a:avLst/>
        </a:prstGeom>
      </xdr:spPr>
    </xdr:pic>
    <xdr:clientData/>
  </xdr:twoCellAnchor>
  <xdr:twoCellAnchor editAs="oneCell">
    <xdr:from>
      <xdr:col>2</xdr:col>
      <xdr:colOff>209261</xdr:colOff>
      <xdr:row>0</xdr:row>
      <xdr:rowOff>13458</xdr:rowOff>
    </xdr:from>
    <xdr:to>
      <xdr:col>3</xdr:col>
      <xdr:colOff>267054</xdr:colOff>
      <xdr:row>2</xdr:row>
      <xdr:rowOff>41580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079" y="13458"/>
          <a:ext cx="389725" cy="396133"/>
        </a:xfrm>
        <a:prstGeom prst="rect">
          <a:avLst/>
        </a:prstGeom>
      </xdr:spPr>
    </xdr:pic>
    <xdr:clientData/>
  </xdr:twoCellAnchor>
  <xdr:twoCellAnchor editAs="oneCell">
    <xdr:from>
      <xdr:col>35</xdr:col>
      <xdr:colOff>14957</xdr:colOff>
      <xdr:row>0</xdr:row>
      <xdr:rowOff>0</xdr:rowOff>
    </xdr:from>
    <xdr:to>
      <xdr:col>36</xdr:col>
      <xdr:colOff>192452</xdr:colOff>
      <xdr:row>3</xdr:row>
      <xdr:rowOff>68662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9162" y="0"/>
          <a:ext cx="509427" cy="516048"/>
        </a:xfrm>
        <a:prstGeom prst="rect">
          <a:avLst/>
        </a:prstGeom>
      </xdr:spPr>
    </xdr:pic>
    <xdr:clientData/>
  </xdr:twoCellAnchor>
  <xdr:twoCellAnchor editAs="oneCell">
    <xdr:from>
      <xdr:col>26</xdr:col>
      <xdr:colOff>259466</xdr:colOff>
      <xdr:row>0</xdr:row>
      <xdr:rowOff>29406</xdr:rowOff>
    </xdr:from>
    <xdr:to>
      <xdr:col>28</xdr:col>
      <xdr:colOff>49338</xdr:colOff>
      <xdr:row>3</xdr:row>
      <xdr:rowOff>98068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0830" y="29406"/>
          <a:ext cx="511463" cy="516048"/>
        </a:xfrm>
        <a:prstGeom prst="rect">
          <a:avLst/>
        </a:prstGeom>
      </xdr:spPr>
    </xdr:pic>
    <xdr:clientData/>
  </xdr:twoCellAnchor>
  <xdr:twoCellAnchor>
    <xdr:from>
      <xdr:col>31</xdr:col>
      <xdr:colOff>98713</xdr:colOff>
      <xdr:row>0</xdr:row>
      <xdr:rowOff>103332</xdr:rowOff>
    </xdr:from>
    <xdr:to>
      <xdr:col>31</xdr:col>
      <xdr:colOff>200313</xdr:colOff>
      <xdr:row>1</xdr:row>
      <xdr:rowOff>157018</xdr:rowOff>
    </xdr:to>
    <xdr:sp macro="" textlink="">
      <xdr:nvSpPr>
        <xdr:cNvPr id="15" name="AutoShape 8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rrowheads="1"/>
        </xdr:cNvSpPr>
      </xdr:nvSpPr>
      <xdr:spPr bwMode="auto">
        <a:xfrm rot="5400000">
          <a:off x="10816647" y="173182"/>
          <a:ext cx="241300" cy="101600"/>
        </a:xfrm>
        <a:prstGeom prst="rightArrow">
          <a:avLst>
            <a:gd name="adj1" fmla="val 50000"/>
            <a:gd name="adj2" fmla="val 5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171450</xdr:colOff>
          <xdr:row>7</xdr:row>
          <xdr:rowOff>139700</xdr:rowOff>
        </xdr:from>
        <xdr:to>
          <xdr:col>33</xdr:col>
          <xdr:colOff>146050</xdr:colOff>
          <xdr:row>11</xdr:row>
          <xdr:rowOff>139700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8000" tIns="154800" rIns="234000" bIns="15480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108030</xdr:colOff>
      <xdr:row>69</xdr:row>
      <xdr:rowOff>142995</xdr:rowOff>
    </xdr:from>
    <xdr:to>
      <xdr:col>18</xdr:col>
      <xdr:colOff>46219</xdr:colOff>
      <xdr:row>69</xdr:row>
      <xdr:rowOff>142995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108030" y="12585780"/>
          <a:ext cx="6167619" cy="0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190982</xdr:colOff>
      <xdr:row>68</xdr:row>
      <xdr:rowOff>42763</xdr:rowOff>
    </xdr:from>
    <xdr:to>
      <xdr:col>3</xdr:col>
      <xdr:colOff>192912</xdr:colOff>
      <xdr:row>70</xdr:row>
      <xdr:rowOff>72343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1034969" y="12437320"/>
          <a:ext cx="1930" cy="222491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57150</xdr:colOff>
      <xdr:row>8</xdr:row>
      <xdr:rowOff>146050</xdr:rowOff>
    </xdr:from>
    <xdr:to>
      <xdr:col>18</xdr:col>
      <xdr:colOff>0</xdr:colOff>
      <xdr:row>10</xdr:row>
      <xdr:rowOff>0</xdr:rowOff>
    </xdr:to>
    <xdr:sp macro="" textlink="">
      <xdr:nvSpPr>
        <xdr:cNvPr id="4" name="AutoShape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905000" y="1517650"/>
          <a:ext cx="4248150" cy="2794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0</xdr:row>
      <xdr:rowOff>19050</xdr:rowOff>
    </xdr:from>
    <xdr:to>
      <xdr:col>5</xdr:col>
      <xdr:colOff>12700</xdr:colOff>
      <xdr:row>4</xdr:row>
      <xdr:rowOff>152400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"/>
          <a:ext cx="1428750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57150</xdr:colOff>
      <xdr:row>8</xdr:row>
      <xdr:rowOff>146050</xdr:rowOff>
    </xdr:from>
    <xdr:to>
      <xdr:col>18</xdr:col>
      <xdr:colOff>0</xdr:colOff>
      <xdr:row>10</xdr:row>
      <xdr:rowOff>0</xdr:rowOff>
    </xdr:to>
    <xdr:sp macro="" textlink="">
      <xdr:nvSpPr>
        <xdr:cNvPr id="9" name="AutoShape 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1917251" y="1531505"/>
          <a:ext cx="4298052" cy="283697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0</xdr:row>
      <xdr:rowOff>19050</xdr:rowOff>
    </xdr:from>
    <xdr:to>
      <xdr:col>5</xdr:col>
      <xdr:colOff>12700</xdr:colOff>
      <xdr:row>4</xdr:row>
      <xdr:rowOff>152400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"/>
          <a:ext cx="1428750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8</xdr:row>
      <xdr:rowOff>152400</xdr:rowOff>
    </xdr:from>
    <xdr:to>
      <xdr:col>12</xdr:col>
      <xdr:colOff>387350</xdr:colOff>
      <xdr:row>10</xdr:row>
      <xdr:rowOff>12700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612900" y="1600200"/>
          <a:ext cx="3797300" cy="2794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2</xdr:col>
      <xdr:colOff>273050</xdr:colOff>
      <xdr:row>60</xdr:row>
      <xdr:rowOff>6350</xdr:rowOff>
    </xdr:from>
    <xdr:to>
      <xdr:col>15</xdr:col>
      <xdr:colOff>419100</xdr:colOff>
      <xdr:row>60</xdr:row>
      <xdr:rowOff>6350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 flipV="1">
          <a:off x="1073150" y="10198100"/>
          <a:ext cx="5683250" cy="0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58</xdr:row>
      <xdr:rowOff>95250</xdr:rowOff>
    </xdr:from>
    <xdr:to>
      <xdr:col>2</xdr:col>
      <xdr:colOff>361950</xdr:colOff>
      <xdr:row>60</xdr:row>
      <xdr:rowOff>69850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1162050" y="10026650"/>
          <a:ext cx="0" cy="234950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228600</xdr:colOff>
      <xdr:row>4</xdr:row>
      <xdr:rowOff>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287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228600</xdr:colOff>
      <xdr:row>4</xdr:row>
      <xdr:rowOff>101600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35100" cy="749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88900</xdr:colOff>
      <xdr:row>9</xdr:row>
      <xdr:rowOff>0</xdr:rowOff>
    </xdr:from>
    <xdr:to>
      <xdr:col>16</xdr:col>
      <xdr:colOff>139700</xdr:colOff>
      <xdr:row>10</xdr:row>
      <xdr:rowOff>6350</xdr:rowOff>
    </xdr:to>
    <xdr:sp macro="" textlink="">
      <xdr:nvSpPr>
        <xdr:cNvPr id="3" name="AutoShape 1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2006600" y="1485900"/>
          <a:ext cx="3390900" cy="2540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260350</xdr:colOff>
      <xdr:row>70</xdr:row>
      <xdr:rowOff>6350</xdr:rowOff>
    </xdr:from>
    <xdr:to>
      <xdr:col>21</xdr:col>
      <xdr:colOff>209550</xdr:colOff>
      <xdr:row>70</xdr:row>
      <xdr:rowOff>6350</xdr:rowOff>
    </xdr:to>
    <xdr:sp macro="" textlink="">
      <xdr:nvSpPr>
        <xdr:cNvPr id="4" name="Lin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 flipV="1">
          <a:off x="1136650" y="11772900"/>
          <a:ext cx="6134100" cy="0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361950</xdr:colOff>
      <xdr:row>68</xdr:row>
      <xdr:rowOff>95250</xdr:rowOff>
    </xdr:from>
    <xdr:to>
      <xdr:col>3</xdr:col>
      <xdr:colOff>361950</xdr:colOff>
      <xdr:row>70</xdr:row>
      <xdr:rowOff>69850</xdr:rowOff>
    </xdr:to>
    <xdr:sp macro="" textlink="">
      <xdr:nvSpPr>
        <xdr:cNvPr id="5" name="Line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1206500" y="11601450"/>
          <a:ext cx="0" cy="234950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228600</xdr:colOff>
      <xdr:row>4</xdr:row>
      <xdr:rowOff>101600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35100" cy="749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88900</xdr:colOff>
      <xdr:row>9</xdr:row>
      <xdr:rowOff>0</xdr:rowOff>
    </xdr:from>
    <xdr:to>
      <xdr:col>16</xdr:col>
      <xdr:colOff>139700</xdr:colOff>
      <xdr:row>10</xdr:row>
      <xdr:rowOff>6350</xdr:rowOff>
    </xdr:to>
    <xdr:sp macro="" textlink="">
      <xdr:nvSpPr>
        <xdr:cNvPr id="7" name="AutoShape 1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rrowheads="1"/>
        </xdr:cNvSpPr>
      </xdr:nvSpPr>
      <xdr:spPr bwMode="auto">
        <a:xfrm>
          <a:off x="2006600" y="1485900"/>
          <a:ext cx="3390900" cy="25400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ffectLst>
          <a:prstShdw prst="shdw17" dist="17961" dir="2700000">
            <a:srgbClr val="000000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260350</xdr:colOff>
      <xdr:row>70</xdr:row>
      <xdr:rowOff>6350</xdr:rowOff>
    </xdr:from>
    <xdr:to>
      <xdr:col>21</xdr:col>
      <xdr:colOff>209550</xdr:colOff>
      <xdr:row>70</xdr:row>
      <xdr:rowOff>6350</xdr:rowOff>
    </xdr:to>
    <xdr:sp macro="" textlink="">
      <xdr:nvSpPr>
        <xdr:cNvPr id="8" name="Lin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1136650" y="11772900"/>
          <a:ext cx="6134100" cy="0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3</xdr:col>
      <xdr:colOff>361950</xdr:colOff>
      <xdr:row>68</xdr:row>
      <xdr:rowOff>95250</xdr:rowOff>
    </xdr:from>
    <xdr:to>
      <xdr:col>3</xdr:col>
      <xdr:colOff>361950</xdr:colOff>
      <xdr:row>70</xdr:row>
      <xdr:rowOff>69850</xdr:rowOff>
    </xdr:to>
    <xdr:sp macro="" textlink="">
      <xdr:nvSpPr>
        <xdr:cNvPr id="9" name="Line 3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>
          <a:off x="1206500" y="11601450"/>
          <a:ext cx="0" cy="234950"/>
        </a:xfrm>
        <a:prstGeom prst="line">
          <a:avLst/>
        </a:prstGeom>
        <a:noFill/>
        <a:ln w="9525">
          <a:solidFill>
            <a:srgbClr val="FF66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</xdr:colOff>
          <xdr:row>2</xdr:row>
          <xdr:rowOff>12700</xdr:rowOff>
        </xdr:from>
        <xdr:to>
          <xdr:col>14</xdr:col>
          <xdr:colOff>203200</xdr:colOff>
          <xdr:row>4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</xdr:row>
          <xdr:rowOff>107950</xdr:rowOff>
        </xdr:from>
        <xdr:to>
          <xdr:col>16</xdr:col>
          <xdr:colOff>552450</xdr:colOff>
          <xdr:row>3</xdr:row>
          <xdr:rowOff>165100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50800</xdr:colOff>
      <xdr:row>10</xdr:row>
      <xdr:rowOff>57150</xdr:rowOff>
    </xdr:from>
    <xdr:to>
      <xdr:col>29</xdr:col>
      <xdr:colOff>292100</xdr:colOff>
      <xdr:row>10</xdr:row>
      <xdr:rowOff>158750</xdr:rowOff>
    </xdr:to>
    <xdr:sp macro="" textlink="">
      <xdr:nvSpPr>
        <xdr:cNvPr id="3" name="AutoShape 8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8623300" y="15474950"/>
          <a:ext cx="241300" cy="101600"/>
        </a:xfrm>
        <a:prstGeom prst="rightArrow">
          <a:avLst>
            <a:gd name="adj1" fmla="val 50000"/>
            <a:gd name="adj2" fmla="val 5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cham_garroum/Desktop/VBAfiles/vb/DS%20SANS%20MOT%20DE%20PASS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cham_garroum/Desktop/VBAfiles/Traite_Cass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cham_garroum/Desktop/VBAfiles/AL%20MONDIR/DS_Cod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Draft Survey Report"/>
      <sheetName val="Details (P2)"/>
      <sheetName val="Deductibles (P3)"/>
    </sheetNames>
    <definedNames>
      <definedName name="New_App"/>
      <definedName name="ShowUi"/>
    </definedNames>
    <sheetDataSet>
      <sheetData sheetId="0">
        <row r="6">
          <cell r="B6" t="str">
            <v xml:space="preserve">Vessel </v>
          </cell>
        </row>
        <row r="8">
          <cell r="B8" t="str">
            <v>Cargo</v>
          </cell>
        </row>
        <row r="12">
          <cell r="B12" t="str">
            <v>Port of Loading</v>
          </cell>
        </row>
        <row r="14">
          <cell r="B14" t="str">
            <v>Port of Discharge</v>
          </cell>
        </row>
        <row r="126">
          <cell r="K126">
            <v>1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euil1"/>
      <sheetName val="Feuil2"/>
      <sheetName val="Feuil3"/>
      <sheetName val="Macro1"/>
      <sheetName val="Feuil4"/>
      <sheetName val="Traite_Casse"/>
    </sheetNames>
    <definedNames>
      <definedName name="Draft_Calculation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S"/>
      <sheetName val="DS_Coding"/>
    </sheetNames>
    <definedNames>
      <definedName name="Clear_Dat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24812-BB34-4E65-A9BC-5B3BB992936D}">
  <sheetPr codeName="Feuil5"/>
  <dimension ref="A1:S20"/>
  <sheetViews>
    <sheetView workbookViewId="0">
      <selection sqref="A1:XFD1"/>
    </sheetView>
  </sheetViews>
  <sheetFormatPr baseColWidth="10" defaultRowHeight="14.5"/>
  <cols>
    <col min="1" max="1" width="12.90625" bestFit="1" customWidth="1"/>
    <col min="3" max="3" width="11.08984375" bestFit="1" customWidth="1"/>
    <col min="4" max="4" width="13" bestFit="1" customWidth="1"/>
    <col min="5" max="5" width="16.453125" bestFit="1" customWidth="1"/>
    <col min="12" max="12" width="11.6328125" bestFit="1" customWidth="1"/>
    <col min="16" max="16" width="12.26953125" bestFit="1" customWidth="1"/>
  </cols>
  <sheetData>
    <row r="1" spans="1:19">
      <c r="A1" s="3" t="s">
        <v>31</v>
      </c>
      <c r="B1" s="3" t="s">
        <v>32</v>
      </c>
      <c r="C1" s="3" t="s">
        <v>33</v>
      </c>
      <c r="D1" s="3" t="s">
        <v>34</v>
      </c>
      <c r="E1" s="3" t="s">
        <v>35</v>
      </c>
      <c r="F1" s="3" t="s">
        <v>36</v>
      </c>
      <c r="G1" s="3" t="s">
        <v>37</v>
      </c>
      <c r="H1" s="3" t="s">
        <v>5</v>
      </c>
      <c r="I1" s="3" t="s">
        <v>38</v>
      </c>
      <c r="J1" s="3" t="s">
        <v>39</v>
      </c>
      <c r="K1" s="3" t="s">
        <v>40</v>
      </c>
      <c r="L1" s="3" t="s">
        <v>41</v>
      </c>
      <c r="M1" s="3" t="s">
        <v>42</v>
      </c>
      <c r="N1" s="3" t="s">
        <v>43</v>
      </c>
      <c r="O1" s="3" t="s">
        <v>44</v>
      </c>
      <c r="P1" s="3" t="s">
        <v>288</v>
      </c>
      <c r="Q1" s="3" t="s">
        <v>289</v>
      </c>
      <c r="R1" s="3" t="s">
        <v>290</v>
      </c>
      <c r="S1" s="3" t="s">
        <v>291</v>
      </c>
    </row>
    <row r="2" spans="1:19">
      <c r="A2" t="s">
        <v>45</v>
      </c>
      <c r="B2">
        <v>98432166</v>
      </c>
      <c r="C2" t="s">
        <v>46</v>
      </c>
      <c r="D2" t="s">
        <v>47</v>
      </c>
      <c r="E2" t="s">
        <v>48</v>
      </c>
      <c r="F2" s="4">
        <v>44174</v>
      </c>
      <c r="G2">
        <v>2</v>
      </c>
      <c r="H2" t="s">
        <v>49</v>
      </c>
      <c r="I2" t="s">
        <v>50</v>
      </c>
      <c r="J2">
        <v>3244</v>
      </c>
      <c r="K2">
        <v>1764</v>
      </c>
      <c r="L2">
        <v>5045</v>
      </c>
      <c r="M2" t="s">
        <v>51</v>
      </c>
      <c r="N2">
        <v>1908</v>
      </c>
      <c r="O2">
        <v>25</v>
      </c>
      <c r="P2">
        <v>3</v>
      </c>
      <c r="Q2">
        <v>22</v>
      </c>
      <c r="R2">
        <v>2</v>
      </c>
      <c r="S2">
        <v>15.4</v>
      </c>
    </row>
    <row r="3" spans="1:19">
      <c r="A3" t="s">
        <v>292</v>
      </c>
      <c r="B3">
        <v>9312399</v>
      </c>
      <c r="C3" t="s">
        <v>293</v>
      </c>
      <c r="D3" t="s">
        <v>294</v>
      </c>
      <c r="E3" t="s">
        <v>295</v>
      </c>
      <c r="F3" t="s">
        <v>296</v>
      </c>
      <c r="G3">
        <v>1.9910000000000001</v>
      </c>
      <c r="H3">
        <v>100.21</v>
      </c>
      <c r="I3">
        <v>110.21</v>
      </c>
      <c r="J3">
        <v>1980</v>
      </c>
      <c r="K3">
        <v>1233</v>
      </c>
      <c r="L3">
        <v>5043.8100000000004</v>
      </c>
      <c r="M3">
        <v>6.91</v>
      </c>
      <c r="N3">
        <v>1890.31</v>
      </c>
      <c r="O3">
        <v>34</v>
      </c>
      <c r="P3">
        <v>2</v>
      </c>
      <c r="Q3">
        <v>25</v>
      </c>
      <c r="R3">
        <v>2</v>
      </c>
      <c r="S3">
        <v>14</v>
      </c>
    </row>
    <row r="4" spans="1:19">
      <c r="A4" t="s">
        <v>292</v>
      </c>
      <c r="B4">
        <v>9312399</v>
      </c>
      <c r="C4" t="s">
        <v>293</v>
      </c>
      <c r="D4" t="s">
        <v>294</v>
      </c>
      <c r="E4" t="s">
        <v>295</v>
      </c>
      <c r="F4" t="s">
        <v>296</v>
      </c>
      <c r="G4">
        <v>1.9910000000000001</v>
      </c>
      <c r="H4">
        <v>100.21</v>
      </c>
      <c r="I4">
        <v>110.21</v>
      </c>
      <c r="J4">
        <v>1980</v>
      </c>
      <c r="K4">
        <v>1233</v>
      </c>
      <c r="L4">
        <v>5043.8100000000004</v>
      </c>
      <c r="M4">
        <v>6.91</v>
      </c>
      <c r="N4">
        <v>1890.31</v>
      </c>
      <c r="O4">
        <v>34</v>
      </c>
      <c r="P4">
        <v>2</v>
      </c>
      <c r="Q4">
        <v>25</v>
      </c>
      <c r="R4">
        <v>2</v>
      </c>
      <c r="S4">
        <v>14</v>
      </c>
    </row>
    <row r="5" spans="1:19">
      <c r="A5" t="s">
        <v>298</v>
      </c>
      <c r="B5">
        <v>9345132</v>
      </c>
      <c r="C5" t="s">
        <v>299</v>
      </c>
      <c r="D5" t="s">
        <v>300</v>
      </c>
      <c r="E5" t="s">
        <v>301</v>
      </c>
      <c r="F5" t="s">
        <v>302</v>
      </c>
      <c r="G5">
        <v>0.52200000000000002</v>
      </c>
      <c r="H5">
        <v>84.89</v>
      </c>
      <c r="I5">
        <v>99.88</v>
      </c>
      <c r="J5">
        <v>1432</v>
      </c>
      <c r="K5">
        <v>1110</v>
      </c>
      <c r="L5">
        <v>4000</v>
      </c>
      <c r="M5">
        <v>6.09</v>
      </c>
      <c r="N5">
        <v>1890.511</v>
      </c>
      <c r="O5">
        <v>65</v>
      </c>
      <c r="P5">
        <v>3</v>
      </c>
      <c r="Q5">
        <v>22</v>
      </c>
      <c r="R5">
        <v>2</v>
      </c>
      <c r="S5">
        <v>15</v>
      </c>
    </row>
    <row r="6" spans="1:19">
      <c r="A6" t="s">
        <v>298</v>
      </c>
      <c r="B6">
        <v>9345132</v>
      </c>
      <c r="C6" t="s">
        <v>299</v>
      </c>
      <c r="D6" t="s">
        <v>300</v>
      </c>
      <c r="E6" t="s">
        <v>301</v>
      </c>
      <c r="F6" t="s">
        <v>302</v>
      </c>
      <c r="G6">
        <v>0.52200000000000002</v>
      </c>
      <c r="H6">
        <v>84.89</v>
      </c>
      <c r="I6">
        <v>99.88</v>
      </c>
      <c r="J6">
        <v>1432</v>
      </c>
      <c r="K6">
        <v>1110</v>
      </c>
      <c r="L6">
        <v>4000</v>
      </c>
      <c r="M6">
        <v>6.09</v>
      </c>
      <c r="N6">
        <v>1890.511</v>
      </c>
      <c r="O6">
        <v>65</v>
      </c>
      <c r="P6">
        <v>3</v>
      </c>
      <c r="Q6">
        <v>22</v>
      </c>
      <c r="R6">
        <v>2</v>
      </c>
      <c r="S6">
        <v>15</v>
      </c>
    </row>
    <row r="7" spans="1:19">
      <c r="A7" t="s">
        <v>298</v>
      </c>
      <c r="B7">
        <v>9345132</v>
      </c>
      <c r="C7" t="s">
        <v>299</v>
      </c>
      <c r="D7" t="s">
        <v>300</v>
      </c>
      <c r="E7" t="s">
        <v>301</v>
      </c>
      <c r="F7" t="s">
        <v>302</v>
      </c>
      <c r="G7">
        <v>0.52200000000000002</v>
      </c>
      <c r="H7">
        <v>84.89</v>
      </c>
      <c r="I7">
        <v>99.88</v>
      </c>
      <c r="J7">
        <v>1432</v>
      </c>
      <c r="K7">
        <v>1110</v>
      </c>
      <c r="L7">
        <v>4000</v>
      </c>
      <c r="M7">
        <v>6.09</v>
      </c>
      <c r="N7">
        <v>1890.511</v>
      </c>
      <c r="O7">
        <v>65</v>
      </c>
      <c r="P7">
        <v>3</v>
      </c>
      <c r="Q7">
        <v>22</v>
      </c>
      <c r="R7">
        <v>2</v>
      </c>
      <c r="S7">
        <v>15</v>
      </c>
    </row>
    <row r="8" spans="1:19">
      <c r="A8" t="s">
        <v>298</v>
      </c>
      <c r="B8">
        <v>9345132</v>
      </c>
      <c r="C8" t="s">
        <v>299</v>
      </c>
      <c r="D8" t="s">
        <v>300</v>
      </c>
      <c r="E8" t="s">
        <v>301</v>
      </c>
      <c r="F8" t="s">
        <v>302</v>
      </c>
      <c r="G8">
        <v>0.52200000000000002</v>
      </c>
      <c r="H8">
        <v>84.89</v>
      </c>
      <c r="I8">
        <v>99.88</v>
      </c>
      <c r="J8">
        <v>1432</v>
      </c>
      <c r="K8">
        <v>1110</v>
      </c>
      <c r="L8">
        <v>4000</v>
      </c>
      <c r="M8">
        <v>6.09</v>
      </c>
      <c r="N8">
        <v>1890.511</v>
      </c>
      <c r="O8">
        <v>65</v>
      </c>
      <c r="P8">
        <v>3</v>
      </c>
      <c r="Q8">
        <v>22</v>
      </c>
      <c r="R8">
        <v>2</v>
      </c>
      <c r="S8">
        <v>15</v>
      </c>
    </row>
    <row r="9" spans="1:19">
      <c r="A9" t="s">
        <v>303</v>
      </c>
      <c r="B9">
        <v>982212</v>
      </c>
      <c r="C9" t="s">
        <v>304</v>
      </c>
      <c r="D9" t="s">
        <v>305</v>
      </c>
      <c r="E9" t="s">
        <v>306</v>
      </c>
      <c r="F9" t="s">
        <v>297</v>
      </c>
      <c r="G9">
        <v>0.222</v>
      </c>
      <c r="H9">
        <v>89.99</v>
      </c>
      <c r="I9">
        <v>99.98</v>
      </c>
      <c r="J9">
        <v>1542</v>
      </c>
      <c r="K9">
        <v>1111</v>
      </c>
      <c r="L9">
        <v>4511</v>
      </c>
      <c r="M9">
        <v>6.98</v>
      </c>
      <c r="N9">
        <v>1809</v>
      </c>
      <c r="O9">
        <v>24</v>
      </c>
      <c r="P9">
        <v>5</v>
      </c>
      <c r="Q9">
        <v>28</v>
      </c>
      <c r="R9">
        <v>2</v>
      </c>
      <c r="S9">
        <v>15</v>
      </c>
    </row>
    <row r="10" spans="1:19">
      <c r="A10" t="s">
        <v>307</v>
      </c>
      <c r="B10">
        <v>9212399</v>
      </c>
      <c r="C10" t="s">
        <v>308</v>
      </c>
      <c r="D10" t="s">
        <v>309</v>
      </c>
      <c r="E10" t="s">
        <v>310</v>
      </c>
      <c r="F10" t="s">
        <v>297</v>
      </c>
      <c r="G10">
        <v>1.98</v>
      </c>
      <c r="H10">
        <v>98.21</v>
      </c>
      <c r="I10">
        <v>102.21</v>
      </c>
      <c r="J10">
        <v>2198</v>
      </c>
      <c r="K10">
        <v>1721</v>
      </c>
      <c r="L10">
        <v>5428.92</v>
      </c>
      <c r="M10">
        <v>6.2309999999999999</v>
      </c>
      <c r="N10">
        <v>1896.51</v>
      </c>
      <c r="O10">
        <v>65</v>
      </c>
      <c r="P10">
        <v>5</v>
      </c>
      <c r="Q10">
        <v>20</v>
      </c>
      <c r="R10">
        <v>2</v>
      </c>
      <c r="S10">
        <v>18</v>
      </c>
    </row>
    <row r="11" spans="1:19">
      <c r="A11" t="s">
        <v>307</v>
      </c>
      <c r="B11">
        <v>9212399</v>
      </c>
      <c r="C11" t="s">
        <v>308</v>
      </c>
      <c r="D11" t="s">
        <v>309</v>
      </c>
      <c r="E11" t="s">
        <v>310</v>
      </c>
      <c r="F11" t="s">
        <v>297</v>
      </c>
      <c r="G11">
        <v>1.98</v>
      </c>
      <c r="H11">
        <v>98.21</v>
      </c>
      <c r="I11">
        <v>102.21</v>
      </c>
      <c r="J11">
        <v>2198</v>
      </c>
      <c r="K11">
        <v>1721</v>
      </c>
      <c r="L11">
        <v>5428.92</v>
      </c>
      <c r="M11">
        <v>6.2309999999999999</v>
      </c>
      <c r="N11">
        <v>1896.51</v>
      </c>
      <c r="O11">
        <v>65</v>
      </c>
      <c r="P11">
        <v>5</v>
      </c>
      <c r="Q11">
        <v>20</v>
      </c>
      <c r="R11">
        <v>2</v>
      </c>
      <c r="S11">
        <v>18</v>
      </c>
    </row>
    <row r="12" spans="1:19">
      <c r="A12" t="s">
        <v>311</v>
      </c>
      <c r="B12">
        <v>9662382</v>
      </c>
      <c r="C12" t="s">
        <v>312</v>
      </c>
      <c r="D12" t="s">
        <v>313</v>
      </c>
      <c r="E12" t="s">
        <v>314</v>
      </c>
      <c r="F12" t="s">
        <v>296</v>
      </c>
      <c r="G12">
        <v>1.98</v>
      </c>
      <c r="H12">
        <v>84.97</v>
      </c>
      <c r="I12">
        <v>97.77</v>
      </c>
      <c r="J12">
        <v>3845</v>
      </c>
      <c r="K12">
        <v>1590</v>
      </c>
      <c r="L12">
        <v>5015</v>
      </c>
      <c r="M12">
        <v>6.1319999999999997</v>
      </c>
      <c r="N12">
        <v>1837.279</v>
      </c>
      <c r="O12">
        <v>55</v>
      </c>
      <c r="P12">
        <v>3</v>
      </c>
      <c r="Q12">
        <v>23</v>
      </c>
      <c r="R12">
        <v>2</v>
      </c>
      <c r="S12">
        <v>17</v>
      </c>
    </row>
    <row r="13" spans="1:19">
      <c r="A13" t="s">
        <v>311</v>
      </c>
      <c r="B13">
        <v>9662382</v>
      </c>
      <c r="C13" t="s">
        <v>312</v>
      </c>
      <c r="D13" t="s">
        <v>313</v>
      </c>
      <c r="E13" t="s">
        <v>314</v>
      </c>
      <c r="F13" t="s">
        <v>296</v>
      </c>
      <c r="G13">
        <v>1.98</v>
      </c>
      <c r="H13">
        <v>84.97</v>
      </c>
      <c r="I13">
        <v>97.77</v>
      </c>
      <c r="J13">
        <v>3845</v>
      </c>
      <c r="K13">
        <v>1590</v>
      </c>
      <c r="L13">
        <v>5015</v>
      </c>
      <c r="M13">
        <v>6.1319999999999997</v>
      </c>
      <c r="N13">
        <v>1837.279</v>
      </c>
      <c r="O13">
        <v>55</v>
      </c>
      <c r="P13">
        <v>3</v>
      </c>
      <c r="Q13">
        <v>23</v>
      </c>
      <c r="R13">
        <v>2</v>
      </c>
      <c r="S13">
        <v>17</v>
      </c>
    </row>
    <row r="14" spans="1:19">
      <c r="A14" t="s">
        <v>315</v>
      </c>
      <c r="B14">
        <v>9472000</v>
      </c>
      <c r="C14" t="s">
        <v>316</v>
      </c>
      <c r="D14" t="s">
        <v>317</v>
      </c>
      <c r="E14" t="s">
        <v>318</v>
      </c>
      <c r="F14" t="s">
        <v>319</v>
      </c>
      <c r="G14">
        <v>1.41</v>
      </c>
      <c r="H14">
        <v>84.98</v>
      </c>
      <c r="I14">
        <v>89.98</v>
      </c>
      <c r="J14">
        <v>2984</v>
      </c>
      <c r="K14">
        <v>1769</v>
      </c>
      <c r="L14">
        <v>4164.7700000000004</v>
      </c>
      <c r="M14">
        <v>6.6</v>
      </c>
      <c r="N14">
        <v>1519.43</v>
      </c>
      <c r="O14">
        <v>85</v>
      </c>
      <c r="P14">
        <v>1</v>
      </c>
      <c r="Q14">
        <v>23</v>
      </c>
      <c r="R14">
        <v>2</v>
      </c>
      <c r="S14">
        <v>16</v>
      </c>
    </row>
    <row r="15" spans="1:19">
      <c r="A15" t="s">
        <v>327</v>
      </c>
      <c r="B15">
        <v>9566511</v>
      </c>
      <c r="C15" t="s">
        <v>328</v>
      </c>
      <c r="D15" t="s">
        <v>329</v>
      </c>
      <c r="E15" t="s">
        <v>330</v>
      </c>
      <c r="F15" t="s">
        <v>297</v>
      </c>
      <c r="G15">
        <v>1.98</v>
      </c>
      <c r="H15">
        <v>89.98</v>
      </c>
      <c r="I15">
        <v>99.98</v>
      </c>
      <c r="J15">
        <v>2091</v>
      </c>
      <c r="K15">
        <v>1765</v>
      </c>
      <c r="L15">
        <v>5094.9799999999996</v>
      </c>
      <c r="M15">
        <v>6.65</v>
      </c>
      <c r="N15">
        <v>1890.21</v>
      </c>
      <c r="O15">
        <v>56</v>
      </c>
    </row>
    <row r="16" spans="1:19">
      <c r="A16" t="s">
        <v>327</v>
      </c>
      <c r="B16">
        <v>9566511</v>
      </c>
      <c r="C16" t="s">
        <v>328</v>
      </c>
      <c r="D16" t="s">
        <v>329</v>
      </c>
      <c r="E16" t="s">
        <v>330</v>
      </c>
      <c r="F16" t="s">
        <v>297</v>
      </c>
      <c r="G16">
        <v>1.98</v>
      </c>
      <c r="H16">
        <v>89.98</v>
      </c>
      <c r="I16">
        <v>99.98</v>
      </c>
      <c r="J16">
        <v>2091</v>
      </c>
      <c r="K16">
        <v>1765</v>
      </c>
      <c r="L16">
        <v>5094.9799999999996</v>
      </c>
      <c r="M16">
        <v>6.65</v>
      </c>
      <c r="N16">
        <v>1890.21</v>
      </c>
      <c r="O16">
        <v>56</v>
      </c>
      <c r="P16">
        <v>5</v>
      </c>
      <c r="Q16">
        <v>30</v>
      </c>
      <c r="R16">
        <v>4</v>
      </c>
      <c r="S16">
        <v>18</v>
      </c>
    </row>
    <row r="17" spans="1:19">
      <c r="A17" t="s">
        <v>382</v>
      </c>
      <c r="B17">
        <v>9212833</v>
      </c>
      <c r="C17" t="s">
        <v>293</v>
      </c>
      <c r="D17" t="s">
        <v>294</v>
      </c>
      <c r="E17" t="s">
        <v>383</v>
      </c>
      <c r="F17" t="s">
        <v>297</v>
      </c>
      <c r="G17">
        <v>1.0980000000000001</v>
      </c>
      <c r="H17">
        <v>87.98</v>
      </c>
      <c r="I17">
        <v>99.67</v>
      </c>
      <c r="J17">
        <v>2365</v>
      </c>
      <c r="K17">
        <v>1875</v>
      </c>
      <c r="L17">
        <v>4312.9260000000004</v>
      </c>
      <c r="M17">
        <v>6.32</v>
      </c>
      <c r="N17">
        <v>1890.41</v>
      </c>
      <c r="O17">
        <v>23</v>
      </c>
    </row>
    <row r="18" spans="1:19">
      <c r="A18" t="s">
        <v>386</v>
      </c>
      <c r="H18">
        <v>84.99</v>
      </c>
    </row>
    <row r="19" spans="1:19">
      <c r="A19" t="s">
        <v>391</v>
      </c>
      <c r="B19">
        <v>9312722</v>
      </c>
      <c r="C19" t="s">
        <v>299</v>
      </c>
      <c r="D19" t="s">
        <v>392</v>
      </c>
      <c r="E19" t="s">
        <v>393</v>
      </c>
      <c r="F19" t="s">
        <v>297</v>
      </c>
      <c r="G19">
        <v>1.089</v>
      </c>
      <c r="H19">
        <v>89.65</v>
      </c>
      <c r="I19">
        <v>99.99</v>
      </c>
      <c r="J19">
        <v>2365</v>
      </c>
      <c r="K19">
        <v>1867</v>
      </c>
      <c r="L19">
        <v>4321</v>
      </c>
      <c r="M19">
        <v>5.0250000000000004</v>
      </c>
      <c r="N19">
        <v>1623.98</v>
      </c>
      <c r="O19">
        <v>120</v>
      </c>
      <c r="P19">
        <v>2</v>
      </c>
      <c r="Q19">
        <v>23</v>
      </c>
      <c r="R19">
        <v>4</v>
      </c>
      <c r="S19">
        <v>15.89</v>
      </c>
    </row>
    <row r="20" spans="1:19">
      <c r="A20" t="s">
        <v>382</v>
      </c>
      <c r="B20">
        <v>9454312</v>
      </c>
      <c r="C20" t="s">
        <v>308</v>
      </c>
      <c r="D20" t="s">
        <v>398</v>
      </c>
      <c r="E20" t="s">
        <v>399</v>
      </c>
      <c r="F20" t="s">
        <v>400</v>
      </c>
      <c r="G20">
        <v>1.988</v>
      </c>
      <c r="H20">
        <v>89.99</v>
      </c>
      <c r="I20">
        <v>99.89</v>
      </c>
      <c r="J20">
        <v>2398</v>
      </c>
      <c r="K20">
        <v>1986</v>
      </c>
      <c r="L20">
        <v>5439</v>
      </c>
      <c r="M20">
        <v>6.34</v>
      </c>
      <c r="N20">
        <v>1980.63</v>
      </c>
      <c r="O20">
        <v>54</v>
      </c>
      <c r="P20">
        <v>3</v>
      </c>
      <c r="Q20">
        <v>26</v>
      </c>
      <c r="R20">
        <v>4</v>
      </c>
      <c r="S20">
        <v>16.399999999999999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74D8-35AC-4871-A17C-3391ACD2FE49}">
  <sheetPr codeName="Feuil8"/>
  <dimension ref="A2:AJ215"/>
  <sheetViews>
    <sheetView showRowColHeaders="0" tabSelected="1" showRuler="0" zoomScale="88" zoomScaleNormal="88" workbookViewId="0">
      <selection activeCell="AC24" sqref="AC24"/>
    </sheetView>
  </sheetViews>
  <sheetFormatPr baseColWidth="10" defaultColWidth="11.453125" defaultRowHeight="14.5"/>
  <cols>
    <col min="1" max="1" width="1.81640625" style="422" customWidth="1"/>
    <col min="2" max="4" width="4.7265625" style="23" customWidth="1"/>
    <col min="5" max="5" width="5.26953125" style="23" customWidth="1"/>
    <col min="6" max="9" width="4.7265625" style="23" customWidth="1"/>
    <col min="10" max="10" width="5.26953125" style="23" customWidth="1"/>
    <col min="11" max="17" width="4.7265625" style="23" customWidth="1"/>
    <col min="18" max="18" width="6.1796875" style="23" customWidth="1"/>
    <col min="19" max="27" width="4.7265625" style="23" customWidth="1"/>
    <col min="28" max="29" width="5.54296875" style="23" customWidth="1"/>
    <col min="30" max="30" width="4.7265625" style="23" customWidth="1"/>
    <col min="31" max="31" width="10.6328125" style="23" customWidth="1"/>
    <col min="32" max="34" width="4.7265625" style="23" customWidth="1"/>
    <col min="35" max="35" width="7.453125" style="23" customWidth="1"/>
    <col min="36" max="39" width="4.7265625" style="23" customWidth="1"/>
    <col min="40" max="16384" width="11.453125" style="23"/>
  </cols>
  <sheetData>
    <row r="2" spans="1:36" ht="14.25" customHeight="1">
      <c r="B2" s="427" t="s">
        <v>407</v>
      </c>
      <c r="C2" s="427"/>
      <c r="D2" s="427"/>
      <c r="F2" s="700" t="s">
        <v>308</v>
      </c>
      <c r="G2" s="700"/>
      <c r="H2" s="700"/>
      <c r="I2" s="700"/>
      <c r="J2" s="700"/>
      <c r="K2" s="700"/>
      <c r="M2" s="24" t="s">
        <v>96</v>
      </c>
      <c r="S2" s="697">
        <v>44906</v>
      </c>
      <c r="T2" s="697"/>
      <c r="U2" s="697"/>
      <c r="V2" s="25" t="s">
        <v>97</v>
      </c>
      <c r="W2" s="701" t="s">
        <v>404</v>
      </c>
      <c r="X2" s="701"/>
    </row>
    <row r="3" spans="1:36" ht="6" customHeight="1">
      <c r="B3" s="427" t="s">
        <v>9</v>
      </c>
      <c r="C3" s="427"/>
      <c r="D3" s="427"/>
      <c r="F3" s="26"/>
      <c r="G3" s="26"/>
      <c r="H3" s="26"/>
      <c r="I3" s="26"/>
      <c r="J3" s="26"/>
      <c r="K3" s="26"/>
      <c r="M3" s="24"/>
      <c r="S3" s="27"/>
      <c r="T3" s="27"/>
      <c r="U3" s="27"/>
      <c r="V3" s="25"/>
      <c r="W3" s="28"/>
      <c r="X3" s="28"/>
    </row>
    <row r="4" spans="1:36" ht="14.25" customHeight="1">
      <c r="B4" s="427" t="s">
        <v>98</v>
      </c>
      <c r="C4" s="427"/>
      <c r="D4" s="427"/>
      <c r="F4" s="700" t="s">
        <v>398</v>
      </c>
      <c r="G4" s="700"/>
      <c r="H4" s="700"/>
      <c r="I4" s="700"/>
      <c r="J4" s="700"/>
      <c r="K4" s="700"/>
      <c r="M4" s="24" t="s">
        <v>99</v>
      </c>
      <c r="S4" s="697">
        <v>44906</v>
      </c>
      <c r="T4" s="697"/>
      <c r="U4" s="697"/>
      <c r="V4" s="25" t="s">
        <v>97</v>
      </c>
      <c r="W4" s="701" t="s">
        <v>404</v>
      </c>
      <c r="X4" s="701"/>
    </row>
    <row r="5" spans="1:36" ht="6" customHeight="1">
      <c r="F5" s="26"/>
      <c r="G5" s="26"/>
      <c r="H5" s="26"/>
      <c r="I5" s="26"/>
      <c r="J5" s="26"/>
      <c r="K5" s="26"/>
      <c r="M5" s="24"/>
      <c r="S5" s="27"/>
      <c r="T5" s="27"/>
      <c r="U5" s="27"/>
      <c r="V5" s="25"/>
      <c r="W5" s="28"/>
      <c r="X5" s="28"/>
    </row>
    <row r="6" spans="1:36" ht="14.25" customHeight="1">
      <c r="B6" s="24" t="s">
        <v>100</v>
      </c>
      <c r="C6" s="24"/>
      <c r="F6" s="700" t="s">
        <v>382</v>
      </c>
      <c r="G6" s="700"/>
      <c r="H6" s="700"/>
      <c r="I6" s="700"/>
      <c r="J6" s="700"/>
      <c r="K6" s="700"/>
      <c r="M6" s="24" t="s">
        <v>101</v>
      </c>
      <c r="S6" s="697">
        <v>44906</v>
      </c>
      <c r="T6" s="697"/>
      <c r="U6" s="697"/>
      <c r="V6" s="25" t="s">
        <v>97</v>
      </c>
      <c r="W6" s="701" t="s">
        <v>404</v>
      </c>
      <c r="X6" s="701"/>
    </row>
    <row r="7" spans="1:36" ht="6" customHeight="1">
      <c r="B7" s="24"/>
      <c r="C7" s="24"/>
      <c r="F7" s="26"/>
      <c r="G7" s="26"/>
      <c r="H7" s="26"/>
      <c r="I7" s="26"/>
      <c r="J7" s="26"/>
      <c r="K7" s="26"/>
      <c r="S7" s="29"/>
      <c r="T7" s="29"/>
      <c r="U7" s="29"/>
      <c r="W7" s="29"/>
      <c r="X7" s="29"/>
    </row>
    <row r="8" spans="1:36">
      <c r="B8" s="24" t="s">
        <v>102</v>
      </c>
      <c r="C8" s="24"/>
      <c r="F8" s="700" t="s">
        <v>401</v>
      </c>
      <c r="G8" s="700"/>
      <c r="H8" s="700"/>
      <c r="I8" s="700"/>
      <c r="J8" s="700"/>
      <c r="K8" s="700"/>
      <c r="M8" s="24" t="s">
        <v>103</v>
      </c>
      <c r="S8" s="697">
        <v>44906</v>
      </c>
      <c r="T8" s="697"/>
      <c r="U8" s="697"/>
      <c r="V8" s="25" t="s">
        <v>97</v>
      </c>
      <c r="W8" s="701" t="s">
        <v>404</v>
      </c>
      <c r="X8" s="701"/>
    </row>
    <row r="9" spans="1:36" ht="6" customHeight="1">
      <c r="B9" s="24"/>
      <c r="C9" s="24"/>
      <c r="F9" s="26"/>
      <c r="G9" s="26"/>
      <c r="H9" s="26"/>
      <c r="I9" s="26"/>
      <c r="J9" s="26"/>
      <c r="K9" s="26"/>
      <c r="S9" s="29"/>
      <c r="T9" s="29"/>
      <c r="U9" s="29"/>
      <c r="W9" s="29"/>
      <c r="X9" s="29"/>
    </row>
    <row r="10" spans="1:36">
      <c r="A10" s="423"/>
      <c r="B10" s="29" t="s">
        <v>104</v>
      </c>
      <c r="C10" s="29"/>
      <c r="F10" s="700" t="s">
        <v>400</v>
      </c>
      <c r="G10" s="700"/>
      <c r="H10" s="700"/>
      <c r="I10" s="700"/>
      <c r="J10" s="700"/>
      <c r="K10" s="700"/>
      <c r="M10" s="24" t="str">
        <f>IF(J186="","Un/loading Commenced on",IF((I60-O60)&lt;0,"Loading Commenced on","Discharging Commenced on"))</f>
        <v>Loading Commenced on</v>
      </c>
      <c r="S10" s="697">
        <v>44906</v>
      </c>
      <c r="T10" s="697"/>
      <c r="U10" s="697"/>
      <c r="V10" s="25" t="s">
        <v>97</v>
      </c>
      <c r="W10" s="701" t="s">
        <v>404</v>
      </c>
      <c r="X10" s="701"/>
    </row>
    <row r="11" spans="1:36" ht="6" customHeight="1">
      <c r="A11" s="423"/>
      <c r="B11" s="29"/>
      <c r="C11" s="29"/>
      <c r="F11" s="26"/>
      <c r="G11" s="26"/>
      <c r="H11" s="26"/>
      <c r="I11" s="26"/>
      <c r="J11" s="26"/>
      <c r="K11" s="26"/>
      <c r="M11" s="24"/>
      <c r="S11" s="27"/>
      <c r="T11" s="27"/>
      <c r="U11" s="27"/>
      <c r="V11" s="25"/>
      <c r="W11" s="28"/>
      <c r="X11" s="28"/>
    </row>
    <row r="12" spans="1:36">
      <c r="A12" s="423"/>
      <c r="B12" s="24" t="s">
        <v>105</v>
      </c>
      <c r="C12" s="24"/>
      <c r="F12" s="700" t="s">
        <v>402</v>
      </c>
      <c r="G12" s="700"/>
      <c r="H12" s="700"/>
      <c r="I12" s="700"/>
      <c r="J12" s="700"/>
      <c r="K12" s="700"/>
      <c r="M12" s="24" t="str">
        <f>IF(J186="","Un/loading Completed on",IF((I60-O60)&lt;0,"Loading completed on","Discharging completed on"))</f>
        <v>Loading completed on</v>
      </c>
      <c r="S12" s="697">
        <v>44906</v>
      </c>
      <c r="T12" s="697"/>
      <c r="U12" s="697"/>
      <c r="V12" s="25"/>
      <c r="W12" s="701" t="s">
        <v>404</v>
      </c>
      <c r="X12" s="701"/>
    </row>
    <row r="13" spans="1:36" ht="6" customHeight="1">
      <c r="A13" s="423"/>
      <c r="F13" s="30"/>
      <c r="G13" s="30"/>
      <c r="H13" s="30"/>
      <c r="I13" s="30"/>
      <c r="J13" s="30"/>
      <c r="K13" s="30"/>
      <c r="S13" s="29"/>
      <c r="T13" s="29"/>
      <c r="U13" s="29"/>
      <c r="W13" s="29"/>
      <c r="X13" s="29"/>
    </row>
    <row r="14" spans="1:36">
      <c r="A14" s="423"/>
      <c r="B14" s="24" t="s">
        <v>106</v>
      </c>
      <c r="C14" s="24"/>
      <c r="F14" s="700" t="s">
        <v>403</v>
      </c>
      <c r="G14" s="700"/>
      <c r="H14" s="700"/>
      <c r="I14" s="700"/>
      <c r="J14" s="700"/>
      <c r="K14" s="700"/>
      <c r="M14" s="24" t="s">
        <v>107</v>
      </c>
      <c r="S14" s="697">
        <v>44906</v>
      </c>
      <c r="T14" s="697"/>
      <c r="U14" s="697"/>
      <c r="V14" s="25" t="s">
        <v>97</v>
      </c>
      <c r="W14" s="701" t="s">
        <v>404</v>
      </c>
      <c r="X14" s="701"/>
      <c r="AJ14" s="31"/>
    </row>
    <row r="15" spans="1:36" ht="6" customHeight="1">
      <c r="A15" s="423"/>
      <c r="F15" s="32"/>
      <c r="G15" s="32"/>
      <c r="H15" s="32"/>
      <c r="I15" s="32"/>
      <c r="J15" s="32"/>
      <c r="K15" s="32"/>
      <c r="S15" s="29"/>
      <c r="T15" s="29"/>
      <c r="U15" s="29"/>
      <c r="W15" s="29"/>
      <c r="X15" s="29"/>
    </row>
    <row r="16" spans="1:36">
      <c r="A16" s="423"/>
      <c r="B16" s="24" t="s">
        <v>108</v>
      </c>
      <c r="C16" s="24"/>
      <c r="F16" s="702">
        <v>3267.8719999999998</v>
      </c>
      <c r="G16" s="702"/>
      <c r="H16" s="702"/>
      <c r="I16" s="33"/>
      <c r="J16" s="33"/>
      <c r="K16" s="33"/>
      <c r="M16" s="24" t="s">
        <v>110</v>
      </c>
      <c r="S16" s="697">
        <v>44906</v>
      </c>
      <c r="T16" s="697"/>
      <c r="U16" s="697"/>
      <c r="V16" s="25" t="s">
        <v>97</v>
      </c>
      <c r="W16" s="701" t="s">
        <v>404</v>
      </c>
      <c r="X16" s="701"/>
      <c r="AJ16" s="31"/>
    </row>
    <row r="17" spans="1:36" ht="6" customHeight="1">
      <c r="A17" s="423"/>
      <c r="F17" s="30"/>
      <c r="G17" s="30"/>
      <c r="H17" s="30"/>
      <c r="I17" s="32"/>
      <c r="J17" s="32"/>
      <c r="K17" s="32"/>
    </row>
    <row r="18" spans="1:36">
      <c r="B18" s="34" t="s">
        <v>111</v>
      </c>
      <c r="F18" s="697">
        <v>44906</v>
      </c>
      <c r="G18" s="697"/>
      <c r="H18" s="697"/>
      <c r="I18" s="33"/>
      <c r="J18" s="33"/>
      <c r="K18" s="33"/>
      <c r="M18" s="24"/>
      <c r="S18" s="35"/>
      <c r="T18" s="35"/>
      <c r="U18" s="35"/>
      <c r="V18" s="25"/>
      <c r="W18" s="36"/>
      <c r="X18" s="36"/>
      <c r="AJ18" s="31"/>
    </row>
    <row r="19" spans="1:36">
      <c r="F19" s="29"/>
      <c r="G19" s="29"/>
      <c r="H19" s="29"/>
    </row>
    <row r="20" spans="1:36" ht="14.25" customHeight="1">
      <c r="B20" s="29" t="s">
        <v>112</v>
      </c>
      <c r="G20" s="693">
        <v>2398</v>
      </c>
      <c r="H20" s="693"/>
      <c r="I20" s="693"/>
      <c r="M20" s="24" t="s">
        <v>113</v>
      </c>
      <c r="R20" s="29"/>
      <c r="S20" s="698">
        <v>89.99</v>
      </c>
      <c r="T20" s="698"/>
      <c r="U20" s="37"/>
      <c r="AF20" s="23" t="s">
        <v>287</v>
      </c>
    </row>
    <row r="21" spans="1:36" ht="6" customHeight="1">
      <c r="B21" s="29"/>
      <c r="G21" s="38"/>
      <c r="H21" s="38"/>
      <c r="I21" s="38"/>
      <c r="M21" s="24"/>
      <c r="R21" s="29"/>
      <c r="S21" s="39"/>
      <c r="T21" s="39"/>
      <c r="U21" s="37"/>
    </row>
    <row r="22" spans="1:36">
      <c r="B22" s="29" t="s">
        <v>114</v>
      </c>
      <c r="G22" s="693">
        <v>1986</v>
      </c>
      <c r="H22" s="693"/>
      <c r="I22" s="693"/>
      <c r="M22" s="24" t="s">
        <v>115</v>
      </c>
      <c r="R22" s="29"/>
      <c r="S22" s="698">
        <v>99.89</v>
      </c>
      <c r="T22" s="699"/>
      <c r="U22" s="37"/>
    </row>
    <row r="23" spans="1:36" ht="6" customHeight="1">
      <c r="B23" s="29"/>
      <c r="G23" s="38"/>
      <c r="H23" s="38"/>
      <c r="I23" s="38"/>
      <c r="M23" s="24"/>
      <c r="R23" s="29"/>
      <c r="S23" s="39"/>
      <c r="T23" s="40"/>
      <c r="U23" s="37"/>
    </row>
    <row r="24" spans="1:36" ht="14.25" customHeight="1">
      <c r="B24" s="29" t="s">
        <v>116</v>
      </c>
      <c r="G24" s="693">
        <v>6.34</v>
      </c>
      <c r="H24" s="693"/>
      <c r="I24" s="693"/>
      <c r="M24" s="24" t="s">
        <v>117</v>
      </c>
      <c r="R24" s="29"/>
      <c r="S24" s="698">
        <v>16.399999999999999</v>
      </c>
      <c r="T24" s="699"/>
      <c r="U24" s="37"/>
    </row>
    <row r="25" spans="1:36" ht="6" customHeight="1">
      <c r="B25" s="29"/>
      <c r="G25" s="38"/>
      <c r="H25" s="38"/>
      <c r="I25" s="38"/>
      <c r="M25" s="24"/>
      <c r="R25" s="29"/>
      <c r="S25" s="39"/>
      <c r="T25" s="40"/>
      <c r="U25" s="37"/>
    </row>
    <row r="26" spans="1:36" ht="14.25" customHeight="1">
      <c r="B26" s="29" t="s">
        <v>118</v>
      </c>
      <c r="G26" s="692">
        <v>1.988</v>
      </c>
      <c r="H26" s="692"/>
      <c r="I26" s="692"/>
      <c r="M26" s="24" t="s">
        <v>119</v>
      </c>
      <c r="R26" s="29"/>
      <c r="S26" s="29"/>
      <c r="T26" s="412">
        <v>3</v>
      </c>
    </row>
    <row r="27" spans="1:36" ht="6" customHeight="1">
      <c r="B27" s="29"/>
      <c r="G27" s="39"/>
      <c r="H27" s="39"/>
      <c r="I27" s="39"/>
      <c r="M27" s="24"/>
      <c r="R27" s="29"/>
      <c r="S27" s="29"/>
      <c r="T27" s="41"/>
    </row>
    <row r="28" spans="1:36" ht="14.25" customHeight="1">
      <c r="B28" s="29" t="s">
        <v>120</v>
      </c>
      <c r="G28" s="693">
        <v>5439</v>
      </c>
      <c r="H28" s="693"/>
      <c r="I28" s="693"/>
      <c r="M28" s="29" t="s">
        <v>121</v>
      </c>
      <c r="R28" s="29"/>
      <c r="S28" s="29"/>
      <c r="T28" s="412">
        <v>26</v>
      </c>
    </row>
    <row r="29" spans="1:36" ht="6" customHeight="1">
      <c r="B29" s="29"/>
      <c r="G29" s="38"/>
      <c r="H29" s="38"/>
      <c r="I29" s="38"/>
      <c r="M29" s="29"/>
      <c r="R29" s="29"/>
      <c r="S29" s="29"/>
      <c r="T29" s="41"/>
    </row>
    <row r="30" spans="1:36" ht="14.25" customHeight="1">
      <c r="B30" s="29" t="s">
        <v>122</v>
      </c>
      <c r="G30" s="693">
        <v>1980.63</v>
      </c>
      <c r="H30" s="693"/>
      <c r="I30" s="693"/>
      <c r="M30" s="29" t="s">
        <v>123</v>
      </c>
      <c r="R30" s="29"/>
      <c r="S30" s="29"/>
      <c r="T30" s="412">
        <v>4</v>
      </c>
    </row>
    <row r="31" spans="1:36" ht="6" customHeight="1">
      <c r="B31" s="29"/>
      <c r="G31" s="38"/>
      <c r="H31" s="38"/>
      <c r="I31" s="38"/>
      <c r="M31" s="29"/>
      <c r="R31" s="29"/>
      <c r="T31" s="42"/>
      <c r="Y31" s="29"/>
    </row>
    <row r="32" spans="1:36" ht="14.25" customHeight="1">
      <c r="B32" s="29" t="s">
        <v>124</v>
      </c>
      <c r="G32" s="693">
        <v>54</v>
      </c>
      <c r="H32" s="693"/>
      <c r="I32" s="693"/>
      <c r="M32" s="427" t="s">
        <v>397</v>
      </c>
      <c r="T32" s="2">
        <v>1.8</v>
      </c>
    </row>
    <row r="33" spans="1:31" ht="6" customHeight="1"/>
    <row r="35" spans="1:31" s="29" customFormat="1" ht="14">
      <c r="A35" s="423"/>
      <c r="B35" s="24"/>
      <c r="C35" s="24"/>
      <c r="F35" s="694" t="s">
        <v>2</v>
      </c>
      <c r="G35" s="695"/>
      <c r="H35" s="695"/>
      <c r="I35" s="695"/>
      <c r="J35" s="695"/>
      <c r="K35" s="695"/>
      <c r="L35" s="695" t="s">
        <v>3</v>
      </c>
      <c r="M35" s="695"/>
      <c r="N35" s="695"/>
      <c r="O35" s="695"/>
      <c r="P35" s="695"/>
      <c r="Q35" s="696"/>
    </row>
    <row r="36" spans="1:31" s="29" customFormat="1" ht="14">
      <c r="A36" s="423"/>
      <c r="B36" s="24"/>
      <c r="I36" s="43"/>
      <c r="K36" s="43"/>
      <c r="L36" s="43"/>
      <c r="Q36" s="43"/>
    </row>
    <row r="37" spans="1:31" s="29" customFormat="1" ht="6.75" customHeight="1">
      <c r="A37" s="423"/>
      <c r="B37" s="44"/>
      <c r="C37" s="45"/>
      <c r="D37" s="45"/>
      <c r="E37" s="45"/>
      <c r="F37" s="45"/>
      <c r="G37" s="45"/>
      <c r="H37" s="45"/>
      <c r="I37" s="46"/>
      <c r="J37" s="45"/>
      <c r="K37" s="47"/>
      <c r="L37" s="46"/>
      <c r="M37" s="45"/>
      <c r="N37" s="45"/>
      <c r="O37" s="45"/>
      <c r="P37" s="45"/>
      <c r="Q37" s="47"/>
      <c r="R37" s="48"/>
    </row>
    <row r="38" spans="1:31" s="29" customFormat="1" ht="14.25" customHeight="1">
      <c r="A38" s="423"/>
      <c r="B38" s="480" t="s">
        <v>125</v>
      </c>
      <c r="C38" s="481"/>
      <c r="D38" s="481"/>
      <c r="E38" s="481"/>
      <c r="F38" s="481"/>
      <c r="G38" s="481"/>
      <c r="H38" s="481"/>
      <c r="I38" s="690">
        <v>123</v>
      </c>
      <c r="J38" s="690"/>
      <c r="K38" s="413" t="s">
        <v>6</v>
      </c>
      <c r="L38" s="49"/>
      <c r="O38" s="690">
        <v>123</v>
      </c>
      <c r="P38" s="690"/>
      <c r="Q38" s="413" t="s">
        <v>6</v>
      </c>
      <c r="R38" s="50"/>
      <c r="T38" s="51"/>
    </row>
    <row r="39" spans="1:31" s="29" customFormat="1" ht="6" customHeight="1">
      <c r="A39" s="424"/>
      <c r="B39" s="52"/>
      <c r="C39" s="53"/>
      <c r="D39" s="54"/>
      <c r="E39" s="54"/>
      <c r="F39" s="54"/>
      <c r="G39" s="55"/>
      <c r="H39" s="55"/>
      <c r="I39" s="56"/>
      <c r="J39" s="56"/>
      <c r="K39" s="49"/>
      <c r="L39" s="49"/>
      <c r="O39" s="56"/>
      <c r="P39" s="56"/>
      <c r="Q39" s="49"/>
      <c r="R39" s="50"/>
      <c r="T39" s="51"/>
    </row>
    <row r="40" spans="1:31" s="29" customFormat="1" ht="14.25" customHeight="1">
      <c r="A40" s="424"/>
      <c r="B40" s="480" t="s">
        <v>126</v>
      </c>
      <c r="C40" s="691"/>
      <c r="D40" s="527"/>
      <c r="E40" s="527"/>
      <c r="F40" s="527"/>
      <c r="G40" s="483"/>
      <c r="H40" s="483"/>
      <c r="I40" s="690">
        <v>321</v>
      </c>
      <c r="J40" s="690"/>
      <c r="K40" s="413" t="s">
        <v>6</v>
      </c>
      <c r="L40" s="49"/>
      <c r="O40" s="690">
        <v>321</v>
      </c>
      <c r="P40" s="690"/>
      <c r="Q40" s="413" t="s">
        <v>6</v>
      </c>
      <c r="R40" s="50"/>
      <c r="T40" s="57"/>
      <c r="W40" s="58"/>
      <c r="X40" s="58"/>
      <c r="Y40" s="58"/>
    </row>
    <row r="41" spans="1:31" s="29" customFormat="1" ht="6" customHeight="1">
      <c r="A41" s="425"/>
      <c r="B41" s="52"/>
      <c r="C41" s="40"/>
      <c r="D41" s="54"/>
      <c r="E41" s="54"/>
      <c r="F41" s="54"/>
      <c r="G41" s="55"/>
      <c r="H41" s="55"/>
      <c r="I41" s="56"/>
      <c r="J41" s="56"/>
      <c r="K41" s="49"/>
      <c r="L41" s="49"/>
      <c r="O41" s="56"/>
      <c r="P41" s="56"/>
      <c r="Q41" s="49"/>
      <c r="R41" s="50"/>
      <c r="T41" s="57"/>
      <c r="W41" s="58"/>
      <c r="X41" s="58"/>
      <c r="Y41" s="58"/>
    </row>
    <row r="42" spans="1:31" s="29" customFormat="1" ht="14.25" customHeight="1">
      <c r="A42" s="423"/>
      <c r="B42" s="480" t="s">
        <v>127</v>
      </c>
      <c r="C42" s="481"/>
      <c r="D42" s="481"/>
      <c r="E42" s="481"/>
      <c r="F42" s="481"/>
      <c r="G42" s="483"/>
      <c r="H42" s="483"/>
      <c r="I42" s="687">
        <v>32</v>
      </c>
      <c r="J42" s="687"/>
      <c r="K42" s="413" t="s">
        <v>6</v>
      </c>
      <c r="L42" s="59"/>
      <c r="O42" s="687">
        <v>32</v>
      </c>
      <c r="P42" s="687"/>
      <c r="Q42" s="413" t="s">
        <v>6</v>
      </c>
      <c r="R42" s="50"/>
      <c r="T42" s="57"/>
      <c r="W42" s="58"/>
      <c r="X42" s="58"/>
      <c r="Y42" s="58"/>
    </row>
    <row r="43" spans="1:31" s="29" customFormat="1" ht="6" customHeight="1">
      <c r="A43" s="425"/>
      <c r="B43" s="60"/>
      <c r="C43" s="61"/>
      <c r="D43" s="61"/>
      <c r="E43" s="61"/>
      <c r="F43" s="61"/>
      <c r="G43" s="55"/>
      <c r="H43" s="55"/>
      <c r="I43" s="62"/>
      <c r="J43" s="62"/>
      <c r="K43" s="49"/>
      <c r="L43" s="59"/>
      <c r="O43" s="62"/>
      <c r="P43" s="62"/>
      <c r="Q43" s="49"/>
      <c r="R43" s="50"/>
      <c r="T43" s="57"/>
      <c r="W43" s="58"/>
      <c r="X43" s="58"/>
      <c r="Y43" s="58"/>
    </row>
    <row r="44" spans="1:31" s="29" customFormat="1" ht="13.5" customHeight="1">
      <c r="A44" s="423"/>
      <c r="B44" s="688" t="s">
        <v>10</v>
      </c>
      <c r="C44" s="689"/>
      <c r="D44" s="689"/>
      <c r="E44" s="689"/>
      <c r="F44" s="689"/>
      <c r="G44" s="689"/>
      <c r="H44" s="689"/>
      <c r="I44" s="689"/>
      <c r="J44" s="689"/>
      <c r="K44" s="689"/>
      <c r="L44" s="63" t="s">
        <v>128</v>
      </c>
      <c r="M44" s="64"/>
      <c r="R44" s="50"/>
      <c r="T44" s="57"/>
      <c r="Z44" s="58"/>
      <c r="AB44" s="58"/>
    </row>
    <row r="45" spans="1:31" s="29" customFormat="1" ht="13">
      <c r="A45" s="423"/>
      <c r="B45" s="688"/>
      <c r="C45" s="689"/>
      <c r="D45" s="689"/>
      <c r="E45" s="689"/>
      <c r="F45" s="689"/>
      <c r="G45" s="689"/>
      <c r="H45" s="689"/>
      <c r="I45" s="689"/>
      <c r="J45" s="689"/>
      <c r="K45" s="689"/>
      <c r="R45" s="50"/>
      <c r="T45" s="57"/>
      <c r="Z45" s="58"/>
      <c r="AA45" s="58"/>
    </row>
    <row r="46" spans="1:31" s="29" customFormat="1" ht="6" customHeight="1">
      <c r="A46" s="423"/>
      <c r="B46" s="65"/>
      <c r="C46" s="66"/>
      <c r="D46" s="66"/>
      <c r="E46" s="66"/>
      <c r="F46" s="66"/>
      <c r="G46" s="66"/>
      <c r="H46" s="63"/>
      <c r="K46" s="67"/>
      <c r="L46" s="63"/>
      <c r="N46" s="63"/>
      <c r="R46" s="50"/>
      <c r="T46" s="57"/>
      <c r="Z46" s="58"/>
      <c r="AA46" s="58"/>
    </row>
    <row r="47" spans="1:31" s="29" customFormat="1" ht="14">
      <c r="A47" s="423"/>
      <c r="B47" s="68" t="s">
        <v>129</v>
      </c>
      <c r="C47" s="69"/>
      <c r="I47" s="49"/>
      <c r="J47" s="24"/>
      <c r="K47" s="70"/>
      <c r="L47" s="24"/>
      <c r="O47" s="24"/>
      <c r="R47" s="50"/>
    </row>
    <row r="48" spans="1:31" s="29" customFormat="1" ht="19" customHeight="1">
      <c r="A48" s="423"/>
      <c r="B48" s="71"/>
      <c r="C48" s="72"/>
      <c r="D48" s="72"/>
      <c r="E48" s="536" t="s">
        <v>11</v>
      </c>
      <c r="F48" s="537"/>
      <c r="G48" s="537"/>
      <c r="H48" s="537"/>
      <c r="I48" s="681">
        <v>333</v>
      </c>
      <c r="J48" s="682"/>
      <c r="K48" s="73"/>
      <c r="L48" s="74"/>
      <c r="M48" s="74"/>
      <c r="N48" s="74"/>
      <c r="O48" s="681">
        <v>666</v>
      </c>
      <c r="P48" s="682"/>
      <c r="Q48" s="48"/>
      <c r="R48" s="50"/>
      <c r="V48" s="23"/>
      <c r="W48" s="23"/>
      <c r="X48" s="23"/>
      <c r="Y48" s="23"/>
      <c r="Z48" s="23"/>
      <c r="AA48" s="23"/>
      <c r="AB48" s="23"/>
      <c r="AC48" s="23"/>
      <c r="AD48" s="23"/>
      <c r="AE48" s="23"/>
    </row>
    <row r="49" spans="1:24" s="29" customFormat="1" ht="6" customHeight="1">
      <c r="A49" s="423"/>
      <c r="B49" s="71"/>
      <c r="C49" s="72"/>
      <c r="D49" s="72"/>
      <c r="E49" s="75"/>
      <c r="F49" s="54"/>
      <c r="G49" s="54"/>
      <c r="H49" s="54"/>
      <c r="I49" s="76"/>
      <c r="J49" s="76"/>
      <c r="K49" s="77"/>
      <c r="L49" s="78"/>
      <c r="M49" s="78"/>
      <c r="N49" s="78"/>
      <c r="O49" s="76"/>
      <c r="P49" s="76"/>
      <c r="Q49" s="50"/>
      <c r="R49" s="50"/>
    </row>
    <row r="50" spans="1:24" s="29" customFormat="1" ht="18.5" customHeight="1">
      <c r="A50" s="423"/>
      <c r="B50" s="71"/>
      <c r="C50" s="72"/>
      <c r="D50" s="72"/>
      <c r="E50" s="531" t="s">
        <v>12</v>
      </c>
      <c r="F50" s="683"/>
      <c r="G50" s="683"/>
      <c r="H50" s="683"/>
      <c r="I50" s="684">
        <v>333</v>
      </c>
      <c r="J50" s="685"/>
      <c r="K50" s="79"/>
      <c r="L50" s="80"/>
      <c r="M50" s="80"/>
      <c r="N50" s="80"/>
      <c r="O50" s="684">
        <v>666</v>
      </c>
      <c r="P50" s="685"/>
      <c r="Q50" s="81"/>
      <c r="R50" s="50"/>
    </row>
    <row r="51" spans="1:24" s="29" customFormat="1" ht="14.25" customHeight="1">
      <c r="A51" s="423"/>
      <c r="B51" s="82"/>
      <c r="I51" s="83"/>
      <c r="J51" s="40"/>
      <c r="K51" s="67"/>
      <c r="O51" s="84"/>
      <c r="P51" s="84"/>
      <c r="R51" s="50"/>
    </row>
    <row r="52" spans="1:24" s="29" customFormat="1" ht="17" customHeight="1">
      <c r="A52" s="423"/>
      <c r="B52" s="85"/>
      <c r="C52" s="86"/>
      <c r="D52" s="86"/>
      <c r="E52" s="536" t="s">
        <v>13</v>
      </c>
      <c r="F52" s="686"/>
      <c r="G52" s="686"/>
      <c r="H52" s="537"/>
      <c r="I52" s="681">
        <v>666</v>
      </c>
      <c r="J52" s="682"/>
      <c r="K52" s="73"/>
      <c r="L52" s="74"/>
      <c r="M52" s="74"/>
      <c r="N52" s="45"/>
      <c r="O52" s="681">
        <v>888</v>
      </c>
      <c r="P52" s="682"/>
      <c r="Q52" s="48"/>
      <c r="R52" s="50"/>
    </row>
    <row r="53" spans="1:24" s="29" customFormat="1" ht="11" customHeight="1">
      <c r="A53" s="423"/>
      <c r="B53" s="85"/>
      <c r="C53" s="86"/>
      <c r="D53" s="86"/>
      <c r="E53" s="75"/>
      <c r="F53" s="87"/>
      <c r="G53" s="87"/>
      <c r="H53" s="54"/>
      <c r="I53" s="76"/>
      <c r="J53" s="76"/>
      <c r="K53" s="77"/>
      <c r="L53" s="78"/>
      <c r="M53" s="78"/>
      <c r="O53" s="76"/>
      <c r="P53" s="76"/>
      <c r="Q53" s="50"/>
      <c r="R53" s="50"/>
    </row>
    <row r="54" spans="1:24" s="29" customFormat="1" ht="16" customHeight="1">
      <c r="A54" s="423"/>
      <c r="B54" s="85"/>
      <c r="C54" s="86"/>
      <c r="D54" s="86"/>
      <c r="E54" s="531" t="s">
        <v>14</v>
      </c>
      <c r="F54" s="683"/>
      <c r="G54" s="683"/>
      <c r="H54" s="683"/>
      <c r="I54" s="684">
        <v>666</v>
      </c>
      <c r="J54" s="685"/>
      <c r="K54" s="79"/>
      <c r="L54" s="80"/>
      <c r="M54" s="80"/>
      <c r="N54" s="88"/>
      <c r="O54" s="684">
        <v>888</v>
      </c>
      <c r="P54" s="685"/>
      <c r="Q54" s="81"/>
      <c r="R54" s="50"/>
    </row>
    <row r="55" spans="1:24" s="29" customFormat="1" ht="13.5" customHeight="1">
      <c r="A55" s="423"/>
      <c r="B55" s="89"/>
      <c r="G55" s="24"/>
      <c r="I55" s="87"/>
      <c r="J55" s="87"/>
      <c r="K55" s="70"/>
      <c r="L55" s="24"/>
      <c r="O55" s="90"/>
      <c r="P55" s="84"/>
      <c r="R55" s="50"/>
    </row>
    <row r="56" spans="1:24" s="29" customFormat="1" ht="14.25" customHeight="1">
      <c r="A56" s="423"/>
      <c r="B56" s="85"/>
      <c r="C56" s="86"/>
      <c r="D56" s="86"/>
      <c r="E56" s="536" t="s">
        <v>15</v>
      </c>
      <c r="F56" s="537"/>
      <c r="G56" s="537"/>
      <c r="H56" s="537"/>
      <c r="I56" s="681">
        <v>444</v>
      </c>
      <c r="J56" s="682"/>
      <c r="K56" s="73"/>
      <c r="L56" s="74"/>
      <c r="M56" s="74"/>
      <c r="N56" s="45"/>
      <c r="O56" s="681">
        <v>777</v>
      </c>
      <c r="P56" s="682"/>
      <c r="Q56" s="48"/>
      <c r="R56" s="50"/>
    </row>
    <row r="57" spans="1:24" s="29" customFormat="1" ht="6" customHeight="1">
      <c r="A57" s="423"/>
      <c r="B57" s="85"/>
      <c r="C57" s="86"/>
      <c r="D57" s="86"/>
      <c r="E57" s="75"/>
      <c r="F57" s="54"/>
      <c r="G57" s="54"/>
      <c r="H57" s="54"/>
      <c r="I57" s="76"/>
      <c r="J57" s="76"/>
      <c r="K57" s="77"/>
      <c r="L57" s="78"/>
      <c r="M57" s="78"/>
      <c r="O57" s="76"/>
      <c r="P57" s="76"/>
      <c r="Q57" s="50"/>
      <c r="R57" s="50"/>
    </row>
    <row r="58" spans="1:24" s="29" customFormat="1" ht="15.5" customHeight="1">
      <c r="A58" s="423"/>
      <c r="B58" s="85"/>
      <c r="C58" s="86"/>
      <c r="D58" s="86"/>
      <c r="E58" s="531" t="s">
        <v>16</v>
      </c>
      <c r="F58" s="683"/>
      <c r="G58" s="683"/>
      <c r="H58" s="683"/>
      <c r="I58" s="684">
        <v>555</v>
      </c>
      <c r="J58" s="685"/>
      <c r="K58" s="79"/>
      <c r="L58" s="80"/>
      <c r="M58" s="80"/>
      <c r="N58" s="88"/>
      <c r="O58" s="684">
        <v>777</v>
      </c>
      <c r="P58" s="685"/>
      <c r="Q58" s="81"/>
      <c r="R58" s="50"/>
      <c r="V58" s="58"/>
      <c r="X58" s="58"/>
    </row>
    <row r="59" spans="1:24" s="29" customFormat="1" thickBot="1">
      <c r="A59" s="423"/>
      <c r="B59" s="89"/>
      <c r="C59" s="24"/>
      <c r="I59" s="87"/>
      <c r="J59" s="87"/>
      <c r="K59" s="70"/>
      <c r="L59" s="24"/>
      <c r="O59" s="90"/>
      <c r="P59" s="84"/>
      <c r="R59" s="50"/>
      <c r="V59" s="58"/>
      <c r="W59" s="58"/>
    </row>
    <row r="60" spans="1:24" s="29" customFormat="1" thickBot="1">
      <c r="A60" s="423"/>
      <c r="B60" s="673" t="s">
        <v>17</v>
      </c>
      <c r="C60" s="674"/>
      <c r="D60" s="674"/>
      <c r="E60" s="674"/>
      <c r="F60" s="674"/>
      <c r="G60" s="674"/>
      <c r="H60" s="675"/>
      <c r="I60" s="676">
        <f>(ROUND((H152+H158+6*H164)/8,2))-T32</f>
        <v>495.53</v>
      </c>
      <c r="J60" s="677"/>
      <c r="K60" s="70"/>
      <c r="L60" s="91"/>
      <c r="M60" s="91"/>
      <c r="N60" s="92"/>
      <c r="O60" s="678">
        <f>IF(N168="","",ROUND((N152+N158+6*N164)/8,2))-T32</f>
        <v>773.76</v>
      </c>
      <c r="P60" s="679"/>
      <c r="R60" s="50"/>
      <c r="V60" s="58"/>
      <c r="W60" s="58"/>
    </row>
    <row r="61" spans="1:24" s="29" customFormat="1" thickBot="1">
      <c r="A61" s="423"/>
      <c r="B61" s="89"/>
      <c r="C61" s="24"/>
      <c r="D61" s="24"/>
      <c r="E61" s="24"/>
      <c r="F61" s="24"/>
      <c r="G61" s="24"/>
      <c r="H61" s="24"/>
      <c r="I61" s="24"/>
      <c r="K61" s="67"/>
      <c r="L61" s="93"/>
      <c r="M61" s="93"/>
      <c r="N61" s="93"/>
      <c r="O61" s="93"/>
      <c r="R61" s="50"/>
    </row>
    <row r="62" spans="1:24" s="29" customFormat="1" ht="14.25" customHeight="1">
      <c r="A62" s="423"/>
      <c r="B62" s="94" t="s">
        <v>130</v>
      </c>
      <c r="C62" s="95"/>
      <c r="D62" s="95"/>
      <c r="E62" s="95"/>
      <c r="F62" s="95"/>
      <c r="G62" s="95"/>
      <c r="H62" s="95"/>
      <c r="I62" s="95"/>
      <c r="J62" s="96" t="s">
        <v>131</v>
      </c>
      <c r="K62" s="680">
        <v>1.0249999999999999</v>
      </c>
      <c r="L62" s="680"/>
      <c r="M62" s="95"/>
      <c r="N62" s="95"/>
      <c r="O62" s="95"/>
      <c r="P62" s="95"/>
      <c r="Q62" s="95"/>
      <c r="R62" s="97"/>
    </row>
    <row r="63" spans="1:24" s="29" customFormat="1" ht="14">
      <c r="A63" s="423"/>
      <c r="B63" s="98"/>
      <c r="J63" s="40"/>
      <c r="K63" s="99"/>
      <c r="R63" s="50"/>
    </row>
    <row r="64" spans="1:24" s="29" customFormat="1" ht="14.25" customHeight="1">
      <c r="A64" s="423"/>
      <c r="B64" s="60" t="s">
        <v>72</v>
      </c>
      <c r="F64" s="669">
        <v>496</v>
      </c>
      <c r="G64" s="669"/>
      <c r="H64" s="650">
        <v>5577</v>
      </c>
      <c r="I64" s="650"/>
      <c r="J64" s="650"/>
      <c r="K64" s="99"/>
      <c r="L64" s="671">
        <v>774</v>
      </c>
      <c r="M64" s="671"/>
      <c r="N64" s="672">
        <v>7899</v>
      </c>
      <c r="O64" s="672"/>
      <c r="P64" s="672"/>
      <c r="R64" s="50"/>
    </row>
    <row r="65" spans="1:32" s="29" customFormat="1">
      <c r="A65" s="423"/>
      <c r="B65" s="60" t="s">
        <v>132</v>
      </c>
      <c r="F65" s="662">
        <f>I60</f>
        <v>495.53</v>
      </c>
      <c r="G65" s="662"/>
      <c r="H65" s="504">
        <f>IF(H64="","",ROUND(+H66+(((H64-H66)/(F64-F66))*(F65-F66)),3))</f>
        <v>5572.3</v>
      </c>
      <c r="I65" s="652"/>
      <c r="J65" s="652"/>
      <c r="K65" s="99"/>
      <c r="L65" s="668">
        <f>O60</f>
        <v>773.76</v>
      </c>
      <c r="M65" s="668"/>
      <c r="N65" s="504">
        <f>IF(N64="","",ROUND(+N66+(((N64-N66)/(L64-L66))*(L65-L66)),3))</f>
        <v>7896.12</v>
      </c>
      <c r="O65" s="504"/>
      <c r="P65" s="504"/>
      <c r="R65" s="50"/>
    </row>
    <row r="66" spans="1:32" s="29" customFormat="1" ht="14.25" customHeight="1">
      <c r="A66" s="423"/>
      <c r="B66" s="60" t="s">
        <v>70</v>
      </c>
      <c r="F66" s="669">
        <v>495</v>
      </c>
      <c r="G66" s="669"/>
      <c r="H66" s="650">
        <v>5567</v>
      </c>
      <c r="I66" s="670"/>
      <c r="J66" s="670"/>
      <c r="K66" s="100"/>
      <c r="L66" s="671">
        <v>773</v>
      </c>
      <c r="M66" s="671"/>
      <c r="N66" s="672">
        <v>7887</v>
      </c>
      <c r="O66" s="672"/>
      <c r="P66" s="672"/>
      <c r="R66" s="50"/>
    </row>
    <row r="67" spans="1:32" s="29" customFormat="1" ht="14.25" customHeight="1" thickBot="1">
      <c r="A67" s="423"/>
      <c r="B67" s="101"/>
      <c r="F67" s="34"/>
      <c r="J67" s="102"/>
      <c r="K67" s="100"/>
      <c r="L67" s="103"/>
      <c r="N67" s="104"/>
      <c r="O67" s="40"/>
      <c r="P67" s="40"/>
      <c r="R67" s="50"/>
    </row>
    <row r="68" spans="1:32" s="29" customFormat="1" ht="14.25" customHeight="1">
      <c r="A68" s="423"/>
      <c r="B68" s="94" t="s">
        <v>4</v>
      </c>
      <c r="C68" s="95"/>
      <c r="D68" s="95"/>
      <c r="E68" s="95"/>
      <c r="F68" s="105"/>
      <c r="G68" s="95"/>
      <c r="H68" s="95"/>
      <c r="I68" s="95"/>
      <c r="J68" s="105"/>
      <c r="K68" s="106"/>
      <c r="L68" s="95"/>
      <c r="M68" s="95"/>
      <c r="N68" s="96"/>
      <c r="O68" s="96"/>
      <c r="P68" s="96"/>
      <c r="Q68" s="95"/>
      <c r="R68" s="97"/>
    </row>
    <row r="69" spans="1:32" s="29" customFormat="1" ht="14.25" customHeight="1">
      <c r="A69" s="423"/>
      <c r="B69" s="60" t="str">
        <f>+B64</f>
        <v>Draft Sup</v>
      </c>
      <c r="F69" s="649">
        <v>496</v>
      </c>
      <c r="G69" s="649"/>
      <c r="I69" s="650">
        <v>16</v>
      </c>
      <c r="J69" s="650"/>
      <c r="K69" s="100"/>
      <c r="L69" s="660">
        <v>774</v>
      </c>
      <c r="M69" s="660"/>
      <c r="N69" s="40"/>
      <c r="O69" s="650">
        <v>21</v>
      </c>
      <c r="P69" s="650"/>
      <c r="R69" s="50"/>
    </row>
    <row r="70" spans="1:32" s="29" customFormat="1" ht="14">
      <c r="A70" s="423"/>
      <c r="B70" s="60" t="str">
        <f>+B65</f>
        <v>Quarter mean</v>
      </c>
      <c r="F70" s="667">
        <f>+F65</f>
        <v>495.53</v>
      </c>
      <c r="G70" s="667"/>
      <c r="I70" s="504">
        <f>IF(I69="","",ROUND(+I69+(((I71-I69)/(F71-F69))*(F70-F71)),1))</f>
        <v>16.5</v>
      </c>
      <c r="J70" s="504"/>
      <c r="K70" s="107"/>
      <c r="L70" s="665">
        <f>+L65</f>
        <v>773.76</v>
      </c>
      <c r="M70" s="665"/>
      <c r="N70" s="40"/>
      <c r="O70" s="504">
        <f>IF(O69="","",ROUND(+O71+(((O69-O71)/(L69-L71))*(L70-L71)),3))</f>
        <v>20.76</v>
      </c>
      <c r="P70" s="504"/>
      <c r="R70" s="50"/>
      <c r="S70" s="108"/>
      <c r="T70" s="108"/>
    </row>
    <row r="71" spans="1:32" s="29" customFormat="1" ht="14">
      <c r="A71" s="423"/>
      <c r="B71" s="60" t="str">
        <f>+B66</f>
        <v>Draft Inf</v>
      </c>
      <c r="F71" s="649">
        <v>495</v>
      </c>
      <c r="G71" s="649"/>
      <c r="I71" s="650">
        <v>15</v>
      </c>
      <c r="J71" s="666"/>
      <c r="K71" s="100"/>
      <c r="L71" s="660">
        <v>773</v>
      </c>
      <c r="M71" s="660"/>
      <c r="N71" s="40"/>
      <c r="O71" s="650">
        <v>20</v>
      </c>
      <c r="P71" s="650"/>
      <c r="R71" s="50"/>
    </row>
    <row r="72" spans="1:32" s="29" customFormat="1" ht="3.75" customHeight="1" thickBot="1">
      <c r="A72" s="423"/>
      <c r="B72" s="109"/>
      <c r="C72" s="110"/>
      <c r="D72" s="110"/>
      <c r="E72" s="110"/>
      <c r="F72" s="111"/>
      <c r="G72" s="110"/>
      <c r="H72" s="110"/>
      <c r="I72" s="110"/>
      <c r="J72" s="112"/>
      <c r="K72" s="113"/>
      <c r="L72" s="114"/>
      <c r="M72" s="110"/>
      <c r="N72" s="115"/>
      <c r="O72" s="116"/>
      <c r="P72" s="115"/>
      <c r="Q72" s="110"/>
      <c r="R72" s="117"/>
      <c r="AF72" s="118"/>
    </row>
    <row r="73" spans="1:32" s="29" customFormat="1" ht="14">
      <c r="A73" s="423"/>
      <c r="B73" s="98" t="s">
        <v>133</v>
      </c>
      <c r="F73" s="119"/>
      <c r="J73" s="119"/>
      <c r="K73" s="100"/>
      <c r="N73" s="40"/>
      <c r="O73" s="40"/>
      <c r="P73" s="40"/>
      <c r="R73" s="50"/>
      <c r="U73" s="120" t="s">
        <v>134</v>
      </c>
      <c r="V73" s="121"/>
      <c r="W73" s="121"/>
      <c r="X73" s="121"/>
      <c r="Y73" s="121"/>
      <c r="Z73" s="121"/>
      <c r="AA73" s="121"/>
      <c r="AB73" s="121"/>
      <c r="AC73" s="121"/>
      <c r="AD73" s="122"/>
      <c r="AF73" s="118"/>
    </row>
    <row r="74" spans="1:32" s="29" customFormat="1">
      <c r="A74" s="423"/>
      <c r="B74" s="60" t="str">
        <f>+B64</f>
        <v>Draft Sup</v>
      </c>
      <c r="F74" s="649">
        <v>496</v>
      </c>
      <c r="G74" s="649"/>
      <c r="I74" s="658">
        <v>323</v>
      </c>
      <c r="J74" s="659"/>
      <c r="K74" s="100" t="s">
        <v>9</v>
      </c>
      <c r="L74" s="660">
        <v>774</v>
      </c>
      <c r="M74" s="660"/>
      <c r="N74" s="40"/>
      <c r="O74" s="658">
        <v>34</v>
      </c>
      <c r="P74" s="658"/>
      <c r="Q74" s="43" t="s">
        <v>9</v>
      </c>
      <c r="R74" s="50"/>
      <c r="U74" s="123" t="s">
        <v>135</v>
      </c>
      <c r="AD74" s="124"/>
    </row>
    <row r="75" spans="1:32" s="29" customFormat="1">
      <c r="A75" s="423"/>
      <c r="B75" s="60" t="str">
        <f>+B65</f>
        <v>Quarter mean</v>
      </c>
      <c r="F75" s="662">
        <f>+F65</f>
        <v>495.53</v>
      </c>
      <c r="G75" s="662"/>
      <c r="I75" s="663">
        <f>IF(I74="","",ROUND(+I76+(((I74-I76)/(F74-F76))*(F75-F76)),1))</f>
        <v>322.10000000000002</v>
      </c>
      <c r="J75" s="664"/>
      <c r="K75" s="415" t="s">
        <v>6</v>
      </c>
      <c r="L75" s="665">
        <f>+L65</f>
        <v>773.76</v>
      </c>
      <c r="M75" s="665"/>
      <c r="N75" s="40"/>
      <c r="O75" s="663">
        <f>IF(O74="","",ROUND(+O76+(((O74-O76)/(L74-L76))*(L75-L76)),1))</f>
        <v>33.5</v>
      </c>
      <c r="P75" s="664"/>
      <c r="Q75" s="414" t="s">
        <v>7</v>
      </c>
      <c r="R75" s="50"/>
      <c r="U75" s="123"/>
      <c r="V75" s="484" t="s">
        <v>136</v>
      </c>
      <c r="W75" s="547"/>
      <c r="X75" s="547"/>
      <c r="Y75" s="592"/>
      <c r="Z75" s="645">
        <f>S20</f>
        <v>89.99</v>
      </c>
      <c r="AA75" s="645"/>
      <c r="AD75" s="125"/>
    </row>
    <row r="76" spans="1:32" s="29" customFormat="1">
      <c r="A76" s="423"/>
      <c r="B76" s="60" t="str">
        <f>+B66</f>
        <v>Draft Inf</v>
      </c>
      <c r="F76" s="649">
        <v>495</v>
      </c>
      <c r="G76" s="649"/>
      <c r="I76" s="658">
        <v>321</v>
      </c>
      <c r="J76" s="659"/>
      <c r="K76" s="100"/>
      <c r="L76" s="660">
        <v>773</v>
      </c>
      <c r="M76" s="660"/>
      <c r="N76" s="40"/>
      <c r="O76" s="658">
        <v>32</v>
      </c>
      <c r="P76" s="658"/>
      <c r="Q76" s="126"/>
      <c r="R76" s="50"/>
      <c r="U76" s="123"/>
      <c r="V76" s="653" t="s">
        <v>137</v>
      </c>
      <c r="W76" s="654"/>
      <c r="X76" s="654"/>
      <c r="Y76" s="655"/>
      <c r="Z76" s="661">
        <v>41.7</v>
      </c>
      <c r="AA76" s="661"/>
      <c r="AD76" s="125"/>
    </row>
    <row r="77" spans="1:32" s="29" customFormat="1">
      <c r="A77" s="423"/>
      <c r="B77" s="127" t="s">
        <v>138</v>
      </c>
      <c r="F77" s="102"/>
      <c r="I77" s="63" t="s">
        <v>139</v>
      </c>
      <c r="J77" s="128"/>
      <c r="K77" s="67"/>
      <c r="N77" s="40"/>
      <c r="O77" s="63" t="s">
        <v>139</v>
      </c>
      <c r="P77" s="40"/>
      <c r="Q77" s="126"/>
      <c r="R77" s="50"/>
      <c r="U77" s="123"/>
      <c r="V77" s="653" t="s">
        <v>140</v>
      </c>
      <c r="W77" s="654"/>
      <c r="X77" s="654"/>
      <c r="Y77" s="655"/>
      <c r="Z77" s="656">
        <f>+Z75/2</f>
        <v>44.994999999999997</v>
      </c>
      <c r="AA77" s="656"/>
      <c r="AD77" s="125"/>
    </row>
    <row r="78" spans="1:32" s="29" customFormat="1" ht="15" thickBot="1">
      <c r="A78" s="423"/>
      <c r="B78" s="129"/>
      <c r="F78" s="102"/>
      <c r="J78" s="128"/>
      <c r="K78" s="67"/>
      <c r="N78" s="40"/>
      <c r="O78" s="104"/>
      <c r="P78" s="40"/>
      <c r="Q78" s="126"/>
      <c r="R78" s="50"/>
      <c r="U78" s="123"/>
      <c r="V78" s="653" t="s">
        <v>141</v>
      </c>
      <c r="W78" s="654"/>
      <c r="X78" s="654"/>
      <c r="Y78" s="655"/>
      <c r="Z78" s="657">
        <f>+(Z77-Z76)*100</f>
        <v>329.49999999999943</v>
      </c>
      <c r="AA78" s="657"/>
      <c r="AB78" s="130" t="str">
        <f>IF(Z78&lt;0,"F","A")</f>
        <v>A</v>
      </c>
      <c r="AD78" s="124"/>
    </row>
    <row r="79" spans="1:32" s="29" customFormat="1" ht="15" thickBot="1">
      <c r="A79" s="423"/>
      <c r="B79" s="131" t="s">
        <v>142</v>
      </c>
      <c r="C79" s="95"/>
      <c r="D79" s="95"/>
      <c r="E79" s="95"/>
      <c r="F79" s="132"/>
      <c r="G79" s="95"/>
      <c r="H79" s="95"/>
      <c r="I79" s="95"/>
      <c r="J79" s="133"/>
      <c r="K79" s="134"/>
      <c r="L79" s="95"/>
      <c r="M79" s="95"/>
      <c r="N79" s="96"/>
      <c r="O79" s="135"/>
      <c r="P79" s="96"/>
      <c r="Q79" s="136"/>
      <c r="R79" s="97"/>
      <c r="U79" s="137" t="s">
        <v>143</v>
      </c>
      <c r="V79" s="138"/>
      <c r="W79" s="139"/>
      <c r="X79" s="139"/>
      <c r="Y79" s="139"/>
      <c r="Z79" s="140"/>
      <c r="AA79" s="140"/>
      <c r="AB79" s="141"/>
      <c r="AC79" s="142"/>
      <c r="AD79" s="143"/>
    </row>
    <row r="80" spans="1:32" s="29" customFormat="1">
      <c r="A80" s="423"/>
      <c r="B80" s="144" t="s">
        <v>144</v>
      </c>
      <c r="F80" s="649">
        <f>F64+50</f>
        <v>546</v>
      </c>
      <c r="G80" s="649"/>
      <c r="I80" s="650">
        <v>88</v>
      </c>
      <c r="J80" s="651"/>
      <c r="K80" s="100"/>
      <c r="L80" s="649">
        <f>L64+50</f>
        <v>824</v>
      </c>
      <c r="M80" s="649"/>
      <c r="N80" s="40"/>
      <c r="O80" s="650">
        <v>88</v>
      </c>
      <c r="P80" s="650"/>
      <c r="Q80" s="126"/>
      <c r="R80" s="50"/>
    </row>
    <row r="81" spans="1:35" s="29" customFormat="1" ht="6" customHeight="1" thickBot="1">
      <c r="A81" s="423"/>
      <c r="B81" s="144"/>
      <c r="F81" s="145"/>
      <c r="G81" s="145"/>
      <c r="I81" s="102"/>
      <c r="J81" s="146"/>
      <c r="K81" s="100"/>
      <c r="L81" s="145"/>
      <c r="M81" s="145"/>
      <c r="N81" s="40"/>
      <c r="O81" s="102"/>
      <c r="P81" s="146"/>
      <c r="Q81" s="126"/>
      <c r="R81" s="50"/>
    </row>
    <row r="82" spans="1:35" s="29" customFormat="1">
      <c r="A82" s="423"/>
      <c r="B82" s="144" t="s">
        <v>145</v>
      </c>
      <c r="F82" s="649">
        <f>F66-50</f>
        <v>445</v>
      </c>
      <c r="G82" s="649"/>
      <c r="I82" s="650">
        <v>77</v>
      </c>
      <c r="J82" s="651"/>
      <c r="K82" s="100"/>
      <c r="L82" s="649">
        <f>L66+50</f>
        <v>823</v>
      </c>
      <c r="M82" s="649"/>
      <c r="N82" s="40"/>
      <c r="O82" s="650">
        <v>99</v>
      </c>
      <c r="P82" s="650"/>
      <c r="Q82" s="126"/>
      <c r="R82" s="50"/>
      <c r="U82" s="120" t="s">
        <v>146</v>
      </c>
      <c r="V82" s="121"/>
      <c r="W82" s="121"/>
      <c r="X82" s="121"/>
      <c r="Y82" s="121"/>
      <c r="Z82" s="121"/>
      <c r="AA82" s="121"/>
      <c r="AB82" s="121"/>
      <c r="AC82" s="121"/>
      <c r="AD82" s="122"/>
    </row>
    <row r="83" spans="1:35" s="29" customFormat="1">
      <c r="A83" s="423"/>
      <c r="B83" s="144" t="s">
        <v>147</v>
      </c>
      <c r="I83" s="504">
        <f>IF(+I80-I82=0,"",I80-I82)</f>
        <v>11</v>
      </c>
      <c r="J83" s="652"/>
      <c r="K83" s="100"/>
      <c r="L83" s="126"/>
      <c r="N83" s="40"/>
      <c r="O83" s="504">
        <f>IF(+O80-O82=0,"",O80-O82)</f>
        <v>-11</v>
      </c>
      <c r="P83" s="652"/>
      <c r="Q83" s="126"/>
      <c r="R83" s="50"/>
      <c r="U83" s="123" t="s">
        <v>148</v>
      </c>
      <c r="AD83" s="124"/>
    </row>
    <row r="84" spans="1:35" s="29" customFormat="1" thickBot="1">
      <c r="A84" s="423"/>
      <c r="B84" s="89"/>
      <c r="C84" s="24"/>
      <c r="D84" s="24"/>
      <c r="E84" s="24"/>
      <c r="F84" s="24"/>
      <c r="G84" s="24"/>
      <c r="H84" s="24"/>
      <c r="I84" s="24"/>
      <c r="K84" s="67"/>
      <c r="L84" s="93"/>
      <c r="M84" s="93"/>
      <c r="R84" s="50"/>
      <c r="U84" s="123"/>
      <c r="V84" s="484" t="s">
        <v>136</v>
      </c>
      <c r="W84" s="547"/>
      <c r="X84" s="547"/>
      <c r="Y84" s="592"/>
      <c r="Z84" s="645">
        <f>S20</f>
        <v>89.99</v>
      </c>
      <c r="AA84" s="646"/>
      <c r="AD84" s="124"/>
    </row>
    <row r="85" spans="1:35" s="29" customFormat="1" ht="14">
      <c r="A85" s="423"/>
      <c r="B85" s="147" t="s">
        <v>149</v>
      </c>
      <c r="C85" s="95"/>
      <c r="D85" s="148"/>
      <c r="E85" s="148"/>
      <c r="F85" s="148"/>
      <c r="G85" s="148"/>
      <c r="H85" s="647">
        <f>IF(S20="","",H86+(IF(K38="A",-I38+IF(K40="A",+I40,-I40),I38+IF(K40="A",I40,-I40))))</f>
        <v>12203</v>
      </c>
      <c r="I85" s="647"/>
      <c r="J85" s="647"/>
      <c r="K85" s="149"/>
      <c r="L85" s="95"/>
      <c r="M85" s="95"/>
      <c r="N85" s="647">
        <f>IF(S20="","",N86+(IF(Q38="A",-O38+IF(Q40="A",+O40,-O40),O38+IF(Q40="A",O40,-O40))))</f>
        <v>12203</v>
      </c>
      <c r="O85" s="647"/>
      <c r="P85" s="647"/>
      <c r="Q85" s="150"/>
      <c r="R85" s="97"/>
      <c r="U85" s="123"/>
      <c r="V85" s="484" t="s">
        <v>150</v>
      </c>
      <c r="W85" s="547"/>
      <c r="X85" s="547"/>
      <c r="Y85" s="592"/>
      <c r="Z85" s="648"/>
      <c r="AA85" s="648"/>
      <c r="AD85" s="124"/>
    </row>
    <row r="86" spans="1:35" s="29" customFormat="1" ht="14">
      <c r="A86" s="423"/>
      <c r="B86" s="144" t="s">
        <v>151</v>
      </c>
      <c r="D86" s="24"/>
      <c r="E86" s="24"/>
      <c r="F86" s="24"/>
      <c r="G86" s="24"/>
      <c r="H86" s="528">
        <v>12005</v>
      </c>
      <c r="I86" s="530"/>
      <c r="J86" s="530"/>
      <c r="K86" s="151"/>
      <c r="N86" s="528">
        <f>H86</f>
        <v>12005</v>
      </c>
      <c r="O86" s="507"/>
      <c r="P86" s="507"/>
      <c r="Q86" s="152"/>
      <c r="R86" s="50"/>
      <c r="U86" s="123"/>
      <c r="V86" s="484" t="s">
        <v>152</v>
      </c>
      <c r="W86" s="547"/>
      <c r="X86" s="547"/>
      <c r="Y86" s="592"/>
      <c r="Z86" s="644"/>
      <c r="AA86" s="644"/>
      <c r="AD86" s="124"/>
    </row>
    <row r="87" spans="1:35" s="29" customFormat="1" ht="14">
      <c r="A87" s="423"/>
      <c r="B87" s="144" t="s">
        <v>153</v>
      </c>
      <c r="D87" s="24"/>
      <c r="E87" s="24"/>
      <c r="F87" s="24"/>
      <c r="G87" s="24"/>
      <c r="H87" s="506">
        <f>IF(G30="","",+G30)</f>
        <v>1980.63</v>
      </c>
      <c r="I87" s="530"/>
      <c r="J87" s="530"/>
      <c r="K87" s="151"/>
      <c r="N87" s="506">
        <f>+H87</f>
        <v>1980.63</v>
      </c>
      <c r="O87" s="507"/>
      <c r="P87" s="507"/>
      <c r="Q87" s="152"/>
      <c r="R87" s="50"/>
      <c r="U87" s="123"/>
      <c r="V87" s="484" t="s">
        <v>154</v>
      </c>
      <c r="W87" s="547"/>
      <c r="X87" s="547"/>
      <c r="Y87" s="592"/>
      <c r="Z87" s="450" t="e">
        <f>ABS(ROUND(+S20*100/2-(S20*100*Z85/(Z85+Z86)),2))</f>
        <v>#DIV/0!</v>
      </c>
      <c r="AA87" s="450"/>
      <c r="AB87" s="153" t="e">
        <f>IF(+S20*100/2-(S20*100*Z85/(Z85+Z86))&lt;0,"F","A")</f>
        <v>#DIV/0!</v>
      </c>
      <c r="AC87" s="154"/>
      <c r="AD87" s="124"/>
    </row>
    <row r="88" spans="1:35" s="29" customFormat="1" thickBot="1">
      <c r="A88" s="423"/>
      <c r="B88" s="144" t="s">
        <v>155</v>
      </c>
      <c r="D88" s="24"/>
      <c r="E88" s="24"/>
      <c r="F88" s="24"/>
      <c r="G88" s="24"/>
      <c r="H88" s="528">
        <f>IF(H150="","",ROUND(ABS(H156-H150),2))</f>
        <v>333</v>
      </c>
      <c r="I88" s="530"/>
      <c r="J88" s="530"/>
      <c r="K88" s="155" t="s">
        <v>6</v>
      </c>
      <c r="N88" s="528">
        <f>IF(N150="","",ROUND(ABS(N156-N150),2))</f>
        <v>222</v>
      </c>
      <c r="O88" s="507"/>
      <c r="P88" s="507"/>
      <c r="Q88" s="156" t="str">
        <f>IF(O48="","",IF(N156-N150&lt;0,"F","A"))</f>
        <v>A</v>
      </c>
      <c r="R88" s="50"/>
      <c r="U88" s="137" t="s">
        <v>143</v>
      </c>
      <c r="V88" s="142"/>
      <c r="W88" s="142"/>
      <c r="X88" s="142"/>
      <c r="Y88" s="142"/>
      <c r="Z88" s="142"/>
      <c r="AA88" s="142"/>
      <c r="AB88" s="142"/>
      <c r="AC88" s="142"/>
      <c r="AD88" s="143"/>
    </row>
    <row r="89" spans="1:35" s="29" customFormat="1" ht="14">
      <c r="A89" s="423"/>
      <c r="B89" s="144" t="s">
        <v>156</v>
      </c>
      <c r="D89" s="24"/>
      <c r="E89" s="24"/>
      <c r="F89" s="24"/>
      <c r="G89" s="24"/>
      <c r="H89" s="528">
        <f>IF(H152="","",ROUND(ABS(H158-H152),2))</f>
        <v>327.60000000000002</v>
      </c>
      <c r="I89" s="530"/>
      <c r="J89" s="530"/>
      <c r="K89" s="155" t="str">
        <f>IF(I48="","",IF(H158-H152&lt;0,"F","A"))</f>
        <v>A</v>
      </c>
      <c r="N89" s="528">
        <f>IF(N152="","",ROUND(ABS(N158-N152),2))</f>
        <v>218.4</v>
      </c>
      <c r="O89" s="507"/>
      <c r="P89" s="507"/>
      <c r="Q89" s="156" t="str">
        <f>IF(O48="","",IF(N158-N152&lt;0,"F","A"))</f>
        <v>A</v>
      </c>
      <c r="R89" s="50"/>
    </row>
    <row r="90" spans="1:35" s="29" customFormat="1" thickBot="1">
      <c r="A90" s="423"/>
      <c r="B90" s="58"/>
      <c r="D90" s="24"/>
      <c r="E90" s="24"/>
      <c r="F90" s="24"/>
      <c r="G90" s="24"/>
      <c r="H90" s="157"/>
      <c r="I90" s="158"/>
      <c r="J90" s="158"/>
      <c r="K90" s="156"/>
      <c r="N90" s="157"/>
      <c r="O90" s="159"/>
      <c r="P90" s="159"/>
      <c r="Q90" s="156"/>
    </row>
    <row r="91" spans="1:35" s="29" customFormat="1" ht="6.5" customHeight="1">
      <c r="A91" s="423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</row>
    <row r="92" spans="1:35" s="420" customFormat="1" ht="6.5" customHeight="1">
      <c r="A92" s="423"/>
      <c r="B92" s="419"/>
    </row>
    <row r="93" spans="1:35" s="29" customFormat="1" ht="13">
      <c r="A93" s="426"/>
      <c r="B93" s="589" t="s">
        <v>18</v>
      </c>
      <c r="C93" s="589"/>
      <c r="D93" s="589" t="s">
        <v>381</v>
      </c>
      <c r="E93" s="589"/>
      <c r="F93" s="589" t="s">
        <v>20</v>
      </c>
      <c r="G93" s="589"/>
      <c r="H93" s="589" t="s">
        <v>21</v>
      </c>
      <c r="I93" s="589"/>
      <c r="J93" s="589" t="s">
        <v>22</v>
      </c>
      <c r="K93" s="591"/>
      <c r="L93" s="592" t="s">
        <v>380</v>
      </c>
      <c r="M93" s="589"/>
      <c r="N93" s="589" t="s">
        <v>20</v>
      </c>
      <c r="O93" s="589"/>
      <c r="P93" s="589" t="s">
        <v>21</v>
      </c>
      <c r="Q93" s="589"/>
      <c r="R93" s="589" t="s">
        <v>22</v>
      </c>
      <c r="S93" s="590"/>
      <c r="U93" s="430"/>
      <c r="V93" s="431"/>
      <c r="W93" s="431"/>
      <c r="X93" s="431"/>
      <c r="Y93" s="431"/>
      <c r="Z93" s="431"/>
      <c r="AA93" s="431"/>
      <c r="AB93" s="431"/>
      <c r="AC93" s="431"/>
      <c r="AD93" s="431"/>
      <c r="AE93" s="431"/>
      <c r="AF93" s="431"/>
      <c r="AG93" s="431"/>
      <c r="AH93" s="431"/>
      <c r="AI93" s="431"/>
    </row>
    <row r="94" spans="1:35" s="29" customFormat="1" ht="14.25" customHeight="1">
      <c r="A94" s="423"/>
      <c r="B94" s="627" t="s">
        <v>405</v>
      </c>
      <c r="C94" s="627"/>
      <c r="D94" s="637" t="s">
        <v>387</v>
      </c>
      <c r="E94" s="638"/>
      <c r="F94" s="632">
        <v>455</v>
      </c>
      <c r="G94" s="639"/>
      <c r="H94" s="613">
        <v>1.026</v>
      </c>
      <c r="I94" s="613"/>
      <c r="J94" s="640">
        <f t="shared" ref="J94:J123" si="0">ROUND(F94*H94,3)</f>
        <v>466.83</v>
      </c>
      <c r="K94" s="641"/>
      <c r="L94" s="637" t="s">
        <v>388</v>
      </c>
      <c r="M94" s="638"/>
      <c r="N94" s="632">
        <v>0</v>
      </c>
      <c r="O94" s="633"/>
      <c r="P94" s="613">
        <v>1.026</v>
      </c>
      <c r="Q94" s="613"/>
      <c r="R94" s="642">
        <f>+ROUND(N94*P94,3)</f>
        <v>0</v>
      </c>
      <c r="S94" s="643"/>
      <c r="U94" s="431"/>
      <c r="V94" s="620"/>
      <c r="W94" s="620"/>
      <c r="X94" s="620"/>
      <c r="Y94" s="623"/>
      <c r="Z94" s="624"/>
      <c r="AA94" s="629"/>
      <c r="AB94" s="629"/>
      <c r="AC94" s="431"/>
      <c r="AD94" s="431"/>
      <c r="AE94" s="431"/>
      <c r="AF94" s="431"/>
      <c r="AG94" s="431"/>
      <c r="AH94" s="431"/>
      <c r="AI94" s="431"/>
    </row>
    <row r="95" spans="1:35" s="29" customFormat="1" ht="14.25" customHeight="1">
      <c r="A95" s="423"/>
      <c r="B95" s="627" t="s">
        <v>406</v>
      </c>
      <c r="C95" s="627"/>
      <c r="D95" s="637" t="s">
        <v>387</v>
      </c>
      <c r="E95" s="638"/>
      <c r="F95" s="637">
        <v>455</v>
      </c>
      <c r="G95" s="638"/>
      <c r="H95" s="600">
        <v>1.026</v>
      </c>
      <c r="I95" s="601"/>
      <c r="J95" s="581">
        <f t="shared" si="0"/>
        <v>466.83</v>
      </c>
      <c r="K95" s="582"/>
      <c r="L95" s="637" t="s">
        <v>388</v>
      </c>
      <c r="M95" s="638"/>
      <c r="N95" s="632">
        <v>0</v>
      </c>
      <c r="O95" s="633"/>
      <c r="P95" s="600">
        <v>1.026</v>
      </c>
      <c r="Q95" s="601"/>
      <c r="R95" s="602">
        <f>+ROUND(N95*P95,3)</f>
        <v>0</v>
      </c>
      <c r="S95" s="603"/>
      <c r="U95" s="431"/>
      <c r="V95" s="431"/>
      <c r="W95" s="431"/>
      <c r="X95" s="431"/>
      <c r="Y95" s="431"/>
      <c r="Z95" s="431"/>
      <c r="AA95" s="629"/>
      <c r="AB95" s="629"/>
      <c r="AC95" s="629"/>
      <c r="AD95" s="629"/>
      <c r="AE95" s="431"/>
      <c r="AF95" s="431"/>
      <c r="AG95" s="431"/>
      <c r="AH95" s="431"/>
      <c r="AI95" s="431"/>
    </row>
    <row r="96" spans="1:35" s="29" customFormat="1" ht="14.25" customHeight="1">
      <c r="A96" s="423"/>
      <c r="B96" s="627"/>
      <c r="C96" s="627"/>
      <c r="D96" s="637"/>
      <c r="E96" s="638"/>
      <c r="F96" s="637"/>
      <c r="G96" s="638"/>
      <c r="H96" s="600"/>
      <c r="I96" s="601"/>
      <c r="J96" s="581">
        <f t="shared" si="0"/>
        <v>0</v>
      </c>
      <c r="K96" s="582"/>
      <c r="L96" s="637"/>
      <c r="M96" s="638"/>
      <c r="N96" s="632"/>
      <c r="O96" s="633"/>
      <c r="P96" s="600"/>
      <c r="Q96" s="601"/>
      <c r="R96" s="602">
        <f t="shared" ref="R96:R123" si="1">+ROUND(N96*P96,3)</f>
        <v>0</v>
      </c>
      <c r="S96" s="603"/>
      <c r="U96" s="431"/>
      <c r="V96" s="431"/>
      <c r="W96" s="431"/>
      <c r="X96" s="431"/>
      <c r="Y96" s="431"/>
      <c r="Z96" s="431"/>
      <c r="AA96" s="629"/>
      <c r="AB96" s="629"/>
      <c r="AC96" s="629"/>
      <c r="AD96" s="629"/>
      <c r="AE96" s="431"/>
      <c r="AF96" s="431"/>
      <c r="AG96" s="629"/>
      <c r="AH96" s="629"/>
      <c r="AI96" s="431"/>
    </row>
    <row r="97" spans="1:35" s="29" customFormat="1" ht="14.25" customHeight="1">
      <c r="A97" s="423"/>
      <c r="B97" s="627"/>
      <c r="C97" s="627"/>
      <c r="D97" s="577"/>
      <c r="E97" s="578"/>
      <c r="F97" s="577"/>
      <c r="G97" s="578"/>
      <c r="H97" s="600"/>
      <c r="I97" s="601"/>
      <c r="J97" s="581">
        <f t="shared" si="0"/>
        <v>0</v>
      </c>
      <c r="K97" s="582"/>
      <c r="L97" s="577"/>
      <c r="M97" s="578"/>
      <c r="N97" s="632"/>
      <c r="O97" s="633"/>
      <c r="P97" s="600"/>
      <c r="Q97" s="601"/>
      <c r="R97" s="602">
        <f t="shared" si="1"/>
        <v>0</v>
      </c>
      <c r="S97" s="603"/>
      <c r="U97" s="431"/>
      <c r="V97" s="431"/>
      <c r="W97" s="431"/>
      <c r="X97" s="431"/>
      <c r="Y97" s="431"/>
      <c r="Z97" s="431"/>
      <c r="AA97" s="628"/>
      <c r="AB97" s="628"/>
      <c r="AC97" s="628"/>
      <c r="AD97" s="628"/>
      <c r="AE97" s="431"/>
      <c r="AF97" s="431"/>
      <c r="AG97" s="623"/>
      <c r="AH97" s="624"/>
      <c r="AI97" s="431"/>
    </row>
    <row r="98" spans="1:35" s="29" customFormat="1" ht="14.25" customHeight="1">
      <c r="A98" s="423"/>
      <c r="B98" s="627"/>
      <c r="C98" s="627"/>
      <c r="D98" s="577"/>
      <c r="E98" s="578"/>
      <c r="F98" s="577"/>
      <c r="G98" s="578"/>
      <c r="H98" s="600"/>
      <c r="I98" s="601"/>
      <c r="J98" s="581">
        <f t="shared" si="0"/>
        <v>0</v>
      </c>
      <c r="K98" s="582"/>
      <c r="L98" s="577"/>
      <c r="M98" s="578"/>
      <c r="N98" s="632"/>
      <c r="O98" s="633"/>
      <c r="P98" s="600"/>
      <c r="Q98" s="601"/>
      <c r="R98" s="602">
        <f t="shared" si="1"/>
        <v>0</v>
      </c>
      <c r="S98" s="603"/>
      <c r="U98" s="431"/>
      <c r="V98" s="620"/>
      <c r="W98" s="620"/>
      <c r="X98" s="620"/>
      <c r="Y98" s="621"/>
      <c r="Z98" s="621"/>
      <c r="AA98" s="636"/>
      <c r="AB98" s="636"/>
      <c r="AC98" s="636"/>
      <c r="AD98" s="636"/>
      <c r="AE98" s="431"/>
      <c r="AF98" s="431"/>
      <c r="AG98" s="626"/>
      <c r="AH98" s="626"/>
      <c r="AI98" s="431"/>
    </row>
    <row r="99" spans="1:35" s="29" customFormat="1" ht="14.25" customHeight="1">
      <c r="A99" s="423"/>
      <c r="B99" s="627"/>
      <c r="C99" s="627"/>
      <c r="D99" s="577"/>
      <c r="E99" s="578"/>
      <c r="F99" s="577"/>
      <c r="G99" s="578"/>
      <c r="H99" s="600"/>
      <c r="I99" s="601"/>
      <c r="J99" s="581">
        <f t="shared" si="0"/>
        <v>0</v>
      </c>
      <c r="K99" s="582"/>
      <c r="L99" s="577"/>
      <c r="M99" s="578"/>
      <c r="N99" s="632"/>
      <c r="O99" s="633"/>
      <c r="P99" s="600"/>
      <c r="Q99" s="601"/>
      <c r="R99" s="602">
        <f t="shared" si="1"/>
        <v>0</v>
      </c>
      <c r="S99" s="603"/>
      <c r="U99" s="431"/>
      <c r="V99" s="620"/>
      <c r="W99" s="620"/>
      <c r="X99" s="620"/>
      <c r="Y99" s="621"/>
      <c r="Z99" s="621"/>
      <c r="AA99" s="636"/>
      <c r="AB99" s="636"/>
      <c r="AC99" s="636"/>
      <c r="AD99" s="636"/>
      <c r="AE99" s="431"/>
      <c r="AF99" s="431"/>
      <c r="AG99" s="626"/>
      <c r="AH99" s="626"/>
      <c r="AI99" s="431"/>
    </row>
    <row r="100" spans="1:35" s="29" customFormat="1" ht="14.25" customHeight="1">
      <c r="A100" s="423"/>
      <c r="B100" s="627"/>
      <c r="C100" s="627"/>
      <c r="D100" s="577"/>
      <c r="E100" s="578"/>
      <c r="F100" s="577"/>
      <c r="G100" s="578"/>
      <c r="H100" s="600"/>
      <c r="I100" s="601"/>
      <c r="J100" s="581">
        <f t="shared" si="0"/>
        <v>0</v>
      </c>
      <c r="K100" s="582"/>
      <c r="L100" s="577"/>
      <c r="M100" s="578"/>
      <c r="N100" s="632"/>
      <c r="O100" s="633"/>
      <c r="P100" s="600"/>
      <c r="Q100" s="601"/>
      <c r="R100" s="602">
        <f t="shared" si="1"/>
        <v>0</v>
      </c>
      <c r="S100" s="603"/>
      <c r="U100" s="431"/>
      <c r="V100" s="431"/>
      <c r="W100" s="431"/>
      <c r="X100" s="431"/>
      <c r="Y100" s="431"/>
      <c r="Z100" s="431"/>
      <c r="AA100" s="431"/>
      <c r="AB100" s="431"/>
      <c r="AC100" s="431"/>
      <c r="AD100" s="431"/>
      <c r="AE100" s="431"/>
      <c r="AF100" s="431"/>
      <c r="AG100" s="431"/>
      <c r="AH100" s="431"/>
      <c r="AI100" s="431"/>
    </row>
    <row r="101" spans="1:35" s="29" customFormat="1" ht="14.25" customHeight="1">
      <c r="A101" s="423"/>
      <c r="B101" s="627"/>
      <c r="C101" s="627"/>
      <c r="D101" s="577"/>
      <c r="E101" s="578"/>
      <c r="F101" s="577"/>
      <c r="G101" s="578"/>
      <c r="H101" s="600"/>
      <c r="I101" s="601"/>
      <c r="J101" s="581">
        <f t="shared" si="0"/>
        <v>0</v>
      </c>
      <c r="K101" s="582"/>
      <c r="L101" s="577"/>
      <c r="M101" s="578"/>
      <c r="N101" s="632"/>
      <c r="O101" s="633"/>
      <c r="P101" s="600"/>
      <c r="Q101" s="601"/>
      <c r="R101" s="602">
        <f t="shared" si="1"/>
        <v>0</v>
      </c>
      <c r="S101" s="603"/>
      <c r="U101" s="431"/>
      <c r="V101" s="620"/>
      <c r="W101" s="620"/>
      <c r="X101" s="620"/>
      <c r="Y101" s="623"/>
      <c r="Z101" s="624"/>
      <c r="AA101" s="431"/>
      <c r="AB101" s="636"/>
      <c r="AC101" s="636"/>
      <c r="AD101" s="431"/>
      <c r="AE101" s="431"/>
      <c r="AF101" s="431"/>
      <c r="AG101" s="431"/>
      <c r="AH101" s="431"/>
      <c r="AI101" s="431"/>
    </row>
    <row r="102" spans="1:35" s="29" customFormat="1" ht="14.25" customHeight="1">
      <c r="A102" s="423"/>
      <c r="B102" s="627"/>
      <c r="C102" s="627"/>
      <c r="D102" s="577"/>
      <c r="E102" s="578"/>
      <c r="F102" s="577"/>
      <c r="G102" s="578"/>
      <c r="H102" s="600"/>
      <c r="I102" s="601"/>
      <c r="J102" s="581">
        <f t="shared" si="0"/>
        <v>0</v>
      </c>
      <c r="K102" s="582"/>
      <c r="L102" s="577"/>
      <c r="M102" s="578"/>
      <c r="N102" s="632"/>
      <c r="O102" s="633"/>
      <c r="P102" s="600"/>
      <c r="Q102" s="601"/>
      <c r="R102" s="602">
        <f t="shared" si="1"/>
        <v>0</v>
      </c>
      <c r="S102" s="603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  <c r="AG102" s="431"/>
      <c r="AH102" s="431"/>
      <c r="AI102" s="431"/>
    </row>
    <row r="103" spans="1:35" s="29" customFormat="1" ht="14.25" customHeight="1">
      <c r="A103" s="423"/>
      <c r="B103" s="627"/>
      <c r="C103" s="627"/>
      <c r="D103" s="577"/>
      <c r="E103" s="578"/>
      <c r="F103" s="634"/>
      <c r="G103" s="635"/>
      <c r="H103" s="613"/>
      <c r="I103" s="613"/>
      <c r="J103" s="581">
        <f t="shared" si="0"/>
        <v>0</v>
      </c>
      <c r="K103" s="582"/>
      <c r="L103" s="577"/>
      <c r="M103" s="578"/>
      <c r="N103" s="632"/>
      <c r="O103" s="633"/>
      <c r="P103" s="613"/>
      <c r="Q103" s="613"/>
      <c r="R103" s="602">
        <f t="shared" si="1"/>
        <v>0</v>
      </c>
      <c r="S103" s="603"/>
      <c r="U103" s="431"/>
      <c r="V103" s="431"/>
      <c r="W103" s="431"/>
      <c r="X103" s="431"/>
      <c r="Y103" s="431"/>
      <c r="Z103" s="431"/>
      <c r="AA103" s="431"/>
      <c r="AB103" s="431"/>
      <c r="AC103" s="431"/>
      <c r="AD103" s="431"/>
      <c r="AE103" s="431"/>
      <c r="AF103" s="431"/>
      <c r="AG103" s="431"/>
      <c r="AH103" s="431"/>
      <c r="AI103" s="431"/>
    </row>
    <row r="104" spans="1:35" s="29" customFormat="1" ht="14.25" customHeight="1">
      <c r="A104" s="423"/>
      <c r="B104" s="627"/>
      <c r="C104" s="627"/>
      <c r="D104" s="577"/>
      <c r="E104" s="578"/>
      <c r="F104" s="618"/>
      <c r="G104" s="631"/>
      <c r="H104" s="600"/>
      <c r="I104" s="601"/>
      <c r="J104" s="581">
        <f t="shared" si="0"/>
        <v>0</v>
      </c>
      <c r="K104" s="582"/>
      <c r="L104" s="577"/>
      <c r="M104" s="578"/>
      <c r="N104" s="585"/>
      <c r="O104" s="614"/>
      <c r="P104" s="600"/>
      <c r="Q104" s="601"/>
      <c r="R104" s="602">
        <f t="shared" si="1"/>
        <v>0</v>
      </c>
      <c r="S104" s="603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630"/>
      <c r="AG104" s="629"/>
      <c r="AH104" s="431"/>
      <c r="AI104" s="431"/>
    </row>
    <row r="105" spans="1:35" s="29" customFormat="1" ht="14.25" customHeight="1">
      <c r="A105" s="423"/>
      <c r="B105" s="627"/>
      <c r="C105" s="627"/>
      <c r="D105" s="577"/>
      <c r="E105" s="578"/>
      <c r="F105" s="618"/>
      <c r="G105" s="631"/>
      <c r="H105" s="600"/>
      <c r="I105" s="601"/>
      <c r="J105" s="581">
        <f t="shared" si="0"/>
        <v>0</v>
      </c>
      <c r="K105" s="582"/>
      <c r="L105" s="577"/>
      <c r="M105" s="578"/>
      <c r="N105" s="585"/>
      <c r="O105" s="614"/>
      <c r="P105" s="600"/>
      <c r="Q105" s="601"/>
      <c r="R105" s="602">
        <f t="shared" si="1"/>
        <v>0</v>
      </c>
      <c r="S105" s="603"/>
      <c r="U105" s="431"/>
      <c r="V105" s="620"/>
      <c r="W105" s="620"/>
      <c r="X105" s="620"/>
      <c r="Y105" s="623"/>
      <c r="Z105" s="624"/>
      <c r="AA105" s="431"/>
      <c r="AB105" s="431"/>
      <c r="AC105" s="431"/>
      <c r="AD105" s="431"/>
      <c r="AE105" s="431"/>
      <c r="AF105" s="629"/>
      <c r="AG105" s="629"/>
      <c r="AH105" s="431"/>
      <c r="AI105" s="431"/>
    </row>
    <row r="106" spans="1:35" s="29" customFormat="1" ht="14.25" customHeight="1">
      <c r="A106" s="423"/>
      <c r="B106" s="627"/>
      <c r="C106" s="627"/>
      <c r="D106" s="577"/>
      <c r="E106" s="578"/>
      <c r="F106" s="618"/>
      <c r="G106" s="619"/>
      <c r="H106" s="600"/>
      <c r="I106" s="601"/>
      <c r="J106" s="581">
        <f t="shared" si="0"/>
        <v>0</v>
      </c>
      <c r="K106" s="582"/>
      <c r="L106" s="577"/>
      <c r="M106" s="578"/>
      <c r="N106" s="585"/>
      <c r="O106" s="614"/>
      <c r="P106" s="600"/>
      <c r="Q106" s="601"/>
      <c r="R106" s="602">
        <f t="shared" si="1"/>
        <v>0</v>
      </c>
      <c r="S106" s="603"/>
      <c r="U106" s="431"/>
      <c r="V106" s="431"/>
      <c r="W106" s="431"/>
      <c r="X106" s="431"/>
      <c r="Y106" s="431"/>
      <c r="Z106" s="431"/>
      <c r="AA106" s="629"/>
      <c r="AB106" s="629"/>
      <c r="AC106" s="629"/>
      <c r="AD106" s="629"/>
      <c r="AE106" s="431"/>
      <c r="AF106" s="629"/>
      <c r="AG106" s="629"/>
      <c r="AH106" s="431"/>
      <c r="AI106" s="431"/>
    </row>
    <row r="107" spans="1:35" s="29" customFormat="1" ht="14.25" customHeight="1">
      <c r="A107" s="423"/>
      <c r="B107" s="627"/>
      <c r="C107" s="627"/>
      <c r="D107" s="577"/>
      <c r="E107" s="578"/>
      <c r="F107" s="618"/>
      <c r="G107" s="619"/>
      <c r="H107" s="600"/>
      <c r="I107" s="601"/>
      <c r="J107" s="581">
        <f t="shared" si="0"/>
        <v>0</v>
      </c>
      <c r="K107" s="582"/>
      <c r="L107" s="577"/>
      <c r="M107" s="578"/>
      <c r="N107" s="585"/>
      <c r="O107" s="614"/>
      <c r="P107" s="600"/>
      <c r="Q107" s="601"/>
      <c r="R107" s="602">
        <f t="shared" si="1"/>
        <v>0</v>
      </c>
      <c r="S107" s="603"/>
      <c r="U107" s="431"/>
      <c r="V107" s="431"/>
      <c r="W107" s="431"/>
      <c r="X107" s="431"/>
      <c r="Y107" s="431"/>
      <c r="Z107" s="431"/>
      <c r="AA107" s="629"/>
      <c r="AB107" s="629"/>
      <c r="AC107" s="629"/>
      <c r="AD107" s="629"/>
      <c r="AE107" s="431"/>
      <c r="AF107" s="431"/>
      <c r="AG107" s="629"/>
      <c r="AH107" s="629"/>
      <c r="AI107" s="431"/>
    </row>
    <row r="108" spans="1:35" s="29" customFormat="1" ht="14.25" customHeight="1">
      <c r="A108" s="423"/>
      <c r="B108" s="627"/>
      <c r="C108" s="627"/>
      <c r="D108" s="577"/>
      <c r="E108" s="578"/>
      <c r="F108" s="618"/>
      <c r="G108" s="619"/>
      <c r="H108" s="600"/>
      <c r="I108" s="601"/>
      <c r="J108" s="581">
        <f t="shared" si="0"/>
        <v>0</v>
      </c>
      <c r="K108" s="582"/>
      <c r="L108" s="577"/>
      <c r="M108" s="578"/>
      <c r="N108" s="585"/>
      <c r="O108" s="614"/>
      <c r="P108" s="600"/>
      <c r="Q108" s="601"/>
      <c r="R108" s="602">
        <f t="shared" si="1"/>
        <v>0</v>
      </c>
      <c r="S108" s="603"/>
      <c r="U108" s="431"/>
      <c r="V108" s="431"/>
      <c r="W108" s="431"/>
      <c r="X108" s="431"/>
      <c r="Y108" s="431"/>
      <c r="Z108" s="431"/>
      <c r="AA108" s="628"/>
      <c r="AB108" s="628"/>
      <c r="AC108" s="628"/>
      <c r="AD108" s="628"/>
      <c r="AE108" s="431"/>
      <c r="AF108" s="431"/>
      <c r="AG108" s="623"/>
      <c r="AH108" s="624"/>
      <c r="AI108" s="431"/>
    </row>
    <row r="109" spans="1:35" s="29" customFormat="1" ht="14.25" customHeight="1">
      <c r="A109" s="423"/>
      <c r="B109" s="627"/>
      <c r="C109" s="627"/>
      <c r="D109" s="616"/>
      <c r="E109" s="617"/>
      <c r="F109" s="618"/>
      <c r="G109" s="619"/>
      <c r="H109" s="600"/>
      <c r="I109" s="601"/>
      <c r="J109" s="581">
        <f t="shared" si="0"/>
        <v>0</v>
      </c>
      <c r="K109" s="582"/>
      <c r="L109" s="577"/>
      <c r="M109" s="578"/>
      <c r="N109" s="585"/>
      <c r="O109" s="614"/>
      <c r="P109" s="600"/>
      <c r="Q109" s="601"/>
      <c r="R109" s="602">
        <f t="shared" si="1"/>
        <v>0</v>
      </c>
      <c r="S109" s="603"/>
      <c r="U109" s="431"/>
      <c r="V109" s="620"/>
      <c r="W109" s="620"/>
      <c r="X109" s="620"/>
      <c r="Y109" s="621"/>
      <c r="Z109" s="621"/>
      <c r="AA109" s="622"/>
      <c r="AB109" s="622"/>
      <c r="AC109" s="622"/>
      <c r="AD109" s="622"/>
      <c r="AE109" s="431"/>
      <c r="AF109" s="431"/>
      <c r="AG109" s="626"/>
      <c r="AH109" s="626"/>
      <c r="AI109" s="431"/>
    </row>
    <row r="110" spans="1:35" s="29" customFormat="1" ht="14.25" customHeight="1">
      <c r="A110" s="423"/>
      <c r="B110" s="627"/>
      <c r="C110" s="627"/>
      <c r="D110" s="616"/>
      <c r="E110" s="617"/>
      <c r="F110" s="618"/>
      <c r="G110" s="619"/>
      <c r="H110" s="600"/>
      <c r="I110" s="601"/>
      <c r="J110" s="581">
        <f>ROUND(F110*H110,3)</f>
        <v>0</v>
      </c>
      <c r="K110" s="582"/>
      <c r="L110" s="577"/>
      <c r="M110" s="578"/>
      <c r="N110" s="585"/>
      <c r="O110" s="614"/>
      <c r="P110" s="600"/>
      <c r="Q110" s="601"/>
      <c r="R110" s="602">
        <f t="shared" si="1"/>
        <v>0</v>
      </c>
      <c r="S110" s="603"/>
      <c r="U110" s="431"/>
      <c r="V110" s="620"/>
      <c r="W110" s="620"/>
      <c r="X110" s="620"/>
      <c r="Y110" s="621"/>
      <c r="Z110" s="621"/>
      <c r="AA110" s="622"/>
      <c r="AB110" s="622"/>
      <c r="AC110" s="622"/>
      <c r="AD110" s="622"/>
      <c r="AE110" s="431"/>
      <c r="AF110" s="431"/>
      <c r="AG110" s="626"/>
      <c r="AH110" s="626"/>
      <c r="AI110" s="431"/>
    </row>
    <row r="111" spans="1:35" s="29" customFormat="1" ht="14.25" customHeight="1">
      <c r="A111" s="423"/>
      <c r="B111" s="576"/>
      <c r="C111" s="576"/>
      <c r="D111" s="616"/>
      <c r="E111" s="617"/>
      <c r="F111" s="618"/>
      <c r="G111" s="619"/>
      <c r="H111" s="600"/>
      <c r="I111" s="601"/>
      <c r="J111" s="581">
        <f t="shared" si="0"/>
        <v>0</v>
      </c>
      <c r="K111" s="582"/>
      <c r="L111" s="577"/>
      <c r="M111" s="578"/>
      <c r="N111" s="585"/>
      <c r="O111" s="614"/>
      <c r="P111" s="600"/>
      <c r="Q111" s="601"/>
      <c r="R111" s="602">
        <f t="shared" si="1"/>
        <v>0</v>
      </c>
      <c r="S111" s="603"/>
      <c r="U111" s="431"/>
      <c r="V111" s="431"/>
      <c r="W111" s="431"/>
      <c r="X111" s="431"/>
      <c r="Y111" s="431"/>
      <c r="Z111" s="431"/>
      <c r="AA111" s="431"/>
      <c r="AB111" s="431"/>
      <c r="AC111" s="431"/>
      <c r="AD111" s="431"/>
      <c r="AE111" s="431"/>
      <c r="AF111" s="431"/>
      <c r="AG111" s="431"/>
      <c r="AH111" s="431"/>
      <c r="AI111" s="431"/>
    </row>
    <row r="112" spans="1:35" s="29" customFormat="1" ht="14.25" customHeight="1">
      <c r="A112" s="423"/>
      <c r="B112" s="576"/>
      <c r="C112" s="576"/>
      <c r="D112" s="616"/>
      <c r="E112" s="617"/>
      <c r="F112" s="618"/>
      <c r="G112" s="619"/>
      <c r="H112" s="613"/>
      <c r="I112" s="613"/>
      <c r="J112" s="581">
        <f t="shared" si="0"/>
        <v>0</v>
      </c>
      <c r="K112" s="582"/>
      <c r="L112" s="577"/>
      <c r="M112" s="578"/>
      <c r="N112" s="585"/>
      <c r="O112" s="586"/>
      <c r="P112" s="613"/>
      <c r="Q112" s="613"/>
      <c r="R112" s="602">
        <f t="shared" si="1"/>
        <v>0</v>
      </c>
      <c r="S112" s="603"/>
      <c r="U112" s="431"/>
      <c r="V112" s="620"/>
      <c r="W112" s="620"/>
      <c r="X112" s="620"/>
      <c r="Y112" s="623"/>
      <c r="Z112" s="624"/>
      <c r="AA112" s="431"/>
      <c r="AB112" s="625"/>
      <c r="AC112" s="625"/>
      <c r="AD112" s="431"/>
      <c r="AE112" s="431"/>
      <c r="AF112" s="431"/>
      <c r="AG112" s="431"/>
      <c r="AH112" s="431"/>
      <c r="AI112" s="431"/>
    </row>
    <row r="113" spans="1:35" s="29" customFormat="1" ht="14.25" customHeight="1">
      <c r="A113" s="423"/>
      <c r="B113" s="576"/>
      <c r="C113" s="576"/>
      <c r="D113" s="616"/>
      <c r="E113" s="617"/>
      <c r="F113" s="618"/>
      <c r="G113" s="619"/>
      <c r="H113" s="613"/>
      <c r="I113" s="613"/>
      <c r="J113" s="581">
        <f t="shared" si="0"/>
        <v>0</v>
      </c>
      <c r="K113" s="582"/>
      <c r="L113" s="583"/>
      <c r="M113" s="584"/>
      <c r="N113" s="585"/>
      <c r="O113" s="586"/>
      <c r="P113" s="613"/>
      <c r="Q113" s="613"/>
      <c r="R113" s="602">
        <f t="shared" si="1"/>
        <v>0</v>
      </c>
      <c r="S113" s="603"/>
      <c r="U113" s="431"/>
      <c r="V113" s="431"/>
      <c r="W113" s="431"/>
      <c r="X113" s="431"/>
      <c r="Y113" s="431"/>
      <c r="Z113" s="431"/>
      <c r="AA113" s="431"/>
      <c r="AB113" s="431"/>
      <c r="AC113" s="431"/>
      <c r="AD113" s="431"/>
      <c r="AE113" s="431"/>
      <c r="AF113" s="431"/>
      <c r="AG113" s="431"/>
      <c r="AH113" s="431"/>
      <c r="AI113" s="431"/>
    </row>
    <row r="114" spans="1:35" s="29" customFormat="1" ht="14.25" customHeight="1">
      <c r="A114" s="423"/>
      <c r="B114" s="576"/>
      <c r="C114" s="576"/>
      <c r="D114" s="616"/>
      <c r="E114" s="617"/>
      <c r="F114" s="618"/>
      <c r="G114" s="619"/>
      <c r="H114" s="613"/>
      <c r="I114" s="613"/>
      <c r="J114" s="581">
        <f t="shared" si="0"/>
        <v>0</v>
      </c>
      <c r="K114" s="582"/>
      <c r="L114" s="583"/>
      <c r="M114" s="584"/>
      <c r="N114" s="585"/>
      <c r="O114" s="586"/>
      <c r="P114" s="613"/>
      <c r="Q114" s="613"/>
      <c r="R114" s="602">
        <f t="shared" si="1"/>
        <v>0</v>
      </c>
      <c r="S114" s="603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1"/>
      <c r="AH114" s="431"/>
      <c r="AI114" s="431"/>
    </row>
    <row r="115" spans="1:35" s="29" customFormat="1" ht="14.25" customHeight="1">
      <c r="A115" s="423"/>
      <c r="B115" s="576"/>
      <c r="C115" s="576"/>
      <c r="D115" s="616"/>
      <c r="E115" s="617"/>
      <c r="F115" s="618"/>
      <c r="G115" s="619"/>
      <c r="H115" s="613"/>
      <c r="I115" s="613"/>
      <c r="J115" s="581">
        <f t="shared" si="0"/>
        <v>0</v>
      </c>
      <c r="K115" s="582"/>
      <c r="L115" s="583"/>
      <c r="M115" s="584"/>
      <c r="N115" s="583"/>
      <c r="O115" s="584"/>
      <c r="P115" s="613"/>
      <c r="Q115" s="613"/>
      <c r="R115" s="602">
        <f t="shared" si="1"/>
        <v>0</v>
      </c>
      <c r="S115" s="603"/>
      <c r="U115" s="431"/>
      <c r="V115" s="431"/>
      <c r="W115" s="431"/>
      <c r="X115" s="431"/>
      <c r="Y115" s="431"/>
      <c r="Z115" s="431"/>
      <c r="AA115" s="431"/>
      <c r="AB115" s="431"/>
      <c r="AC115" s="431"/>
      <c r="AD115" s="431"/>
      <c r="AE115" s="431"/>
      <c r="AF115" s="431"/>
      <c r="AG115" s="431"/>
      <c r="AH115" s="431"/>
      <c r="AI115" s="431"/>
    </row>
    <row r="116" spans="1:35" s="29" customFormat="1" ht="14.25" customHeight="1">
      <c r="A116" s="423"/>
      <c r="B116" s="576"/>
      <c r="C116" s="576"/>
      <c r="D116" s="616"/>
      <c r="E116" s="617"/>
      <c r="F116" s="618"/>
      <c r="G116" s="619"/>
      <c r="H116" s="613"/>
      <c r="I116" s="613"/>
      <c r="J116" s="581">
        <f t="shared" si="0"/>
        <v>0</v>
      </c>
      <c r="K116" s="582"/>
      <c r="L116" s="583"/>
      <c r="M116" s="584"/>
      <c r="N116" s="585"/>
      <c r="O116" s="586"/>
      <c r="P116" s="613"/>
      <c r="Q116" s="613"/>
      <c r="R116" s="602">
        <f t="shared" si="1"/>
        <v>0</v>
      </c>
      <c r="S116" s="603"/>
      <c r="U116" s="431"/>
      <c r="V116" s="431"/>
      <c r="W116" s="431"/>
      <c r="X116" s="431"/>
      <c r="Y116" s="431"/>
      <c r="Z116" s="431"/>
      <c r="AA116" s="431"/>
      <c r="AB116" s="431"/>
      <c r="AC116" s="431"/>
      <c r="AD116" s="431"/>
      <c r="AE116" s="431"/>
      <c r="AF116" s="431"/>
      <c r="AG116" s="431"/>
      <c r="AH116" s="431"/>
      <c r="AI116" s="431"/>
    </row>
    <row r="117" spans="1:35" s="29" customFormat="1" ht="14.25" customHeight="1">
      <c r="A117" s="423"/>
      <c r="B117" s="576"/>
      <c r="C117" s="576"/>
      <c r="D117" s="616"/>
      <c r="E117" s="617"/>
      <c r="F117" s="618"/>
      <c r="G117" s="619"/>
      <c r="H117" s="613"/>
      <c r="I117" s="613"/>
      <c r="J117" s="581">
        <f t="shared" si="0"/>
        <v>0</v>
      </c>
      <c r="K117" s="582"/>
      <c r="L117" s="583"/>
      <c r="M117" s="584"/>
      <c r="N117" s="585"/>
      <c r="O117" s="586"/>
      <c r="P117" s="613"/>
      <c r="Q117" s="613"/>
      <c r="R117" s="602">
        <f t="shared" si="1"/>
        <v>0</v>
      </c>
      <c r="S117" s="603"/>
      <c r="U117" s="431"/>
      <c r="V117" s="431"/>
      <c r="W117" s="431"/>
      <c r="X117" s="431"/>
      <c r="Y117" s="431"/>
      <c r="Z117" s="431"/>
      <c r="AA117" s="431"/>
      <c r="AB117" s="431"/>
      <c r="AC117" s="431"/>
      <c r="AD117" s="431"/>
      <c r="AE117" s="431"/>
      <c r="AF117" s="431"/>
      <c r="AG117" s="431"/>
      <c r="AH117" s="431"/>
      <c r="AI117" s="431"/>
    </row>
    <row r="118" spans="1:35" s="29" customFormat="1" ht="14.25" customHeight="1">
      <c r="A118" s="423"/>
      <c r="B118" s="576"/>
      <c r="C118" s="576"/>
      <c r="D118" s="616"/>
      <c r="E118" s="617"/>
      <c r="F118" s="618"/>
      <c r="G118" s="619"/>
      <c r="H118" s="613"/>
      <c r="I118" s="613"/>
      <c r="J118" s="581">
        <f t="shared" si="0"/>
        <v>0</v>
      </c>
      <c r="K118" s="582"/>
      <c r="L118" s="583"/>
      <c r="M118" s="584"/>
      <c r="N118" s="585"/>
      <c r="O118" s="586"/>
      <c r="P118" s="613"/>
      <c r="Q118" s="613"/>
      <c r="R118" s="602">
        <f t="shared" si="1"/>
        <v>0</v>
      </c>
      <c r="S118" s="603"/>
      <c r="U118" s="431"/>
      <c r="V118" s="431"/>
      <c r="W118" s="431"/>
      <c r="X118" s="431"/>
      <c r="Y118" s="431"/>
      <c r="Z118" s="431"/>
      <c r="AA118" s="431"/>
      <c r="AB118" s="431"/>
      <c r="AC118" s="431"/>
      <c r="AD118" s="431"/>
      <c r="AE118" s="431"/>
      <c r="AF118" s="431"/>
      <c r="AG118" s="431"/>
      <c r="AH118" s="431"/>
      <c r="AI118" s="431"/>
    </row>
    <row r="119" spans="1:35" s="29" customFormat="1" ht="14.25" customHeight="1">
      <c r="A119" s="423"/>
      <c r="B119" s="576"/>
      <c r="C119" s="576"/>
      <c r="D119" s="616"/>
      <c r="E119" s="617"/>
      <c r="F119" s="585"/>
      <c r="G119" s="614"/>
      <c r="H119" s="613"/>
      <c r="I119" s="613"/>
      <c r="J119" s="581">
        <f t="shared" si="0"/>
        <v>0</v>
      </c>
      <c r="K119" s="582"/>
      <c r="L119" s="583"/>
      <c r="M119" s="584"/>
      <c r="N119" s="585"/>
      <c r="O119" s="586"/>
      <c r="P119" s="613"/>
      <c r="Q119" s="613"/>
      <c r="R119" s="602">
        <f t="shared" si="1"/>
        <v>0</v>
      </c>
      <c r="S119" s="603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1"/>
      <c r="AH119" s="431"/>
      <c r="AI119" s="431"/>
    </row>
    <row r="120" spans="1:35" s="29" customFormat="1" ht="14.25" customHeight="1">
      <c r="A120" s="423"/>
      <c r="B120" s="576"/>
      <c r="C120" s="576"/>
      <c r="D120" s="577"/>
      <c r="E120" s="578"/>
      <c r="F120" s="585"/>
      <c r="G120" s="614"/>
      <c r="H120" s="613"/>
      <c r="I120" s="613"/>
      <c r="J120" s="581">
        <f t="shared" si="0"/>
        <v>0</v>
      </c>
      <c r="K120" s="582"/>
      <c r="L120" s="583"/>
      <c r="M120" s="584"/>
      <c r="N120" s="585"/>
      <c r="O120" s="586"/>
      <c r="P120" s="613"/>
      <c r="Q120" s="613"/>
      <c r="R120" s="602">
        <f t="shared" si="1"/>
        <v>0</v>
      </c>
      <c r="S120" s="603"/>
    </row>
    <row r="121" spans="1:35" s="29" customFormat="1" ht="14.25" customHeight="1">
      <c r="A121" s="423"/>
      <c r="B121" s="576"/>
      <c r="C121" s="576"/>
      <c r="D121" s="577"/>
      <c r="E121" s="578"/>
      <c r="F121" s="585"/>
      <c r="G121" s="614"/>
      <c r="H121" s="613"/>
      <c r="I121" s="613"/>
      <c r="J121" s="581">
        <f t="shared" si="0"/>
        <v>0</v>
      </c>
      <c r="K121" s="582"/>
      <c r="L121" s="583"/>
      <c r="M121" s="584"/>
      <c r="N121" s="585"/>
      <c r="O121" s="586"/>
      <c r="P121" s="613"/>
      <c r="Q121" s="613"/>
      <c r="R121" s="602">
        <f t="shared" si="1"/>
        <v>0</v>
      </c>
      <c r="S121" s="603"/>
    </row>
    <row r="122" spans="1:35" s="29" customFormat="1" ht="14.25" customHeight="1">
      <c r="A122" s="423"/>
      <c r="B122" s="576"/>
      <c r="C122" s="576"/>
      <c r="D122" s="577"/>
      <c r="E122" s="578"/>
      <c r="F122" s="585"/>
      <c r="G122" s="614"/>
      <c r="H122" s="615"/>
      <c r="I122" s="615"/>
      <c r="J122" s="581">
        <f t="shared" si="0"/>
        <v>0</v>
      </c>
      <c r="K122" s="582"/>
      <c r="L122" s="583"/>
      <c r="M122" s="584"/>
      <c r="N122" s="585"/>
      <c r="O122" s="586"/>
      <c r="P122" s="600"/>
      <c r="Q122" s="601"/>
      <c r="R122" s="602">
        <f t="shared" si="1"/>
        <v>0</v>
      </c>
      <c r="S122" s="603"/>
      <c r="X122" s="160"/>
      <c r="Y122" s="45"/>
      <c r="Z122" s="48"/>
    </row>
    <row r="123" spans="1:35" s="29" customFormat="1" ht="14.25" customHeight="1" thickBot="1">
      <c r="A123" s="423"/>
      <c r="B123" s="566"/>
      <c r="C123" s="566"/>
      <c r="D123" s="567"/>
      <c r="E123" s="568"/>
      <c r="F123" s="555"/>
      <c r="G123" s="556"/>
      <c r="H123" s="604"/>
      <c r="I123" s="604"/>
      <c r="J123" s="605">
        <f t="shared" si="0"/>
        <v>0</v>
      </c>
      <c r="K123" s="606"/>
      <c r="L123" s="607"/>
      <c r="M123" s="608"/>
      <c r="N123" s="609"/>
      <c r="O123" s="610"/>
      <c r="P123" s="611"/>
      <c r="Q123" s="612"/>
      <c r="R123" s="593">
        <f t="shared" si="1"/>
        <v>0</v>
      </c>
      <c r="S123" s="594"/>
      <c r="X123" s="82"/>
      <c r="Z123" s="50"/>
    </row>
    <row r="124" spans="1:35" s="29" customFormat="1" ht="14.25" customHeight="1" thickBot="1">
      <c r="A124" s="423"/>
      <c r="D124" s="23"/>
      <c r="E124" s="23"/>
      <c r="F124" s="595">
        <f>SUM(F94:G123)</f>
        <v>910</v>
      </c>
      <c r="G124" s="596"/>
      <c r="H124" s="161"/>
      <c r="I124" s="162"/>
      <c r="J124" s="597">
        <f>SUM(J94:K123)</f>
        <v>933.66</v>
      </c>
      <c r="K124" s="598"/>
      <c r="L124" s="23"/>
      <c r="M124" s="23"/>
      <c r="N124" s="597">
        <f>SUM(N94:O123)</f>
        <v>0</v>
      </c>
      <c r="O124" s="598"/>
      <c r="P124" s="163"/>
      <c r="Q124" s="164"/>
      <c r="R124" s="597">
        <f>SUM(R94:S123)</f>
        <v>0</v>
      </c>
      <c r="S124" s="598"/>
      <c r="X124" s="82"/>
      <c r="Z124" s="50"/>
    </row>
    <row r="125" spans="1:35" s="29" customFormat="1">
      <c r="A125" s="423"/>
      <c r="D125" s="23"/>
      <c r="E125" s="23"/>
      <c r="F125" s="165"/>
      <c r="G125" s="165"/>
      <c r="H125" s="23"/>
      <c r="I125" s="23"/>
      <c r="J125" s="165"/>
      <c r="K125" s="165"/>
      <c r="L125" s="23"/>
      <c r="M125" s="23"/>
      <c r="N125" s="165"/>
      <c r="O125" s="165"/>
      <c r="P125" s="23"/>
      <c r="Q125" s="23"/>
      <c r="R125" s="165"/>
      <c r="S125" s="165"/>
      <c r="X125" s="82"/>
      <c r="Z125" s="50"/>
    </row>
    <row r="126" spans="1:35" s="29" customFormat="1">
      <c r="A126" s="423"/>
      <c r="B126" s="58" t="s">
        <v>23</v>
      </c>
      <c r="D126" s="23"/>
      <c r="E126" s="23"/>
      <c r="F126" s="165"/>
      <c r="G126" s="165"/>
      <c r="H126" s="23"/>
      <c r="I126" s="23"/>
      <c r="J126" s="165" t="s">
        <v>24</v>
      </c>
      <c r="K126" s="599">
        <v>1</v>
      </c>
      <c r="L126" s="599"/>
      <c r="M126" s="23"/>
      <c r="N126" s="165"/>
      <c r="O126" s="165"/>
      <c r="P126" s="23"/>
      <c r="Q126" s="23"/>
      <c r="R126" s="165"/>
      <c r="S126" s="165"/>
      <c r="X126" s="82"/>
      <c r="Z126" s="50"/>
    </row>
    <row r="127" spans="1:35" s="29" customFormat="1" ht="13">
      <c r="A127" s="423"/>
      <c r="B127" s="589" t="s">
        <v>18</v>
      </c>
      <c r="C127" s="589"/>
      <c r="D127" s="589" t="s">
        <v>19</v>
      </c>
      <c r="E127" s="589"/>
      <c r="F127" s="589" t="s">
        <v>20</v>
      </c>
      <c r="G127" s="589"/>
      <c r="H127" s="589" t="s">
        <v>21</v>
      </c>
      <c r="I127" s="589"/>
      <c r="J127" s="589" t="s">
        <v>22</v>
      </c>
      <c r="K127" s="591"/>
      <c r="L127" s="592" t="s">
        <v>19</v>
      </c>
      <c r="M127" s="589"/>
      <c r="N127" s="589" t="s">
        <v>20</v>
      </c>
      <c r="O127" s="589"/>
      <c r="P127" s="589" t="s">
        <v>21</v>
      </c>
      <c r="Q127" s="589"/>
      <c r="R127" s="589" t="s">
        <v>22</v>
      </c>
      <c r="S127" s="590"/>
      <c r="X127" s="82"/>
      <c r="Z127" s="50"/>
    </row>
    <row r="128" spans="1:35" s="29" customFormat="1" ht="14.25" customHeight="1">
      <c r="A128" s="423"/>
      <c r="B128" s="576" t="s">
        <v>389</v>
      </c>
      <c r="C128" s="576"/>
      <c r="D128" s="577" t="s">
        <v>390</v>
      </c>
      <c r="E128" s="578"/>
      <c r="F128" s="579">
        <v>15</v>
      </c>
      <c r="G128" s="580"/>
      <c r="H128" s="571">
        <f>IF(K$126="","",K$126)</f>
        <v>1</v>
      </c>
      <c r="I128" s="571"/>
      <c r="J128" s="581">
        <f>IF(F128="","",+ROUND(F128*H128,3))</f>
        <v>15</v>
      </c>
      <c r="K128" s="582"/>
      <c r="L128" s="583" t="s">
        <v>390</v>
      </c>
      <c r="M128" s="584"/>
      <c r="N128" s="585">
        <v>15</v>
      </c>
      <c r="O128" s="586"/>
      <c r="P128" s="571">
        <f>IF(K$126="","",K$126)</f>
        <v>1</v>
      </c>
      <c r="Q128" s="571"/>
      <c r="R128" s="587">
        <f>IF(N128="","",+ROUND(N128*P128,3))</f>
        <v>15</v>
      </c>
      <c r="S128" s="588"/>
      <c r="X128" s="82"/>
      <c r="Z128" s="50"/>
    </row>
    <row r="129" spans="1:35" s="29" customFormat="1" ht="14.25" customHeight="1">
      <c r="A129" s="423"/>
      <c r="B129" s="576"/>
      <c r="C129" s="576"/>
      <c r="D129" s="577"/>
      <c r="E129" s="578"/>
      <c r="F129" s="579"/>
      <c r="G129" s="580"/>
      <c r="H129" s="571">
        <f>IF(K$126="","",K$126)</f>
        <v>1</v>
      </c>
      <c r="I129" s="571"/>
      <c r="J129" s="581" t="str">
        <f>IF(F129="","",+ROUND(F129*H129,3))</f>
        <v/>
      </c>
      <c r="K129" s="582"/>
      <c r="L129" s="583"/>
      <c r="M129" s="584"/>
      <c r="N129" s="585"/>
      <c r="O129" s="586"/>
      <c r="P129" s="571">
        <f>IF(K$126="","",K$126)</f>
        <v>1</v>
      </c>
      <c r="Q129" s="571"/>
      <c r="R129" s="587" t="str">
        <f>IF(N129="","",+ROUND(N129*P129,3))</f>
        <v/>
      </c>
      <c r="S129" s="588"/>
      <c r="X129" s="82"/>
      <c r="Z129" s="50"/>
    </row>
    <row r="130" spans="1:35" s="29" customFormat="1" ht="14.25" customHeight="1">
      <c r="A130" s="423"/>
      <c r="B130" s="576"/>
      <c r="C130" s="576"/>
      <c r="D130" s="577"/>
      <c r="E130" s="578"/>
      <c r="F130" s="579"/>
      <c r="G130" s="580"/>
      <c r="H130" s="571">
        <f>IF(K$126="","",K$126)</f>
        <v>1</v>
      </c>
      <c r="I130" s="571"/>
      <c r="J130" s="581" t="str">
        <f>IF(F130="","",+ROUND(F130*H130,3))</f>
        <v/>
      </c>
      <c r="K130" s="582"/>
      <c r="L130" s="583"/>
      <c r="M130" s="584"/>
      <c r="N130" s="585"/>
      <c r="O130" s="586"/>
      <c r="P130" s="571">
        <f>IF(K$126="","",K$126)</f>
        <v>1</v>
      </c>
      <c r="Q130" s="571"/>
      <c r="R130" s="587" t="str">
        <f>IF(N130="","",+ROUND(N130*P130,3))</f>
        <v/>
      </c>
      <c r="S130" s="588"/>
      <c r="X130" s="82"/>
      <c r="Z130" s="50"/>
    </row>
    <row r="131" spans="1:35" s="29" customFormat="1" ht="14.25" customHeight="1">
      <c r="A131" s="423"/>
      <c r="B131" s="566"/>
      <c r="C131" s="566"/>
      <c r="D131" s="567"/>
      <c r="E131" s="568"/>
      <c r="F131" s="569"/>
      <c r="G131" s="570"/>
      <c r="H131" s="571">
        <f>IF(K$126="","",K$126)</f>
        <v>1</v>
      </c>
      <c r="I131" s="571"/>
      <c r="J131" s="572" t="str">
        <f>IF(F131="","",+ROUND(F131*H131,3))</f>
        <v/>
      </c>
      <c r="K131" s="573"/>
      <c r="L131" s="574"/>
      <c r="M131" s="575"/>
      <c r="N131" s="555"/>
      <c r="O131" s="556"/>
      <c r="P131" s="557">
        <f>IF(K$126="","",K$126)</f>
        <v>1</v>
      </c>
      <c r="Q131" s="557"/>
      <c r="R131" s="558" t="str">
        <f>IF(N131="","",+ROUND(N131*P131,3))</f>
        <v/>
      </c>
      <c r="S131" s="559"/>
      <c r="X131" s="82"/>
      <c r="Z131" s="50"/>
    </row>
    <row r="132" spans="1:35" s="29" customFormat="1" ht="14.25" customHeight="1" thickBot="1">
      <c r="A132" s="423"/>
      <c r="D132" s="23"/>
      <c r="E132" s="23"/>
      <c r="F132" s="165"/>
      <c r="G132" s="165"/>
      <c r="H132" s="166"/>
      <c r="I132" s="166"/>
      <c r="J132" s="560">
        <f>SUM(J128:K131)</f>
        <v>15</v>
      </c>
      <c r="K132" s="561"/>
      <c r="L132" s="23"/>
      <c r="M132" s="23"/>
      <c r="N132" s="165"/>
      <c r="O132" s="165"/>
      <c r="P132" s="23"/>
      <c r="Q132" s="23"/>
      <c r="R132" s="562">
        <f>SUM(R128:S131)</f>
        <v>15</v>
      </c>
      <c r="S132" s="563"/>
      <c r="X132" s="82"/>
      <c r="Z132" s="50"/>
    </row>
    <row r="133" spans="1:35" s="29" customFormat="1">
      <c r="A133" s="423"/>
      <c r="D133" s="23"/>
      <c r="E133" s="23"/>
      <c r="F133" s="165"/>
      <c r="G133" s="165"/>
      <c r="H133" s="23"/>
      <c r="I133" s="23"/>
      <c r="J133" s="165"/>
      <c r="K133" s="167"/>
      <c r="L133" s="23"/>
      <c r="M133" s="23"/>
      <c r="N133" s="165"/>
      <c r="O133" s="165"/>
      <c r="P133" s="23"/>
      <c r="Q133" s="23"/>
      <c r="R133" s="165"/>
      <c r="S133" s="165"/>
      <c r="X133" s="82"/>
      <c r="Z133" s="50"/>
      <c r="AE133" s="29" t="s">
        <v>384</v>
      </c>
      <c r="AI133" s="29" t="s">
        <v>385</v>
      </c>
    </row>
    <row r="134" spans="1:35" s="29" customFormat="1" ht="6" customHeight="1">
      <c r="A134" s="423"/>
      <c r="B134" s="160"/>
      <c r="C134" s="45"/>
      <c r="D134" s="166"/>
      <c r="E134" s="166"/>
      <c r="F134" s="168"/>
      <c r="G134" s="168"/>
      <c r="H134" s="166"/>
      <c r="I134" s="166"/>
      <c r="J134" s="168"/>
      <c r="K134" s="169"/>
      <c r="L134" s="166"/>
      <c r="M134" s="166"/>
      <c r="N134" s="168"/>
      <c r="O134" s="168"/>
      <c r="P134" s="166"/>
      <c r="Q134" s="166"/>
      <c r="R134" s="168"/>
      <c r="S134" s="170"/>
      <c r="X134" s="82"/>
      <c r="Z134" s="50"/>
    </row>
    <row r="135" spans="1:35" s="29" customFormat="1" ht="14.25" customHeight="1">
      <c r="A135" s="423"/>
      <c r="B135" s="548" t="s">
        <v>25</v>
      </c>
      <c r="C135" s="549"/>
      <c r="D135" s="549"/>
      <c r="E135" s="549"/>
      <c r="F135" s="549"/>
      <c r="G135" s="549"/>
      <c r="H135" s="564">
        <v>54.98</v>
      </c>
      <c r="I135" s="565"/>
      <c r="J135" s="565"/>
      <c r="K135" s="67"/>
      <c r="N135" s="564">
        <v>54.98</v>
      </c>
      <c r="O135" s="565"/>
      <c r="P135" s="565"/>
      <c r="Q135" s="23"/>
      <c r="R135" s="165"/>
      <c r="S135" s="171"/>
      <c r="X135" s="82"/>
      <c r="Z135" s="50"/>
      <c r="AE135" s="228">
        <f>SUM(H135:J137,H140:J141)</f>
        <v>132.01</v>
      </c>
      <c r="AI135" s="228">
        <f>SUM(N135:P137,N140:P141)</f>
        <v>131.51</v>
      </c>
    </row>
    <row r="136" spans="1:35" s="29" customFormat="1" ht="14.25" customHeight="1">
      <c r="A136" s="423"/>
      <c r="B136" s="548" t="s">
        <v>26</v>
      </c>
      <c r="C136" s="549"/>
      <c r="D136" s="549"/>
      <c r="E136" s="549"/>
      <c r="F136" s="549"/>
      <c r="G136" s="549"/>
      <c r="H136" s="553">
        <v>24.36</v>
      </c>
      <c r="I136" s="554"/>
      <c r="J136" s="554"/>
      <c r="K136" s="67"/>
      <c r="N136" s="553">
        <v>23.86</v>
      </c>
      <c r="O136" s="554"/>
      <c r="P136" s="554"/>
      <c r="Q136" s="23"/>
      <c r="R136" s="165"/>
      <c r="S136" s="171"/>
      <c r="X136" s="82"/>
      <c r="Z136" s="50"/>
    </row>
    <row r="137" spans="1:35" s="29" customFormat="1" ht="14.25" customHeight="1">
      <c r="A137" s="423"/>
      <c r="B137" s="548" t="s">
        <v>27</v>
      </c>
      <c r="C137" s="549"/>
      <c r="D137" s="549"/>
      <c r="E137" s="549"/>
      <c r="F137" s="549"/>
      <c r="G137" s="549"/>
      <c r="H137" s="553">
        <v>2.87</v>
      </c>
      <c r="I137" s="554"/>
      <c r="J137" s="554"/>
      <c r="K137" s="67"/>
      <c r="N137" s="553">
        <v>2.87</v>
      </c>
      <c r="O137" s="554"/>
      <c r="P137" s="554"/>
      <c r="Q137" s="23"/>
      <c r="R137" s="165"/>
      <c r="S137" s="171"/>
      <c r="X137" s="82"/>
      <c r="Z137" s="50"/>
    </row>
    <row r="138" spans="1:35" s="29" customFormat="1" ht="14.25" customHeight="1">
      <c r="A138" s="423"/>
      <c r="B138" s="548" t="s">
        <v>28</v>
      </c>
      <c r="C138" s="549"/>
      <c r="D138" s="549"/>
      <c r="E138" s="549"/>
      <c r="F138" s="549"/>
      <c r="G138" s="549"/>
      <c r="H138" s="550">
        <f>SUM(H135:J137)</f>
        <v>82.210000000000008</v>
      </c>
      <c r="I138" s="550"/>
      <c r="J138" s="550"/>
      <c r="K138" s="67"/>
      <c r="N138" s="550">
        <f>SUM(N135:P137)</f>
        <v>81.710000000000008</v>
      </c>
      <c r="O138" s="550"/>
      <c r="P138" s="550"/>
      <c r="Q138" s="23"/>
      <c r="R138" s="165"/>
      <c r="S138" s="171"/>
      <c r="X138" s="172"/>
      <c r="Y138" s="88"/>
      <c r="Z138" s="81"/>
    </row>
    <row r="139" spans="1:35" s="29" customFormat="1">
      <c r="A139" s="423"/>
      <c r="B139" s="82"/>
      <c r="D139" s="23"/>
      <c r="E139" s="23"/>
      <c r="F139" s="165"/>
      <c r="G139" s="165"/>
      <c r="H139" s="23"/>
      <c r="I139" s="23"/>
      <c r="J139" s="165"/>
      <c r="K139" s="173"/>
      <c r="L139" s="23"/>
      <c r="M139" s="23"/>
      <c r="N139" s="165"/>
      <c r="O139" s="165"/>
      <c r="P139" s="23"/>
      <c r="Q139" s="23"/>
      <c r="R139" s="165"/>
      <c r="S139" s="171"/>
    </row>
    <row r="140" spans="1:35" s="29" customFormat="1" ht="14.25" customHeight="1">
      <c r="A140" s="423"/>
      <c r="B140" s="501" t="s">
        <v>29</v>
      </c>
      <c r="C140" s="502"/>
      <c r="D140" s="502"/>
      <c r="E140" s="502"/>
      <c r="F140" s="502"/>
      <c r="G140" s="502"/>
      <c r="H140" s="551">
        <v>5</v>
      </c>
      <c r="I140" s="552"/>
      <c r="J140" s="552"/>
      <c r="K140" s="67"/>
      <c r="N140" s="551">
        <v>5</v>
      </c>
      <c r="O140" s="551"/>
      <c r="P140" s="551"/>
      <c r="Q140" s="23"/>
      <c r="R140" s="165"/>
      <c r="S140" s="171"/>
    </row>
    <row r="141" spans="1:35" s="29" customFormat="1" ht="14.25" customHeight="1">
      <c r="A141" s="423"/>
      <c r="B141" s="501" t="s">
        <v>30</v>
      </c>
      <c r="C141" s="543"/>
      <c r="D141" s="544"/>
      <c r="E141" s="544"/>
      <c r="F141" s="544"/>
      <c r="H141" s="545">
        <v>44.8</v>
      </c>
      <c r="I141" s="546"/>
      <c r="J141" s="546"/>
      <c r="K141" s="67"/>
      <c r="N141" s="545">
        <v>44.8</v>
      </c>
      <c r="O141" s="545"/>
      <c r="P141" s="545"/>
      <c r="Q141" s="23"/>
      <c r="R141" s="165"/>
      <c r="S141" s="171"/>
    </row>
    <row r="142" spans="1:35" s="29" customFormat="1" ht="6" customHeight="1">
      <c r="A142" s="423"/>
      <c r="B142" s="172"/>
      <c r="C142" s="88"/>
      <c r="D142" s="174"/>
      <c r="E142" s="174"/>
      <c r="F142" s="175"/>
      <c r="G142" s="175"/>
      <c r="H142" s="174"/>
      <c r="I142" s="174"/>
      <c r="J142" s="175"/>
      <c r="K142" s="175"/>
      <c r="L142" s="174"/>
      <c r="M142" s="174"/>
      <c r="N142" s="175"/>
      <c r="O142" s="175"/>
      <c r="P142" s="174"/>
      <c r="Q142" s="174"/>
      <c r="R142" s="175"/>
      <c r="S142" s="176"/>
    </row>
    <row r="143" spans="1:35" s="29" customFormat="1">
      <c r="A143" s="423"/>
      <c r="D143" s="23"/>
      <c r="E143" s="23"/>
      <c r="F143" s="165"/>
      <c r="G143" s="165"/>
      <c r="H143" s="23"/>
      <c r="I143" s="23"/>
      <c r="J143" s="165"/>
      <c r="K143" s="165"/>
      <c r="L143" s="23"/>
      <c r="M143" s="23"/>
      <c r="N143" s="165"/>
      <c r="O143" s="165"/>
      <c r="P143" s="23"/>
      <c r="Q143" s="23"/>
      <c r="R143" s="165"/>
      <c r="S143" s="165"/>
    </row>
    <row r="144" spans="1:35" s="29" customFormat="1" ht="14">
      <c r="A144" s="423"/>
      <c r="B144" s="484" t="s">
        <v>157</v>
      </c>
      <c r="C144" s="547"/>
      <c r="D144" s="485"/>
      <c r="E144" s="485"/>
      <c r="F144" s="485"/>
      <c r="G144" s="485"/>
      <c r="H144" s="470">
        <f>IF(SUM(J124,J132,H138)=0,"",SUM(J124,J132,H138,H140,H141))</f>
        <v>1080.6699999999998</v>
      </c>
      <c r="I144" s="471"/>
      <c r="J144" s="471"/>
      <c r="K144" s="177"/>
      <c r="L144" s="178"/>
      <c r="M144" s="179"/>
      <c r="N144" s="470">
        <f>IF(SUM(R124,R132,N138,N140,N141)=0,"",SUM(R124,R132,N138,N140,N141))</f>
        <v>146.51</v>
      </c>
      <c r="O144" s="471"/>
      <c r="P144" s="471"/>
      <c r="Q144" s="180"/>
      <c r="R144" s="165"/>
      <c r="S144" s="165"/>
    </row>
    <row r="145" spans="1:19" s="29" customFormat="1">
      <c r="A145" s="423"/>
      <c r="D145" s="23"/>
      <c r="E145" s="23"/>
      <c r="F145" s="165"/>
      <c r="G145" s="165"/>
      <c r="H145" s="23"/>
      <c r="I145" s="23"/>
      <c r="J145" s="165"/>
      <c r="K145" s="165"/>
      <c r="L145" s="23"/>
      <c r="M145" s="23"/>
      <c r="N145" s="165"/>
      <c r="O145" s="165"/>
      <c r="P145" s="23"/>
      <c r="Q145" s="23"/>
      <c r="R145" s="165"/>
      <c r="S145" s="165"/>
    </row>
    <row r="146" spans="1:19" s="29" customFormat="1" ht="12.5">
      <c r="A146" s="423"/>
    </row>
    <row r="147" spans="1:19" s="29" customFormat="1" ht="6" customHeight="1">
      <c r="A147" s="423"/>
      <c r="B147" s="181"/>
      <c r="C147" s="179"/>
      <c r="D147" s="179"/>
      <c r="E147" s="179"/>
      <c r="F147" s="179"/>
      <c r="G147" s="179"/>
      <c r="H147" s="182"/>
      <c r="I147" s="182"/>
      <c r="J147" s="182"/>
      <c r="K147" s="179"/>
      <c r="L147" s="183"/>
      <c r="M147" s="183"/>
      <c r="N147" s="183"/>
      <c r="O147" s="183"/>
      <c r="P147" s="179"/>
      <c r="Q147" s="179"/>
      <c r="R147" s="48"/>
    </row>
    <row r="148" spans="1:19" s="29" customFormat="1">
      <c r="A148" s="423"/>
      <c r="B148" s="539" t="s">
        <v>158</v>
      </c>
      <c r="C148" s="529" t="s">
        <v>159</v>
      </c>
      <c r="D148" s="541"/>
      <c r="E148" s="541"/>
      <c r="F148" s="541"/>
      <c r="G148" s="542"/>
      <c r="H148" s="526">
        <f>IF(I48="","",+I48)</f>
        <v>333</v>
      </c>
      <c r="I148" s="527"/>
      <c r="J148" s="527"/>
      <c r="K148" s="67"/>
      <c r="L148" s="93"/>
      <c r="M148" s="184"/>
      <c r="N148" s="528">
        <f>IF(O48="","",+O48)</f>
        <v>666</v>
      </c>
      <c r="O148" s="528"/>
      <c r="P148" s="528"/>
      <c r="Q148" s="50"/>
      <c r="R148" s="185"/>
    </row>
    <row r="149" spans="1:19" s="29" customFormat="1">
      <c r="A149" s="423"/>
      <c r="B149" s="539"/>
      <c r="C149" s="538" t="s">
        <v>160</v>
      </c>
      <c r="D149" s="483"/>
      <c r="E149" s="483"/>
      <c r="F149" s="483"/>
      <c r="G149" s="525"/>
      <c r="H149" s="526">
        <f>IF(I50="","",+I50)</f>
        <v>333</v>
      </c>
      <c r="I149" s="527"/>
      <c r="J149" s="527"/>
      <c r="K149" s="67"/>
      <c r="L149" s="93"/>
      <c r="M149" s="184"/>
      <c r="N149" s="528">
        <f>IF(O50="","",+O50)</f>
        <v>666</v>
      </c>
      <c r="O149" s="528"/>
      <c r="P149" s="528"/>
      <c r="Q149" s="50"/>
      <c r="R149" s="185"/>
    </row>
    <row r="150" spans="1:19" s="29" customFormat="1">
      <c r="A150" s="423"/>
      <c r="B150" s="539"/>
      <c r="C150" s="529" t="s">
        <v>161</v>
      </c>
      <c r="D150" s="483"/>
      <c r="E150" s="483"/>
      <c r="F150" s="483"/>
      <c r="G150" s="525"/>
      <c r="H150" s="526">
        <f>IF(H148="","",AVERAGE(H148:J149))</f>
        <v>333</v>
      </c>
      <c r="I150" s="527"/>
      <c r="J150" s="527"/>
      <c r="K150" s="67"/>
      <c r="M150" s="40"/>
      <c r="N150" s="528">
        <f>IF(N148="","",AVERAGE(N148:P149))</f>
        <v>666</v>
      </c>
      <c r="O150" s="527"/>
      <c r="P150" s="527"/>
      <c r="Q150" s="50"/>
      <c r="R150" s="185"/>
    </row>
    <row r="151" spans="1:19" s="29" customFormat="1">
      <c r="A151" s="423"/>
      <c r="B151" s="539"/>
      <c r="C151" s="529" t="s">
        <v>162</v>
      </c>
      <c r="D151" s="483"/>
      <c r="E151" s="483"/>
      <c r="F151" s="483"/>
      <c r="G151" s="525"/>
      <c r="H151" s="526">
        <f>IF(H150="","",I38*H88/H85*(IF(K38="A",1,-1)*IF(K88="A",-1,1)))</f>
        <v>-3.3564697205605181</v>
      </c>
      <c r="I151" s="527"/>
      <c r="J151" s="527"/>
      <c r="K151" s="67"/>
      <c r="M151" s="40"/>
      <c r="N151" s="528">
        <f>IF(N150="","",O38*N88/N85*(IF(Q38="A",1,-1)*IF(Q88="A",-1,1)))</f>
        <v>-2.2376464803736784</v>
      </c>
      <c r="O151" s="528"/>
      <c r="P151" s="530"/>
      <c r="Q151" s="50"/>
      <c r="R151" s="185"/>
    </row>
    <row r="152" spans="1:19" s="29" customFormat="1">
      <c r="A152" s="423"/>
      <c r="B152" s="540"/>
      <c r="C152" s="531" t="s">
        <v>163</v>
      </c>
      <c r="D152" s="509"/>
      <c r="E152" s="509"/>
      <c r="F152" s="509"/>
      <c r="G152" s="510"/>
      <c r="H152" s="511">
        <f>IF(H150="","",+ROUND(H150+H151,2))</f>
        <v>329.64</v>
      </c>
      <c r="I152" s="512"/>
      <c r="J152" s="512"/>
      <c r="K152" s="186"/>
      <c r="L152" s="88"/>
      <c r="M152" s="187"/>
      <c r="N152" s="513">
        <f>IF(N150="","",+ROUND(N150+N151,2))</f>
        <v>663.76</v>
      </c>
      <c r="O152" s="513"/>
      <c r="P152" s="532"/>
      <c r="Q152" s="81"/>
      <c r="R152" s="185"/>
    </row>
    <row r="153" spans="1:19" s="29" customFormat="1" ht="6" customHeight="1">
      <c r="A153" s="423"/>
      <c r="B153" s="188"/>
      <c r="C153" s="189"/>
      <c r="D153" s="190"/>
      <c r="E153" s="87"/>
      <c r="F153" s="54"/>
      <c r="G153" s="54"/>
      <c r="H153" s="87"/>
      <c r="I153" s="191"/>
      <c r="J153" s="191"/>
      <c r="M153" s="40"/>
      <c r="N153" s="191"/>
      <c r="O153" s="191"/>
      <c r="P153" s="192"/>
      <c r="R153" s="50"/>
    </row>
    <row r="154" spans="1:19" s="29" customFormat="1">
      <c r="A154" s="423"/>
      <c r="B154" s="533" t="s">
        <v>164</v>
      </c>
      <c r="C154" s="536" t="s">
        <v>159</v>
      </c>
      <c r="D154" s="521"/>
      <c r="E154" s="521"/>
      <c r="F154" s="521"/>
      <c r="G154" s="522"/>
      <c r="H154" s="523">
        <f>IF(+I52="","",I52)</f>
        <v>666</v>
      </c>
      <c r="I154" s="537"/>
      <c r="J154" s="537"/>
      <c r="K154" s="193"/>
      <c r="L154" s="194"/>
      <c r="M154" s="195"/>
      <c r="N154" s="524">
        <f>IF(+O52="","",O52)</f>
        <v>888</v>
      </c>
      <c r="O154" s="537"/>
      <c r="P154" s="537"/>
      <c r="Q154" s="48"/>
      <c r="R154" s="50"/>
    </row>
    <row r="155" spans="1:19" s="29" customFormat="1">
      <c r="A155" s="423"/>
      <c r="B155" s="534"/>
      <c r="C155" s="538" t="s">
        <v>160</v>
      </c>
      <c r="D155" s="483"/>
      <c r="E155" s="483"/>
      <c r="F155" s="483"/>
      <c r="G155" s="525"/>
      <c r="H155" s="526">
        <f>IF(+I54="","",I54)</f>
        <v>666</v>
      </c>
      <c r="I155" s="527"/>
      <c r="J155" s="527"/>
      <c r="K155" s="67"/>
      <c r="L155" s="93"/>
      <c r="M155" s="184"/>
      <c r="N155" s="528">
        <f>IF(+O54="","",O54)</f>
        <v>888</v>
      </c>
      <c r="O155" s="527"/>
      <c r="P155" s="527"/>
      <c r="Q155" s="50"/>
      <c r="R155" s="50"/>
    </row>
    <row r="156" spans="1:19" s="29" customFormat="1">
      <c r="A156" s="423"/>
      <c r="B156" s="534"/>
      <c r="C156" s="529" t="s">
        <v>161</v>
      </c>
      <c r="D156" s="483"/>
      <c r="E156" s="483"/>
      <c r="F156" s="483"/>
      <c r="G156" s="525"/>
      <c r="H156" s="526">
        <f>IF(H155="","",AVERAGE(H154:J155))</f>
        <v>666</v>
      </c>
      <c r="I156" s="527"/>
      <c r="J156" s="527"/>
      <c r="K156" s="67"/>
      <c r="M156" s="40"/>
      <c r="N156" s="528">
        <f>IF(N155="","",AVERAGE(N154:P155))</f>
        <v>888</v>
      </c>
      <c r="O156" s="527"/>
      <c r="P156" s="527"/>
      <c r="Q156" s="50"/>
      <c r="R156" s="50"/>
    </row>
    <row r="157" spans="1:19" s="29" customFormat="1">
      <c r="A157" s="423"/>
      <c r="B157" s="534"/>
      <c r="C157" s="529" t="s">
        <v>165</v>
      </c>
      <c r="D157" s="483"/>
      <c r="E157" s="483"/>
      <c r="F157" s="483"/>
      <c r="G157" s="525"/>
      <c r="H157" s="526">
        <f>IF(H156="","",H88*I40/H85*(IF(K40="A",1,-1)*IF(K88="A",-1,1)))</f>
        <v>-8.7595673195115964</v>
      </c>
      <c r="I157" s="527"/>
      <c r="J157" s="527"/>
      <c r="K157" s="67"/>
      <c r="M157" s="40"/>
      <c r="N157" s="528">
        <f>IF(N156="","",N88*O40/N85*(IF(Q40="A",1,-1)*IF(Q88="A",-1,1)))</f>
        <v>-5.8397115463410634</v>
      </c>
      <c r="O157" s="528"/>
      <c r="P157" s="530"/>
      <c r="Q157" s="50"/>
      <c r="R157" s="50"/>
    </row>
    <row r="158" spans="1:19" s="29" customFormat="1">
      <c r="A158" s="423"/>
      <c r="B158" s="535"/>
      <c r="C158" s="531" t="s">
        <v>166</v>
      </c>
      <c r="D158" s="509"/>
      <c r="E158" s="509"/>
      <c r="F158" s="509"/>
      <c r="G158" s="510"/>
      <c r="H158" s="511">
        <f>IF(H156="","",+ROUND(H156+H157,2))</f>
        <v>657.24</v>
      </c>
      <c r="I158" s="512"/>
      <c r="J158" s="512"/>
      <c r="K158" s="186"/>
      <c r="L158" s="88"/>
      <c r="M158" s="187"/>
      <c r="N158" s="513">
        <f>IF(N156="","",ROUND(N156+N157,2))</f>
        <v>882.16</v>
      </c>
      <c r="O158" s="513"/>
      <c r="P158" s="532"/>
      <c r="Q158" s="81"/>
      <c r="R158" s="50"/>
    </row>
    <row r="159" spans="1:19" s="29" customFormat="1" ht="6" customHeight="1">
      <c r="A159" s="423"/>
      <c r="B159" s="196"/>
      <c r="C159" s="197"/>
      <c r="D159" s="198"/>
      <c r="E159" s="87"/>
      <c r="F159" s="54"/>
      <c r="G159" s="54"/>
      <c r="H159" s="87"/>
      <c r="I159" s="191"/>
      <c r="J159" s="191"/>
      <c r="M159" s="40"/>
      <c r="N159" s="191"/>
      <c r="O159" s="191"/>
      <c r="P159" s="192"/>
      <c r="R159" s="50"/>
    </row>
    <row r="160" spans="1:19" s="29" customFormat="1">
      <c r="A160" s="423"/>
      <c r="B160" s="533" t="s">
        <v>167</v>
      </c>
      <c r="C160" s="536" t="s">
        <v>159</v>
      </c>
      <c r="D160" s="521"/>
      <c r="E160" s="521"/>
      <c r="F160" s="521"/>
      <c r="G160" s="522"/>
      <c r="H160" s="523">
        <f>IF(+I56="","",I56)</f>
        <v>444</v>
      </c>
      <c r="I160" s="537"/>
      <c r="J160" s="537"/>
      <c r="K160" s="193"/>
      <c r="L160" s="199"/>
      <c r="M160" s="195"/>
      <c r="N160" s="524">
        <f>IF(+O56="","",O56)</f>
        <v>777</v>
      </c>
      <c r="O160" s="537"/>
      <c r="P160" s="537"/>
      <c r="Q160" s="48"/>
      <c r="R160" s="50"/>
    </row>
    <row r="161" spans="1:18" s="29" customFormat="1">
      <c r="A161" s="423"/>
      <c r="B161" s="534"/>
      <c r="C161" s="538" t="s">
        <v>160</v>
      </c>
      <c r="D161" s="483"/>
      <c r="E161" s="483"/>
      <c r="F161" s="483"/>
      <c r="G161" s="525"/>
      <c r="H161" s="526">
        <f>IF(+I58="","",I58)</f>
        <v>555</v>
      </c>
      <c r="I161" s="527"/>
      <c r="J161" s="527"/>
      <c r="K161" s="67"/>
      <c r="L161" s="200"/>
      <c r="M161" s="184"/>
      <c r="N161" s="528">
        <f>IF(+O58="","",O58)</f>
        <v>777</v>
      </c>
      <c r="O161" s="527"/>
      <c r="P161" s="527"/>
      <c r="Q161" s="50"/>
      <c r="R161" s="50"/>
    </row>
    <row r="162" spans="1:18" s="29" customFormat="1">
      <c r="A162" s="423"/>
      <c r="B162" s="534"/>
      <c r="C162" s="529" t="s">
        <v>161</v>
      </c>
      <c r="D162" s="483"/>
      <c r="E162" s="483"/>
      <c r="F162" s="483"/>
      <c r="G162" s="525"/>
      <c r="H162" s="528">
        <f>IF(H160="","",AVERAGE(H160:J161))</f>
        <v>499.5</v>
      </c>
      <c r="I162" s="527"/>
      <c r="J162" s="527"/>
      <c r="K162" s="67"/>
      <c r="L162" s="201"/>
      <c r="M162" s="40"/>
      <c r="N162" s="528">
        <f>IF(N160="","",AVERAGE(N160:P161))</f>
        <v>777</v>
      </c>
      <c r="O162" s="527"/>
      <c r="P162" s="527"/>
      <c r="Q162" s="50"/>
      <c r="R162" s="50"/>
    </row>
    <row r="163" spans="1:18" s="29" customFormat="1">
      <c r="A163" s="423"/>
      <c r="B163" s="534"/>
      <c r="C163" s="529" t="s">
        <v>168</v>
      </c>
      <c r="D163" s="483"/>
      <c r="E163" s="483"/>
      <c r="F163" s="483"/>
      <c r="G163" s="525"/>
      <c r="H163" s="528">
        <f>IF(H162="","",H88*I42/H85*(IF(K42="A",1,-1)*IF(K88="A",-1,1)))</f>
        <v>-0.87322789477997209</v>
      </c>
      <c r="I163" s="527"/>
      <c r="J163" s="527"/>
      <c r="K163" s="67"/>
      <c r="L163" s="201"/>
      <c r="M163" s="40"/>
      <c r="N163" s="528">
        <f>IF(N162="","",N88*O42/N85*(IF(Q42="A",1,-1)*IF(Q88="A",-1,1)))</f>
        <v>-0.58215192985331476</v>
      </c>
      <c r="O163" s="528"/>
      <c r="P163" s="530"/>
      <c r="Q163" s="50"/>
      <c r="R163" s="50"/>
    </row>
    <row r="164" spans="1:18" s="29" customFormat="1">
      <c r="A164" s="423"/>
      <c r="B164" s="535"/>
      <c r="C164" s="531" t="s">
        <v>169</v>
      </c>
      <c r="D164" s="509"/>
      <c r="E164" s="509"/>
      <c r="F164" s="509"/>
      <c r="G164" s="510"/>
      <c r="H164" s="513">
        <f>IF(H162="","",+ROUND(H162+H163,2))</f>
        <v>498.63</v>
      </c>
      <c r="I164" s="512"/>
      <c r="J164" s="512"/>
      <c r="K164" s="186"/>
      <c r="L164" s="202"/>
      <c r="M164" s="187"/>
      <c r="N164" s="513">
        <f>IF(N162="","",+ROUND(N162+N163,2))</f>
        <v>776.42</v>
      </c>
      <c r="O164" s="513"/>
      <c r="P164" s="532"/>
      <c r="Q164" s="81"/>
      <c r="R164" s="50"/>
    </row>
    <row r="165" spans="1:18" s="29" customFormat="1" ht="6" customHeight="1">
      <c r="A165" s="423"/>
      <c r="B165" s="82"/>
      <c r="H165" s="24"/>
      <c r="I165" s="87"/>
      <c r="J165" s="87"/>
      <c r="M165" s="40"/>
      <c r="N165" s="87"/>
      <c r="O165" s="87"/>
      <c r="P165" s="24"/>
      <c r="R165" s="50"/>
    </row>
    <row r="166" spans="1:18" s="29" customFormat="1">
      <c r="A166" s="423"/>
      <c r="B166" s="520" t="s">
        <v>170</v>
      </c>
      <c r="C166" s="521"/>
      <c r="D166" s="521"/>
      <c r="E166" s="521"/>
      <c r="F166" s="521"/>
      <c r="G166" s="522"/>
      <c r="H166" s="523">
        <f>IF(H152="","",AVERAGE(H152,H158))</f>
        <v>493.44</v>
      </c>
      <c r="I166" s="524"/>
      <c r="J166" s="524"/>
      <c r="K166" s="193"/>
      <c r="L166" s="203"/>
      <c r="M166" s="204"/>
      <c r="N166" s="524">
        <f>IF(N152="","",AVERAGE(N152,N158))</f>
        <v>772.96</v>
      </c>
      <c r="O166" s="524"/>
      <c r="P166" s="524"/>
      <c r="Q166" s="48"/>
      <c r="R166" s="50"/>
    </row>
    <row r="167" spans="1:18" s="29" customFormat="1">
      <c r="A167" s="423"/>
      <c r="B167" s="480" t="s">
        <v>171</v>
      </c>
      <c r="C167" s="483"/>
      <c r="D167" s="483"/>
      <c r="E167" s="483"/>
      <c r="F167" s="483"/>
      <c r="G167" s="525"/>
      <c r="H167" s="526">
        <f>IF(H164="","",AVERAGE(H164,H166))</f>
        <v>496.03499999999997</v>
      </c>
      <c r="I167" s="527"/>
      <c r="J167" s="527"/>
      <c r="K167" s="67"/>
      <c r="L167" s="201"/>
      <c r="M167" s="40"/>
      <c r="N167" s="528">
        <f>IF(N164="","",AVERAGE(N164,N166))</f>
        <v>774.69</v>
      </c>
      <c r="O167" s="527"/>
      <c r="P167" s="527"/>
      <c r="Q167" s="50"/>
      <c r="R167" s="50"/>
    </row>
    <row r="168" spans="1:18" s="29" customFormat="1">
      <c r="A168" s="423"/>
      <c r="B168" s="508" t="s">
        <v>172</v>
      </c>
      <c r="C168" s="509"/>
      <c r="D168" s="509"/>
      <c r="E168" s="509"/>
      <c r="F168" s="509"/>
      <c r="G168" s="510"/>
      <c r="H168" s="511">
        <f>IF(H167="","",AVERAGE(H167,H164))</f>
        <v>497.33249999999998</v>
      </c>
      <c r="I168" s="512"/>
      <c r="J168" s="512"/>
      <c r="K168" s="186"/>
      <c r="L168" s="202"/>
      <c r="M168" s="187"/>
      <c r="N168" s="513">
        <f>IF(N167="","",AVERAGE(N167,N164))</f>
        <v>775.55500000000006</v>
      </c>
      <c r="O168" s="512"/>
      <c r="P168" s="512"/>
      <c r="Q168" s="81"/>
      <c r="R168" s="50"/>
    </row>
    <row r="169" spans="1:18" s="29" customFormat="1" ht="6" customHeight="1">
      <c r="A169" s="423"/>
      <c r="B169" s="160"/>
      <c r="C169" s="45"/>
      <c r="D169" s="45"/>
      <c r="E169" s="45"/>
      <c r="F169" s="45"/>
      <c r="G169" s="45"/>
      <c r="H169" s="205"/>
      <c r="I169" s="206"/>
      <c r="J169" s="206"/>
      <c r="K169" s="45"/>
      <c r="L169" s="45"/>
      <c r="M169" s="207"/>
      <c r="N169" s="514"/>
      <c r="O169" s="514"/>
      <c r="P169" s="208"/>
      <c r="Q169" s="45"/>
      <c r="R169" s="50"/>
    </row>
    <row r="170" spans="1:18" s="29" customFormat="1" ht="14">
      <c r="A170" s="423"/>
      <c r="B170" s="515" t="s">
        <v>130</v>
      </c>
      <c r="C170" s="516"/>
      <c r="D170" s="516"/>
      <c r="E170" s="516"/>
      <c r="F170" s="516"/>
      <c r="G170" s="517"/>
      <c r="H170" s="518">
        <f>+H65</f>
        <v>5572.3</v>
      </c>
      <c r="I170" s="518"/>
      <c r="J170" s="518"/>
      <c r="K170" s="177"/>
      <c r="L170" s="178"/>
      <c r="M170" s="470">
        <f>+N65</f>
        <v>7896.12</v>
      </c>
      <c r="N170" s="470"/>
      <c r="O170" s="470"/>
      <c r="P170" s="519"/>
      <c r="Q170" s="180"/>
      <c r="R170" s="50"/>
    </row>
    <row r="171" spans="1:18" s="29" customFormat="1" ht="6" customHeight="1">
      <c r="A171" s="423"/>
      <c r="B171" s="82"/>
      <c r="H171" s="24"/>
      <c r="I171" s="24"/>
      <c r="J171" s="24"/>
      <c r="M171" s="209"/>
      <c r="R171" s="50"/>
    </row>
    <row r="172" spans="1:18" s="29" customFormat="1">
      <c r="A172" s="423"/>
      <c r="B172" s="210" t="s">
        <v>173</v>
      </c>
      <c r="C172" s="45"/>
      <c r="D172" s="45"/>
      <c r="E172" s="45"/>
      <c r="F172" s="45"/>
      <c r="G172" s="48"/>
      <c r="H172" s="89"/>
      <c r="I172" s="24"/>
      <c r="J172" s="24"/>
      <c r="M172" s="209"/>
      <c r="R172" s="50"/>
    </row>
    <row r="173" spans="1:18" s="29" customFormat="1" ht="14">
      <c r="A173" s="423"/>
      <c r="B173" s="495" t="s">
        <v>174</v>
      </c>
      <c r="C173" s="496"/>
      <c r="D173" s="496"/>
      <c r="E173" s="496"/>
      <c r="F173" s="496"/>
      <c r="G173" s="497"/>
      <c r="H173" s="498">
        <f>IF(S20="","",ROUND(+H89*IF(K89="A",1,-1)*I70*ABS(I75)*IF(K75="A",1,-1)/H86,3))</f>
        <v>145.03</v>
      </c>
      <c r="I173" s="498"/>
      <c r="J173" s="498"/>
      <c r="K173" s="193"/>
      <c r="L173" s="45"/>
      <c r="M173" s="499">
        <f>IF(N168="","",ROUND(+N89*IF(Q89="A",1,-1)*O70*ABS(O75)*IF(Q75="A",1,-1)/N86,3))</f>
        <v>-12.651999999999999</v>
      </c>
      <c r="N173" s="500"/>
      <c r="O173" s="500"/>
      <c r="P173" s="500"/>
      <c r="Q173" s="48"/>
      <c r="R173" s="50"/>
    </row>
    <row r="174" spans="1:18" s="29" customFormat="1" ht="14">
      <c r="A174" s="423"/>
      <c r="B174" s="501" t="s">
        <v>175</v>
      </c>
      <c r="C174" s="502"/>
      <c r="D174" s="502"/>
      <c r="E174" s="502"/>
      <c r="F174" s="502"/>
      <c r="G174" s="503"/>
      <c r="H174" s="504">
        <f>IF(S20="","",ROUND(((H89*H89)/100)*50*I83/H86,3))</f>
        <v>49.168999999999997</v>
      </c>
      <c r="I174" s="505"/>
      <c r="J174" s="505"/>
      <c r="K174" s="67"/>
      <c r="M174" s="506">
        <f>IF(N168="","",ROUND(((N89*N89)/100)*50*O83/N86,3))</f>
        <v>-21.853000000000002</v>
      </c>
      <c r="N174" s="507"/>
      <c r="O174" s="507"/>
      <c r="P174" s="507"/>
      <c r="Q174" s="50"/>
      <c r="R174" s="50"/>
    </row>
    <row r="175" spans="1:18" s="29" customFormat="1" ht="14">
      <c r="A175" s="423"/>
      <c r="B175" s="487" t="s">
        <v>176</v>
      </c>
      <c r="C175" s="488"/>
      <c r="D175" s="488"/>
      <c r="E175" s="488"/>
      <c r="F175" s="488"/>
      <c r="G175" s="489"/>
      <c r="H175" s="490">
        <f>IF(H173="","",SUM(H173+H174))</f>
        <v>194.19900000000001</v>
      </c>
      <c r="I175" s="491"/>
      <c r="J175" s="491"/>
      <c r="K175" s="186"/>
      <c r="L175" s="88"/>
      <c r="M175" s="492">
        <f>IF(M173="","",SUM(M173+M174))</f>
        <v>-34.505000000000003</v>
      </c>
      <c r="N175" s="493"/>
      <c r="O175" s="493"/>
      <c r="P175" s="493"/>
      <c r="Q175" s="81"/>
      <c r="R175" s="50"/>
    </row>
    <row r="176" spans="1:18" s="29" customFormat="1" ht="6" customHeight="1">
      <c r="A176" s="423"/>
      <c r="B176" s="211"/>
      <c r="H176" s="212"/>
      <c r="I176" s="212"/>
      <c r="J176" s="212"/>
      <c r="M176" s="212"/>
      <c r="N176" s="494"/>
      <c r="O176" s="494"/>
      <c r="P176" s="212"/>
      <c r="R176" s="50"/>
    </row>
    <row r="177" spans="1:25" s="29" customFormat="1" ht="14">
      <c r="A177" s="423"/>
      <c r="B177" s="484" t="s">
        <v>177</v>
      </c>
      <c r="C177" s="485"/>
      <c r="D177" s="485"/>
      <c r="E177" s="485"/>
      <c r="F177" s="485"/>
      <c r="G177" s="486"/>
      <c r="H177" s="470">
        <f>IF(H170="","",H170+H175)</f>
        <v>5766.4989999999998</v>
      </c>
      <c r="I177" s="471"/>
      <c r="J177" s="471"/>
      <c r="K177" s="177"/>
      <c r="L177" s="178"/>
      <c r="M177" s="470">
        <f>IF(M170="","",M170+M175)</f>
        <v>7861.6149999999998</v>
      </c>
      <c r="N177" s="471"/>
      <c r="O177" s="471"/>
      <c r="P177" s="471"/>
      <c r="Q177" s="180"/>
      <c r="R177" s="50"/>
    </row>
    <row r="178" spans="1:25" s="29" customFormat="1" ht="6" customHeight="1">
      <c r="A178" s="423"/>
      <c r="B178" s="82"/>
      <c r="R178" s="50"/>
    </row>
    <row r="179" spans="1:25" s="29" customFormat="1" ht="14.25" customHeight="1">
      <c r="A179" s="423"/>
      <c r="B179" s="480" t="s">
        <v>178</v>
      </c>
      <c r="C179" s="481"/>
      <c r="D179" s="481"/>
      <c r="E179" s="481"/>
      <c r="F179" s="481"/>
      <c r="G179" s="481"/>
      <c r="H179" s="482">
        <v>1.0249999999999999</v>
      </c>
      <c r="I179" s="483"/>
      <c r="J179" s="483"/>
      <c r="K179" s="67"/>
      <c r="L179" s="201"/>
      <c r="N179" s="482">
        <v>1.0249999999999999</v>
      </c>
      <c r="O179" s="482"/>
      <c r="P179" s="482"/>
      <c r="R179" s="50"/>
      <c r="S179" s="43"/>
    </row>
    <row r="180" spans="1:25" s="29" customFormat="1" ht="6" customHeight="1">
      <c r="A180" s="423"/>
      <c r="B180" s="82"/>
      <c r="R180" s="50"/>
    </row>
    <row r="181" spans="1:25" s="29" customFormat="1" ht="14">
      <c r="A181" s="423"/>
      <c r="B181" s="484" t="s">
        <v>179</v>
      </c>
      <c r="C181" s="485"/>
      <c r="D181" s="485"/>
      <c r="E181" s="485"/>
      <c r="F181" s="485"/>
      <c r="G181" s="486"/>
      <c r="H181" s="470">
        <f>IF(H177="","",+ROUND(H177*H179/K62,3))</f>
        <v>5766.4989999999998</v>
      </c>
      <c r="I181" s="471"/>
      <c r="J181" s="471"/>
      <c r="K181" s="177"/>
      <c r="L181" s="178"/>
      <c r="M181" s="470">
        <f>IF(M177="","",+ROUND(M177*N179/K62,3))</f>
        <v>7861.6149999999998</v>
      </c>
      <c r="N181" s="471"/>
      <c r="O181" s="471"/>
      <c r="P181" s="471"/>
      <c r="Q181" s="180"/>
      <c r="R181" s="50"/>
    </row>
    <row r="182" spans="1:25" s="29" customFormat="1" ht="6" customHeight="1">
      <c r="A182" s="423"/>
      <c r="B182" s="82"/>
      <c r="R182" s="50"/>
    </row>
    <row r="183" spans="1:25" s="29" customFormat="1" ht="12.5">
      <c r="A183" s="423"/>
      <c r="B183" s="82"/>
      <c r="R183" s="50"/>
    </row>
    <row r="184" spans="1:25" s="29" customFormat="1" ht="14">
      <c r="A184" s="423"/>
      <c r="B184" s="466" t="s">
        <v>0</v>
      </c>
      <c r="C184" s="467"/>
      <c r="D184" s="467"/>
      <c r="E184" s="467"/>
      <c r="F184" s="467"/>
      <c r="G184" s="468"/>
      <c r="H184" s="469">
        <f>IF(H170="","",H181-H144)</f>
        <v>4685.8289999999997</v>
      </c>
      <c r="I184" s="470"/>
      <c r="J184" s="470"/>
      <c r="K184" s="213"/>
      <c r="L184" s="178"/>
      <c r="M184" s="470">
        <f>IF(M170="","",M181-N144)</f>
        <v>7715.1049999999996</v>
      </c>
      <c r="N184" s="470"/>
      <c r="O184" s="470"/>
      <c r="P184" s="471"/>
      <c r="Q184" s="180"/>
      <c r="R184" s="81"/>
    </row>
    <row r="185" spans="1:25" s="29" customFormat="1" thickBot="1">
      <c r="A185" s="423"/>
      <c r="B185" s="214"/>
      <c r="C185" s="215"/>
      <c r="D185" s="88"/>
      <c r="E185" s="88"/>
      <c r="F185" s="88"/>
      <c r="G185" s="88"/>
      <c r="I185" s="216"/>
      <c r="J185" s="217"/>
      <c r="K185" s="217"/>
      <c r="L185" s="216"/>
    </row>
    <row r="186" spans="1:25" s="29" customFormat="1" ht="17.25" customHeight="1" thickBot="1">
      <c r="A186" s="423"/>
      <c r="B186" s="472" t="str">
        <f>IF(J186="","Cargo Un/Loaded",+IF((H184-M184)&lt;0,"Cargo Loaded on Board","Cargo Discharged"))</f>
        <v>Cargo Loaded on Board</v>
      </c>
      <c r="C186" s="473"/>
      <c r="D186" s="473"/>
      <c r="E186" s="473"/>
      <c r="F186" s="473"/>
      <c r="G186" s="474"/>
      <c r="H186" s="82"/>
      <c r="I186" s="218"/>
      <c r="J186" s="475">
        <f>IF(M184="","",ABS(H184-M184))</f>
        <v>3029.2759999999998</v>
      </c>
      <c r="K186" s="476"/>
      <c r="L186" s="476"/>
      <c r="M186" s="477"/>
      <c r="N186" s="92"/>
      <c r="O186" s="219"/>
      <c r="P186" s="220"/>
      <c r="Q186" s="220"/>
      <c r="R186" s="221" t="s">
        <v>180</v>
      </c>
      <c r="S186" s="478">
        <f>IF(G32="","",G32)</f>
        <v>54</v>
      </c>
      <c r="T186" s="479"/>
    </row>
    <row r="187" spans="1:25" s="29" customFormat="1" ht="17.25" customHeight="1" thickBot="1">
      <c r="A187" s="423"/>
      <c r="O187" s="222"/>
      <c r="P187" s="223"/>
      <c r="Q187" s="223"/>
      <c r="R187" s="224" t="s">
        <v>181</v>
      </c>
      <c r="S187" s="455">
        <f>IF(J186="","",IF(H184-M184&lt;0,(H184-G30),(M184-G30)))</f>
        <v>2705.1989999999996</v>
      </c>
      <c r="T187" s="456"/>
    </row>
    <row r="188" spans="1:25" s="29" customFormat="1" ht="5.25" customHeight="1">
      <c r="A188" s="423"/>
    </row>
    <row r="189" spans="1:25" s="29" customFormat="1" ht="14">
      <c r="A189" s="423"/>
      <c r="B189" s="457" t="s">
        <v>182</v>
      </c>
      <c r="C189" s="458"/>
      <c r="D189" s="458"/>
      <c r="E189" s="458"/>
      <c r="F189" s="458"/>
      <c r="G189" s="458"/>
      <c r="H189" s="458"/>
      <c r="I189" s="458"/>
      <c r="J189" s="458"/>
      <c r="K189" s="458"/>
      <c r="L189" s="458"/>
      <c r="M189" s="458"/>
      <c r="N189" s="458"/>
      <c r="O189" s="458"/>
      <c r="P189" s="458"/>
      <c r="Q189" s="458"/>
      <c r="R189" s="458"/>
      <c r="S189" s="458"/>
      <c r="T189" s="458"/>
      <c r="U189" s="458"/>
      <c r="V189" s="458"/>
      <c r="W189" s="458"/>
      <c r="X189" s="458"/>
      <c r="Y189" s="459"/>
    </row>
    <row r="190" spans="1:25" s="29" customFormat="1" ht="14.25" customHeight="1">
      <c r="A190" s="423"/>
      <c r="B190" s="460"/>
      <c r="C190" s="461"/>
      <c r="D190" s="461"/>
      <c r="E190" s="461"/>
      <c r="F190" s="461"/>
      <c r="G190" s="461"/>
      <c r="H190" s="461"/>
      <c r="I190" s="461"/>
      <c r="J190" s="461"/>
      <c r="K190" s="461"/>
      <c r="L190" s="461"/>
      <c r="M190" s="461"/>
      <c r="N190" s="461"/>
      <c r="O190" s="461"/>
      <c r="P190" s="461"/>
      <c r="Q190" s="461"/>
      <c r="R190" s="461"/>
      <c r="S190" s="461"/>
      <c r="T190" s="461"/>
      <c r="U190" s="461"/>
      <c r="V190" s="461"/>
      <c r="W190" s="461"/>
      <c r="X190" s="461"/>
      <c r="Y190" s="462"/>
    </row>
    <row r="191" spans="1:25" s="29" customFormat="1" ht="14.25" customHeight="1">
      <c r="A191" s="423"/>
      <c r="B191" s="460"/>
      <c r="C191" s="461"/>
      <c r="D191" s="461"/>
      <c r="E191" s="461"/>
      <c r="F191" s="461"/>
      <c r="G191" s="461"/>
      <c r="H191" s="461"/>
      <c r="I191" s="461"/>
      <c r="J191" s="461"/>
      <c r="K191" s="461"/>
      <c r="L191" s="461"/>
      <c r="M191" s="461"/>
      <c r="N191" s="461"/>
      <c r="O191" s="461"/>
      <c r="P191" s="461"/>
      <c r="Q191" s="461"/>
      <c r="R191" s="461"/>
      <c r="S191" s="461"/>
      <c r="T191" s="461"/>
      <c r="U191" s="461"/>
      <c r="V191" s="461"/>
      <c r="W191" s="461"/>
      <c r="X191" s="461"/>
      <c r="Y191" s="462"/>
    </row>
    <row r="192" spans="1:25" s="29" customFormat="1" ht="14.25" customHeight="1">
      <c r="A192" s="423"/>
      <c r="B192" s="460"/>
      <c r="C192" s="461"/>
      <c r="D192" s="461"/>
      <c r="E192" s="461"/>
      <c r="F192" s="461"/>
      <c r="G192" s="461"/>
      <c r="H192" s="461"/>
      <c r="I192" s="461"/>
      <c r="J192" s="461"/>
      <c r="K192" s="461"/>
      <c r="L192" s="461"/>
      <c r="M192" s="461"/>
      <c r="N192" s="461"/>
      <c r="O192" s="461"/>
      <c r="P192" s="461"/>
      <c r="Q192" s="461"/>
      <c r="R192" s="461"/>
      <c r="S192" s="461"/>
      <c r="T192" s="461"/>
      <c r="U192" s="461"/>
      <c r="V192" s="461"/>
      <c r="W192" s="461"/>
      <c r="X192" s="461"/>
      <c r="Y192" s="462"/>
    </row>
    <row r="193" spans="1:26" s="29" customFormat="1" ht="15" thickBot="1">
      <c r="A193" s="423"/>
      <c r="H193" s="225"/>
      <c r="I193" s="225"/>
      <c r="J193" s="226"/>
      <c r="K193" s="227"/>
      <c r="L193" s="228"/>
      <c r="S193" s="226"/>
      <c r="W193" s="416"/>
    </row>
    <row r="194" spans="1:26" s="29" customFormat="1" ht="12.5">
      <c r="A194" s="423"/>
      <c r="B194" s="120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121"/>
      <c r="Y194" s="121"/>
      <c r="Z194" s="122"/>
    </row>
    <row r="195" spans="1:26" s="29" customFormat="1" ht="13">
      <c r="A195" s="423"/>
      <c r="B195" s="123" t="s">
        <v>183</v>
      </c>
      <c r="G195" s="154"/>
      <c r="S195" s="226"/>
      <c r="W195" s="416"/>
      <c r="Z195" s="124"/>
    </row>
    <row r="196" spans="1:26" s="29" customFormat="1" ht="13" thickBot="1">
      <c r="A196" s="423"/>
      <c r="B196" s="123"/>
      <c r="Q196" s="160"/>
      <c r="R196" s="45" t="s">
        <v>184</v>
      </c>
      <c r="S196" s="45"/>
      <c r="T196" s="45"/>
      <c r="U196" s="45"/>
      <c r="V196" s="45"/>
      <c r="W196" s="45"/>
      <c r="X196" s="45"/>
      <c r="Y196" s="48"/>
      <c r="Z196" s="124"/>
    </row>
    <row r="197" spans="1:26" s="29" customFormat="1" ht="16.5" customHeight="1" thickBot="1">
      <c r="A197" s="423"/>
      <c r="B197" s="229"/>
      <c r="D197" s="230" t="s">
        <v>185</v>
      </c>
      <c r="E197" s="463" t="str">
        <f>IF(J186="","",IF(H201-L201&lt;0,"Chargement","Déchargement"))</f>
        <v>Chargement</v>
      </c>
      <c r="F197" s="464"/>
      <c r="G197" s="464"/>
      <c r="H197" s="465"/>
      <c r="Q197" s="82"/>
      <c r="R197" s="160"/>
      <c r="S197" s="417"/>
      <c r="T197" s="231"/>
      <c r="V197" s="160"/>
      <c r="W197" s="418"/>
      <c r="X197" s="231"/>
      <c r="Y197" s="50"/>
      <c r="Z197" s="124"/>
    </row>
    <row r="198" spans="1:26" s="29" customFormat="1" ht="12.5">
      <c r="A198" s="423"/>
      <c r="B198" s="123"/>
      <c r="Q198" s="82"/>
      <c r="R198" s="82"/>
      <c r="T198" s="50"/>
      <c r="V198" s="82"/>
      <c r="X198" s="50"/>
      <c r="Y198" s="50"/>
      <c r="Z198" s="124"/>
    </row>
    <row r="199" spans="1:26" s="29" customFormat="1" ht="14">
      <c r="A199" s="423"/>
      <c r="B199" s="123"/>
      <c r="C199" s="232"/>
      <c r="Q199" s="82"/>
      <c r="R199" s="82"/>
      <c r="S199" s="226"/>
      <c r="T199" s="50"/>
      <c r="V199" s="82"/>
      <c r="W199" s="416"/>
      <c r="X199" s="50"/>
      <c r="Y199" s="50"/>
      <c r="Z199" s="124"/>
    </row>
    <row r="200" spans="1:26" s="29" customFormat="1" ht="16.5" customHeight="1">
      <c r="A200" s="423"/>
      <c r="B200" s="123"/>
      <c r="H200" s="451" t="s">
        <v>2</v>
      </c>
      <c r="I200" s="451"/>
      <c r="J200" s="451"/>
      <c r="K200" s="451"/>
      <c r="L200" s="451" t="s">
        <v>3</v>
      </c>
      <c r="M200" s="451"/>
      <c r="N200" s="451"/>
      <c r="O200" s="451"/>
      <c r="Q200" s="82"/>
      <c r="R200" s="452" t="s">
        <v>186</v>
      </c>
      <c r="S200" s="453"/>
      <c r="T200" s="454"/>
      <c r="V200" s="452" t="s">
        <v>187</v>
      </c>
      <c r="W200" s="453"/>
      <c r="X200" s="454"/>
      <c r="Y200" s="50"/>
      <c r="Z200" s="124"/>
    </row>
    <row r="201" spans="1:26" s="29" customFormat="1" ht="16.5" customHeight="1">
      <c r="A201" s="423"/>
      <c r="B201" s="123"/>
      <c r="C201" s="181" t="s">
        <v>188</v>
      </c>
      <c r="D201" s="179"/>
      <c r="E201" s="179"/>
      <c r="F201" s="179"/>
      <c r="G201" s="180"/>
      <c r="H201" s="449">
        <f>I60</f>
        <v>495.53</v>
      </c>
      <c r="I201" s="449"/>
      <c r="J201" s="449"/>
      <c r="K201" s="449"/>
      <c r="L201" s="449">
        <f>O60</f>
        <v>773.76</v>
      </c>
      <c r="M201" s="449"/>
      <c r="N201" s="449"/>
      <c r="O201" s="449"/>
      <c r="Q201" s="82"/>
      <c r="S201" s="226"/>
      <c r="W201" s="416"/>
      <c r="Y201" s="50"/>
      <c r="Z201" s="124"/>
    </row>
    <row r="202" spans="1:26" s="29" customFormat="1" ht="16.5" customHeight="1">
      <c r="A202" s="423"/>
      <c r="B202" s="123"/>
      <c r="C202" s="181" t="s">
        <v>189</v>
      </c>
      <c r="D202" s="179"/>
      <c r="E202" s="179"/>
      <c r="F202" s="179"/>
      <c r="G202" s="180"/>
      <c r="H202" s="449">
        <f>IF(H201="","",ABS(AVERAGE(H152,H158)-H164))</f>
        <v>5.1899999999999977</v>
      </c>
      <c r="I202" s="449"/>
      <c r="J202" s="449"/>
      <c r="K202" s="449"/>
      <c r="L202" s="449">
        <f>IF(L201="","",ABS(AVERAGE(N152,N158)-N164))</f>
        <v>3.4599999999999227</v>
      </c>
      <c r="M202" s="449"/>
      <c r="N202" s="449"/>
      <c r="O202" s="449"/>
      <c r="Q202" s="82"/>
      <c r="R202" s="29" t="s">
        <v>190</v>
      </c>
      <c r="Y202" s="50"/>
      <c r="Z202" s="124"/>
    </row>
    <row r="203" spans="1:26" s="29" customFormat="1" ht="16.5" customHeight="1">
      <c r="A203" s="423"/>
      <c r="B203" s="123"/>
      <c r="C203" s="233" t="s">
        <v>191</v>
      </c>
      <c r="D203" s="234"/>
      <c r="E203" s="234"/>
      <c r="F203" s="234"/>
      <c r="G203" s="235"/>
      <c r="H203" s="450" t="str">
        <f>IF(H201="","",IF(AVERAGE(H152,H158)-H164&gt;0,"Hog",IF(AVERAGE(H152,H158)-H164&lt;0,"Sag",N/A)))</f>
        <v>Sag</v>
      </c>
      <c r="I203" s="450"/>
      <c r="J203" s="450"/>
      <c r="K203" s="450"/>
      <c r="L203" s="450" t="str">
        <f>IF(L201="","",IF(AVERAGE(N152,N158)-N164&gt;0,"Hog","Sag"))</f>
        <v>Sag</v>
      </c>
      <c r="M203" s="450"/>
      <c r="N203" s="450"/>
      <c r="O203" s="450"/>
      <c r="Q203" s="82"/>
      <c r="R203" s="236" t="s">
        <v>192</v>
      </c>
      <c r="S203" s="226"/>
      <c r="U203" s="29" t="s">
        <v>193</v>
      </c>
      <c r="W203" s="416"/>
      <c r="Y203" s="50"/>
      <c r="Z203" s="124"/>
    </row>
    <row r="204" spans="1:26" s="29" customFormat="1" ht="15" customHeight="1">
      <c r="A204" s="423"/>
      <c r="B204" s="123"/>
      <c r="Q204" s="172"/>
      <c r="R204" s="237" t="s">
        <v>194</v>
      </c>
      <c r="S204" s="88"/>
      <c r="T204" s="88"/>
      <c r="U204" s="174" t="s">
        <v>195</v>
      </c>
      <c r="V204" s="174"/>
      <c r="W204" s="174"/>
      <c r="X204" s="88"/>
      <c r="Y204" s="81"/>
      <c r="Z204" s="124"/>
    </row>
    <row r="205" spans="1:26" s="29" customFormat="1" ht="15" customHeight="1">
      <c r="A205" s="423"/>
      <c r="B205" s="123"/>
      <c r="D205" s="29" t="s">
        <v>196</v>
      </c>
      <c r="S205" s="226"/>
      <c r="W205" s="416"/>
      <c r="Z205" s="124"/>
    </row>
    <row r="206" spans="1:26" s="29" customFormat="1" ht="13" thickBot="1">
      <c r="A206" s="423"/>
      <c r="B206" s="137"/>
      <c r="C206" s="142"/>
      <c r="D206" s="142"/>
      <c r="E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3"/>
    </row>
    <row r="207" spans="1:26" s="29" customFormat="1" ht="12.5">
      <c r="A207" s="423"/>
      <c r="S207" s="226"/>
      <c r="W207" s="416"/>
    </row>
    <row r="208" spans="1:26" s="421" customFormat="1" ht="12.5">
      <c r="A208" s="423"/>
    </row>
    <row r="209" spans="1:6" s="29" customFormat="1" ht="12.5">
      <c r="A209" s="423"/>
      <c r="F209" s="226"/>
    </row>
    <row r="210" spans="1:6" s="29" customFormat="1" ht="12.5">
      <c r="A210" s="423"/>
    </row>
    <row r="211" spans="1:6" s="29" customFormat="1" ht="12.5">
      <c r="A211" s="423"/>
    </row>
    <row r="212" spans="1:6" s="29" customFormat="1" ht="12.5">
      <c r="A212" s="423"/>
    </row>
    <row r="213" spans="1:6" s="29" customFormat="1" ht="12.5">
      <c r="A213" s="423"/>
    </row>
    <row r="214" spans="1:6" s="29" customFormat="1" ht="12.5">
      <c r="A214" s="423"/>
    </row>
    <row r="215" spans="1:6" s="29" customFormat="1" ht="12.5">
      <c r="A215" s="423"/>
    </row>
  </sheetData>
  <protectedRanges>
    <protectedRange password="8658" sqref="N151:N153" name="Plage2"/>
    <protectedRange password="8658" sqref="H151:H152 I153" name="Plage1"/>
    <protectedRange password="E509" sqref="B166:G168" name="Plage1_1"/>
    <protectedRange password="E509" sqref="S187:T187" name="Plage1_2"/>
    <protectedRange password="E509" sqref="D128:D131 H94:H123 F128:F131 H128:H131 P128:P131 F94:F123 D94:D123" name="Plage1_3"/>
    <protectedRange password="E509" sqref="N94:N123 P94:P123 L94:L123 N128:N131 L128:L131" name="Plage1_4"/>
    <protectedRange password="E509" sqref="N135:N137 B135:C137" name="Plage4"/>
  </protectedRanges>
  <mergeCells count="644">
    <mergeCell ref="F6:K6"/>
    <mergeCell ref="S6:U6"/>
    <mergeCell ref="W6:X6"/>
    <mergeCell ref="F8:K8"/>
    <mergeCell ref="S8:U8"/>
    <mergeCell ref="W8:X8"/>
    <mergeCell ref="F2:K2"/>
    <mergeCell ref="S2:U2"/>
    <mergeCell ref="W2:X2"/>
    <mergeCell ref="F4:K4"/>
    <mergeCell ref="S4:U4"/>
    <mergeCell ref="W4:X4"/>
    <mergeCell ref="W14:X14"/>
    <mergeCell ref="F16:H16"/>
    <mergeCell ref="S16:U16"/>
    <mergeCell ref="W16:X16"/>
    <mergeCell ref="F10:K10"/>
    <mergeCell ref="S10:U10"/>
    <mergeCell ref="W10:X10"/>
    <mergeCell ref="F12:K12"/>
    <mergeCell ref="S12:U12"/>
    <mergeCell ref="W12:X12"/>
    <mergeCell ref="F18:H18"/>
    <mergeCell ref="G20:I20"/>
    <mergeCell ref="S20:T20"/>
    <mergeCell ref="G22:I22"/>
    <mergeCell ref="S22:T22"/>
    <mergeCell ref="G24:I24"/>
    <mergeCell ref="S24:T24"/>
    <mergeCell ref="F14:K14"/>
    <mergeCell ref="S14:U14"/>
    <mergeCell ref="B38:H38"/>
    <mergeCell ref="I38:J38"/>
    <mergeCell ref="O38:P38"/>
    <mergeCell ref="B40:H40"/>
    <mergeCell ref="I40:J40"/>
    <mergeCell ref="O40:P40"/>
    <mergeCell ref="G26:I26"/>
    <mergeCell ref="G28:I28"/>
    <mergeCell ref="G30:I30"/>
    <mergeCell ref="G32:I32"/>
    <mergeCell ref="F35:K35"/>
    <mergeCell ref="L35:Q35"/>
    <mergeCell ref="E50:H50"/>
    <mergeCell ref="I50:J50"/>
    <mergeCell ref="O50:P50"/>
    <mergeCell ref="E52:H52"/>
    <mergeCell ref="I52:J52"/>
    <mergeCell ref="O52:P52"/>
    <mergeCell ref="B42:H42"/>
    <mergeCell ref="I42:J42"/>
    <mergeCell ref="O42:P42"/>
    <mergeCell ref="B44:K45"/>
    <mergeCell ref="E48:H48"/>
    <mergeCell ref="I48:J48"/>
    <mergeCell ref="O48:P48"/>
    <mergeCell ref="E56:H56"/>
    <mergeCell ref="I56:J56"/>
    <mergeCell ref="O56:P56"/>
    <mergeCell ref="E58:H58"/>
    <mergeCell ref="I58:J58"/>
    <mergeCell ref="O58:P58"/>
    <mergeCell ref="E54:H54"/>
    <mergeCell ref="I54:J54"/>
    <mergeCell ref="O54:P54"/>
    <mergeCell ref="F65:G65"/>
    <mergeCell ref="H65:J65"/>
    <mergeCell ref="L65:M65"/>
    <mergeCell ref="N65:P65"/>
    <mergeCell ref="F66:G66"/>
    <mergeCell ref="H66:J66"/>
    <mergeCell ref="L66:M66"/>
    <mergeCell ref="N66:P66"/>
    <mergeCell ref="B60:H60"/>
    <mergeCell ref="I60:J60"/>
    <mergeCell ref="O60:P60"/>
    <mergeCell ref="K62:L62"/>
    <mergeCell ref="F64:G64"/>
    <mergeCell ref="H64:J64"/>
    <mergeCell ref="L64:M64"/>
    <mergeCell ref="N64:P64"/>
    <mergeCell ref="F71:G71"/>
    <mergeCell ref="I71:J71"/>
    <mergeCell ref="L71:M71"/>
    <mergeCell ref="O71:P71"/>
    <mergeCell ref="F74:G74"/>
    <mergeCell ref="I74:J74"/>
    <mergeCell ref="L74:M74"/>
    <mergeCell ref="O74:P74"/>
    <mergeCell ref="F69:G69"/>
    <mergeCell ref="I69:J69"/>
    <mergeCell ref="L69:M69"/>
    <mergeCell ref="O69:P69"/>
    <mergeCell ref="F70:G70"/>
    <mergeCell ref="I70:J70"/>
    <mergeCell ref="L70:M70"/>
    <mergeCell ref="O70:P70"/>
    <mergeCell ref="F76:G76"/>
    <mergeCell ref="I76:J76"/>
    <mergeCell ref="L76:M76"/>
    <mergeCell ref="O76:P76"/>
    <mergeCell ref="V76:Y76"/>
    <mergeCell ref="Z76:AA76"/>
    <mergeCell ref="F75:G75"/>
    <mergeCell ref="I75:J75"/>
    <mergeCell ref="L75:M75"/>
    <mergeCell ref="O75:P75"/>
    <mergeCell ref="V75:Y75"/>
    <mergeCell ref="Z75:AA75"/>
    <mergeCell ref="F82:G82"/>
    <mergeCell ref="I82:J82"/>
    <mergeCell ref="L82:M82"/>
    <mergeCell ref="O82:P82"/>
    <mergeCell ref="I83:J83"/>
    <mergeCell ref="O83:P83"/>
    <mergeCell ref="V77:Y77"/>
    <mergeCell ref="Z77:AA77"/>
    <mergeCell ref="V78:Y78"/>
    <mergeCell ref="Z78:AA78"/>
    <mergeCell ref="F80:G80"/>
    <mergeCell ref="I80:J80"/>
    <mergeCell ref="L80:M80"/>
    <mergeCell ref="O80:P80"/>
    <mergeCell ref="H86:J86"/>
    <mergeCell ref="N86:P86"/>
    <mergeCell ref="V86:Y86"/>
    <mergeCell ref="Z86:AA86"/>
    <mergeCell ref="H87:J87"/>
    <mergeCell ref="N87:P87"/>
    <mergeCell ref="V87:Y87"/>
    <mergeCell ref="Z87:AA87"/>
    <mergeCell ref="V84:Y84"/>
    <mergeCell ref="Z84:AA84"/>
    <mergeCell ref="H85:J85"/>
    <mergeCell ref="N85:P85"/>
    <mergeCell ref="V85:Y85"/>
    <mergeCell ref="Z85:AA85"/>
    <mergeCell ref="H88:J88"/>
    <mergeCell ref="N88:P88"/>
    <mergeCell ref="H89:J89"/>
    <mergeCell ref="N89:P89"/>
    <mergeCell ref="B93:C93"/>
    <mergeCell ref="D93:E93"/>
    <mergeCell ref="F93:G93"/>
    <mergeCell ref="H93:I93"/>
    <mergeCell ref="J93:K93"/>
    <mergeCell ref="L93:M93"/>
    <mergeCell ref="N93:O93"/>
    <mergeCell ref="P93:Q93"/>
    <mergeCell ref="R93:S93"/>
    <mergeCell ref="B94:C94"/>
    <mergeCell ref="D94:E94"/>
    <mergeCell ref="F94:G94"/>
    <mergeCell ref="H94:I94"/>
    <mergeCell ref="J94:K94"/>
    <mergeCell ref="L94:M94"/>
    <mergeCell ref="N94:O94"/>
    <mergeCell ref="P94:Q94"/>
    <mergeCell ref="R94:S94"/>
    <mergeCell ref="AG97:AH97"/>
    <mergeCell ref="V94:X94"/>
    <mergeCell ref="Y94:Z94"/>
    <mergeCell ref="AA94:AB94"/>
    <mergeCell ref="B95:C95"/>
    <mergeCell ref="D95:E95"/>
    <mergeCell ref="F95:G95"/>
    <mergeCell ref="H95:I95"/>
    <mergeCell ref="J95:K95"/>
    <mergeCell ref="L95:M95"/>
    <mergeCell ref="N95:O95"/>
    <mergeCell ref="P95:Q95"/>
    <mergeCell ref="R95:S95"/>
    <mergeCell ref="AA95:AD95"/>
    <mergeCell ref="AG99:AH99"/>
    <mergeCell ref="B96:C96"/>
    <mergeCell ref="D96:E96"/>
    <mergeCell ref="F96:G96"/>
    <mergeCell ref="H96:I96"/>
    <mergeCell ref="J96:K96"/>
    <mergeCell ref="AG96:AH96"/>
    <mergeCell ref="B97:C97"/>
    <mergeCell ref="D97:E97"/>
    <mergeCell ref="F97:G97"/>
    <mergeCell ref="H97:I97"/>
    <mergeCell ref="J97:K97"/>
    <mergeCell ref="L97:M97"/>
    <mergeCell ref="N97:O97"/>
    <mergeCell ref="P97:Q97"/>
    <mergeCell ref="R97:S97"/>
    <mergeCell ref="L96:M96"/>
    <mergeCell ref="N96:O96"/>
    <mergeCell ref="P96:Q96"/>
    <mergeCell ref="R96:S96"/>
    <mergeCell ref="AA96:AB96"/>
    <mergeCell ref="AC96:AD96"/>
    <mergeCell ref="AA97:AB97"/>
    <mergeCell ref="AC97:AD97"/>
    <mergeCell ref="AG98:AH98"/>
    <mergeCell ref="B99:C99"/>
    <mergeCell ref="D99:E99"/>
    <mergeCell ref="F99:G99"/>
    <mergeCell ref="H99:I99"/>
    <mergeCell ref="J99:K99"/>
    <mergeCell ref="L99:M99"/>
    <mergeCell ref="N99:O99"/>
    <mergeCell ref="P99:Q99"/>
    <mergeCell ref="R99:S99"/>
    <mergeCell ref="P98:Q98"/>
    <mergeCell ref="R98:S98"/>
    <mergeCell ref="V98:X98"/>
    <mergeCell ref="Y98:Z98"/>
    <mergeCell ref="AA98:AB98"/>
    <mergeCell ref="AC98:AD98"/>
    <mergeCell ref="B98:C98"/>
    <mergeCell ref="D98:E98"/>
    <mergeCell ref="F98:G98"/>
    <mergeCell ref="H98:I98"/>
    <mergeCell ref="J98:K98"/>
    <mergeCell ref="L98:M98"/>
    <mergeCell ref="N98:O98"/>
    <mergeCell ref="AC99:AD99"/>
    <mergeCell ref="B101:C101"/>
    <mergeCell ref="D101:E101"/>
    <mergeCell ref="F101:G101"/>
    <mergeCell ref="H101:I101"/>
    <mergeCell ref="J101:K101"/>
    <mergeCell ref="L101:M101"/>
    <mergeCell ref="V99:X99"/>
    <mergeCell ref="Y99:Z99"/>
    <mergeCell ref="AA99:AB99"/>
    <mergeCell ref="N101:O101"/>
    <mergeCell ref="P101:Q101"/>
    <mergeCell ref="R101:S101"/>
    <mergeCell ref="V101:X101"/>
    <mergeCell ref="Y101:Z101"/>
    <mergeCell ref="AB101:AC101"/>
    <mergeCell ref="L100:M100"/>
    <mergeCell ref="N100:O100"/>
    <mergeCell ref="P100:Q100"/>
    <mergeCell ref="R100:S100"/>
    <mergeCell ref="B100:C100"/>
    <mergeCell ref="D100:E100"/>
    <mergeCell ref="F100:G100"/>
    <mergeCell ref="H100:I100"/>
    <mergeCell ref="J100:K100"/>
    <mergeCell ref="N102:O102"/>
    <mergeCell ref="P102:Q102"/>
    <mergeCell ref="R102:S102"/>
    <mergeCell ref="B103:C103"/>
    <mergeCell ref="D103:E103"/>
    <mergeCell ref="F103:G103"/>
    <mergeCell ref="H103:I103"/>
    <mergeCell ref="J103:K103"/>
    <mergeCell ref="L103:M103"/>
    <mergeCell ref="N103:O103"/>
    <mergeCell ref="B102:C102"/>
    <mergeCell ref="D102:E102"/>
    <mergeCell ref="F102:G102"/>
    <mergeCell ref="H102:I102"/>
    <mergeCell ref="J102:K102"/>
    <mergeCell ref="L102:M102"/>
    <mergeCell ref="P103:Q103"/>
    <mergeCell ref="R103:S103"/>
    <mergeCell ref="AF104:AG104"/>
    <mergeCell ref="B105:C105"/>
    <mergeCell ref="D105:E105"/>
    <mergeCell ref="F105:G105"/>
    <mergeCell ref="H105:I105"/>
    <mergeCell ref="J105:K105"/>
    <mergeCell ref="L105:M105"/>
    <mergeCell ref="N105:O105"/>
    <mergeCell ref="P105:Q105"/>
    <mergeCell ref="R105:S105"/>
    <mergeCell ref="V105:X105"/>
    <mergeCell ref="Y105:Z105"/>
    <mergeCell ref="AF105:AG105"/>
    <mergeCell ref="B104:C104"/>
    <mergeCell ref="D104:E104"/>
    <mergeCell ref="F104:G104"/>
    <mergeCell ref="H104:I104"/>
    <mergeCell ref="J104:K104"/>
    <mergeCell ref="L104:M104"/>
    <mergeCell ref="N104:O104"/>
    <mergeCell ref="P104:Q104"/>
    <mergeCell ref="R104:S104"/>
    <mergeCell ref="B106:C106"/>
    <mergeCell ref="D106:E106"/>
    <mergeCell ref="F106:G106"/>
    <mergeCell ref="H106:I106"/>
    <mergeCell ref="J106:K106"/>
    <mergeCell ref="L106:M106"/>
    <mergeCell ref="N106:O106"/>
    <mergeCell ref="P106:Q106"/>
    <mergeCell ref="R106:S106"/>
    <mergeCell ref="AA106:AD106"/>
    <mergeCell ref="AF106:AG106"/>
    <mergeCell ref="B107:C107"/>
    <mergeCell ref="D107:E107"/>
    <mergeCell ref="F107:G107"/>
    <mergeCell ref="H107:I107"/>
    <mergeCell ref="J107:K107"/>
    <mergeCell ref="AG107:AH107"/>
    <mergeCell ref="B108:C108"/>
    <mergeCell ref="D108:E108"/>
    <mergeCell ref="F108:G108"/>
    <mergeCell ref="H108:I108"/>
    <mergeCell ref="J108:K108"/>
    <mergeCell ref="L108:M108"/>
    <mergeCell ref="N108:O108"/>
    <mergeCell ref="P108:Q108"/>
    <mergeCell ref="R108:S108"/>
    <mergeCell ref="L107:M107"/>
    <mergeCell ref="N107:O107"/>
    <mergeCell ref="P107:Q107"/>
    <mergeCell ref="R107:S107"/>
    <mergeCell ref="AA107:AB107"/>
    <mergeCell ref="AC107:AD107"/>
    <mergeCell ref="AA108:AB108"/>
    <mergeCell ref="AC108:AD108"/>
    <mergeCell ref="AG108:AH108"/>
    <mergeCell ref="B109:C109"/>
    <mergeCell ref="D109:E109"/>
    <mergeCell ref="F109:G109"/>
    <mergeCell ref="H109:I109"/>
    <mergeCell ref="J109:K109"/>
    <mergeCell ref="L109:M109"/>
    <mergeCell ref="N109:O109"/>
    <mergeCell ref="AG110:AH110"/>
    <mergeCell ref="B111:C111"/>
    <mergeCell ref="D111:E111"/>
    <mergeCell ref="F111:G111"/>
    <mergeCell ref="H111:I111"/>
    <mergeCell ref="J111:K111"/>
    <mergeCell ref="AG109:AH109"/>
    <mergeCell ref="B110:C110"/>
    <mergeCell ref="D110:E110"/>
    <mergeCell ref="F110:G110"/>
    <mergeCell ref="H110:I110"/>
    <mergeCell ref="J110:K110"/>
    <mergeCell ref="L110:M110"/>
    <mergeCell ref="N110:O110"/>
    <mergeCell ref="P110:Q110"/>
    <mergeCell ref="R110:S110"/>
    <mergeCell ref="P109:Q109"/>
    <mergeCell ref="R109:S109"/>
    <mergeCell ref="V109:X109"/>
    <mergeCell ref="Y109:Z109"/>
    <mergeCell ref="AA109:AB109"/>
    <mergeCell ref="AC109:AD109"/>
    <mergeCell ref="B112:C112"/>
    <mergeCell ref="D112:E112"/>
    <mergeCell ref="F112:G112"/>
    <mergeCell ref="H112:I112"/>
    <mergeCell ref="J112:K112"/>
    <mergeCell ref="L112:M112"/>
    <mergeCell ref="V110:X110"/>
    <mergeCell ref="Y110:Z110"/>
    <mergeCell ref="AA110:AB110"/>
    <mergeCell ref="N112:O112"/>
    <mergeCell ref="P112:Q112"/>
    <mergeCell ref="R112:S112"/>
    <mergeCell ref="V112:X112"/>
    <mergeCell ref="Y112:Z112"/>
    <mergeCell ref="AB112:AC112"/>
    <mergeCell ref="L111:M111"/>
    <mergeCell ref="N111:O111"/>
    <mergeCell ref="P111:Q111"/>
    <mergeCell ref="R111:S111"/>
    <mergeCell ref="AC110:AD110"/>
    <mergeCell ref="N113:O113"/>
    <mergeCell ref="P113:Q113"/>
    <mergeCell ref="R113:S113"/>
    <mergeCell ref="B114:C114"/>
    <mergeCell ref="D114:E114"/>
    <mergeCell ref="F114:G114"/>
    <mergeCell ref="H114:I114"/>
    <mergeCell ref="J114:K114"/>
    <mergeCell ref="L114:M114"/>
    <mergeCell ref="N114:O114"/>
    <mergeCell ref="B113:C113"/>
    <mergeCell ref="D113:E113"/>
    <mergeCell ref="F113:G113"/>
    <mergeCell ref="H113:I113"/>
    <mergeCell ref="J113:K113"/>
    <mergeCell ref="L113:M113"/>
    <mergeCell ref="P114:Q114"/>
    <mergeCell ref="R114:S114"/>
    <mergeCell ref="B115:C115"/>
    <mergeCell ref="D115:E115"/>
    <mergeCell ref="F115:G115"/>
    <mergeCell ref="H115:I115"/>
    <mergeCell ref="J115:K115"/>
    <mergeCell ref="L115:M115"/>
    <mergeCell ref="N115:O115"/>
    <mergeCell ref="P115:Q115"/>
    <mergeCell ref="R115:S115"/>
    <mergeCell ref="B116:C116"/>
    <mergeCell ref="D116:E116"/>
    <mergeCell ref="F116:G116"/>
    <mergeCell ref="H116:I116"/>
    <mergeCell ref="J116:K116"/>
    <mergeCell ref="L116:M116"/>
    <mergeCell ref="N116:O116"/>
    <mergeCell ref="P116:Q116"/>
    <mergeCell ref="R116:S116"/>
    <mergeCell ref="N117:O117"/>
    <mergeCell ref="P117:Q117"/>
    <mergeCell ref="R117:S117"/>
    <mergeCell ref="B118:C118"/>
    <mergeCell ref="D118:E118"/>
    <mergeCell ref="F118:G118"/>
    <mergeCell ref="H118:I118"/>
    <mergeCell ref="J118:K118"/>
    <mergeCell ref="L118:M118"/>
    <mergeCell ref="N118:O118"/>
    <mergeCell ref="B117:C117"/>
    <mergeCell ref="D117:E117"/>
    <mergeCell ref="F117:G117"/>
    <mergeCell ref="H117:I117"/>
    <mergeCell ref="J117:K117"/>
    <mergeCell ref="L117:M117"/>
    <mergeCell ref="P118:Q118"/>
    <mergeCell ref="R118:S118"/>
    <mergeCell ref="B119:C119"/>
    <mergeCell ref="D119:E119"/>
    <mergeCell ref="F119:G119"/>
    <mergeCell ref="H119:I119"/>
    <mergeCell ref="J119:K119"/>
    <mergeCell ref="L119:M119"/>
    <mergeCell ref="N119:O119"/>
    <mergeCell ref="P119:Q119"/>
    <mergeCell ref="R119:S119"/>
    <mergeCell ref="B120:C120"/>
    <mergeCell ref="D120:E120"/>
    <mergeCell ref="F120:G120"/>
    <mergeCell ref="H120:I120"/>
    <mergeCell ref="J120:K120"/>
    <mergeCell ref="L120:M120"/>
    <mergeCell ref="N120:O120"/>
    <mergeCell ref="P120:Q120"/>
    <mergeCell ref="R120:S120"/>
    <mergeCell ref="N121:O121"/>
    <mergeCell ref="P121:Q121"/>
    <mergeCell ref="R121:S121"/>
    <mergeCell ref="B122:C122"/>
    <mergeCell ref="D122:E122"/>
    <mergeCell ref="F122:G122"/>
    <mergeCell ref="H122:I122"/>
    <mergeCell ref="J122:K122"/>
    <mergeCell ref="L122:M122"/>
    <mergeCell ref="N122:O122"/>
    <mergeCell ref="B121:C121"/>
    <mergeCell ref="D121:E121"/>
    <mergeCell ref="F121:G121"/>
    <mergeCell ref="H121:I121"/>
    <mergeCell ref="J121:K121"/>
    <mergeCell ref="L121:M121"/>
    <mergeCell ref="R123:S123"/>
    <mergeCell ref="F124:G124"/>
    <mergeCell ref="J124:K124"/>
    <mergeCell ref="N124:O124"/>
    <mergeCell ref="R124:S124"/>
    <mergeCell ref="K126:L126"/>
    <mergeCell ref="P122:Q122"/>
    <mergeCell ref="R122:S122"/>
    <mergeCell ref="B123:C123"/>
    <mergeCell ref="D123:E123"/>
    <mergeCell ref="F123:G123"/>
    <mergeCell ref="H123:I123"/>
    <mergeCell ref="J123:K123"/>
    <mergeCell ref="L123:M123"/>
    <mergeCell ref="N123:O123"/>
    <mergeCell ref="P123:Q123"/>
    <mergeCell ref="N127:O127"/>
    <mergeCell ref="P127:Q127"/>
    <mergeCell ref="R127:S127"/>
    <mergeCell ref="B128:C128"/>
    <mergeCell ref="D128:E128"/>
    <mergeCell ref="F128:G128"/>
    <mergeCell ref="H128:I128"/>
    <mergeCell ref="J128:K128"/>
    <mergeCell ref="L128:M128"/>
    <mergeCell ref="N128:O128"/>
    <mergeCell ref="B127:C127"/>
    <mergeCell ref="D127:E127"/>
    <mergeCell ref="F127:G127"/>
    <mergeCell ref="H127:I127"/>
    <mergeCell ref="J127:K127"/>
    <mergeCell ref="L127:M127"/>
    <mergeCell ref="P128:Q128"/>
    <mergeCell ref="R128:S128"/>
    <mergeCell ref="B129:C129"/>
    <mergeCell ref="D129:E129"/>
    <mergeCell ref="F129:G129"/>
    <mergeCell ref="H129:I129"/>
    <mergeCell ref="J129:K129"/>
    <mergeCell ref="L129:M129"/>
    <mergeCell ref="N129:O129"/>
    <mergeCell ref="P129:Q129"/>
    <mergeCell ref="R129:S129"/>
    <mergeCell ref="B130:C130"/>
    <mergeCell ref="D130:E130"/>
    <mergeCell ref="F130:G130"/>
    <mergeCell ref="H130:I130"/>
    <mergeCell ref="J130:K130"/>
    <mergeCell ref="L130:M130"/>
    <mergeCell ref="N130:O130"/>
    <mergeCell ref="P130:Q130"/>
    <mergeCell ref="R130:S130"/>
    <mergeCell ref="B136:G136"/>
    <mergeCell ref="H136:J136"/>
    <mergeCell ref="N136:P136"/>
    <mergeCell ref="B137:G137"/>
    <mergeCell ref="H137:J137"/>
    <mergeCell ref="N137:P137"/>
    <mergeCell ref="N131:O131"/>
    <mergeCell ref="P131:Q131"/>
    <mergeCell ref="R131:S131"/>
    <mergeCell ref="J132:K132"/>
    <mergeCell ref="R132:S132"/>
    <mergeCell ref="B135:G135"/>
    <mergeCell ref="H135:J135"/>
    <mergeCell ref="N135:P135"/>
    <mergeCell ref="B131:C131"/>
    <mergeCell ref="D131:E131"/>
    <mergeCell ref="F131:G131"/>
    <mergeCell ref="H131:I131"/>
    <mergeCell ref="J131:K131"/>
    <mergeCell ref="L131:M131"/>
    <mergeCell ref="B141:C141"/>
    <mergeCell ref="D141:F141"/>
    <mergeCell ref="H141:J141"/>
    <mergeCell ref="N141:P141"/>
    <mergeCell ref="B144:G144"/>
    <mergeCell ref="H144:J144"/>
    <mergeCell ref="N144:P144"/>
    <mergeCell ref="B138:G138"/>
    <mergeCell ref="H138:J138"/>
    <mergeCell ref="N138:P138"/>
    <mergeCell ref="B140:G140"/>
    <mergeCell ref="H140:J140"/>
    <mergeCell ref="N140:P140"/>
    <mergeCell ref="C151:G151"/>
    <mergeCell ref="H151:J151"/>
    <mergeCell ref="N151:P151"/>
    <mergeCell ref="C152:G152"/>
    <mergeCell ref="H152:J152"/>
    <mergeCell ref="N152:P152"/>
    <mergeCell ref="B148:B152"/>
    <mergeCell ref="C148:G148"/>
    <mergeCell ref="H148:J148"/>
    <mergeCell ref="N148:P148"/>
    <mergeCell ref="C149:G149"/>
    <mergeCell ref="H149:J149"/>
    <mergeCell ref="N149:P149"/>
    <mergeCell ref="C150:G150"/>
    <mergeCell ref="H150:J150"/>
    <mergeCell ref="N150:P150"/>
    <mergeCell ref="C157:G157"/>
    <mergeCell ref="H157:J157"/>
    <mergeCell ref="N157:P157"/>
    <mergeCell ref="C158:G158"/>
    <mergeCell ref="H158:J158"/>
    <mergeCell ref="N158:P158"/>
    <mergeCell ref="B154:B158"/>
    <mergeCell ref="C154:G154"/>
    <mergeCell ref="H154:J154"/>
    <mergeCell ref="N154:P154"/>
    <mergeCell ref="C155:G155"/>
    <mergeCell ref="H155:J155"/>
    <mergeCell ref="N155:P155"/>
    <mergeCell ref="C156:G156"/>
    <mergeCell ref="H156:J156"/>
    <mergeCell ref="N156:P156"/>
    <mergeCell ref="B166:G166"/>
    <mergeCell ref="H166:J166"/>
    <mergeCell ref="N166:P166"/>
    <mergeCell ref="B167:G167"/>
    <mergeCell ref="H167:J167"/>
    <mergeCell ref="N167:P167"/>
    <mergeCell ref="C163:G163"/>
    <mergeCell ref="H163:J163"/>
    <mergeCell ref="N163:P163"/>
    <mergeCell ref="C164:G164"/>
    <mergeCell ref="H164:J164"/>
    <mergeCell ref="N164:P164"/>
    <mergeCell ref="B160:B164"/>
    <mergeCell ref="C160:G160"/>
    <mergeCell ref="H160:J160"/>
    <mergeCell ref="N160:P160"/>
    <mergeCell ref="C161:G161"/>
    <mergeCell ref="H161:J161"/>
    <mergeCell ref="N161:P161"/>
    <mergeCell ref="C162:G162"/>
    <mergeCell ref="H162:J162"/>
    <mergeCell ref="N162:P162"/>
    <mergeCell ref="B173:G173"/>
    <mergeCell ref="H173:J173"/>
    <mergeCell ref="M173:P173"/>
    <mergeCell ref="B174:G174"/>
    <mergeCell ref="H174:J174"/>
    <mergeCell ref="M174:P174"/>
    <mergeCell ref="B168:G168"/>
    <mergeCell ref="H168:J168"/>
    <mergeCell ref="N168:P168"/>
    <mergeCell ref="N169:O169"/>
    <mergeCell ref="B170:G170"/>
    <mergeCell ref="H170:J170"/>
    <mergeCell ref="M170:P170"/>
    <mergeCell ref="B179:G179"/>
    <mergeCell ref="H179:J179"/>
    <mergeCell ref="N179:P179"/>
    <mergeCell ref="B181:G181"/>
    <mergeCell ref="H181:J181"/>
    <mergeCell ref="M181:P181"/>
    <mergeCell ref="B175:G175"/>
    <mergeCell ref="H175:J175"/>
    <mergeCell ref="M175:P175"/>
    <mergeCell ref="N176:O176"/>
    <mergeCell ref="B177:G177"/>
    <mergeCell ref="H177:J177"/>
    <mergeCell ref="M177:P177"/>
    <mergeCell ref="S187:T187"/>
    <mergeCell ref="B189:Y189"/>
    <mergeCell ref="B190:Y190"/>
    <mergeCell ref="B191:Y191"/>
    <mergeCell ref="B192:Y192"/>
    <mergeCell ref="E197:H197"/>
    <mergeCell ref="B184:G184"/>
    <mergeCell ref="H184:J184"/>
    <mergeCell ref="M184:P184"/>
    <mergeCell ref="B186:G186"/>
    <mergeCell ref="J186:M186"/>
    <mergeCell ref="S186:T186"/>
    <mergeCell ref="H202:K202"/>
    <mergeCell ref="L202:O202"/>
    <mergeCell ref="H203:K203"/>
    <mergeCell ref="L203:O203"/>
    <mergeCell ref="H200:K200"/>
    <mergeCell ref="L200:O200"/>
    <mergeCell ref="R200:T200"/>
    <mergeCell ref="V200:X200"/>
    <mergeCell ref="H201:K201"/>
    <mergeCell ref="L201:O201"/>
  </mergeCells>
  <dataValidations count="19">
    <dataValidation type="list" errorStyle="warning" showInputMessage="1" showErrorMessage="1" error="Inserer port" sqref="F10:K10" xr:uid="{E4A84990-0E9A-44E0-9A9E-455E081F2C0B}">
      <formula1>$A$10:$A$18</formula1>
    </dataValidation>
    <dataValidation type="list" errorStyle="warning" showInputMessage="1" showErrorMessage="1" error="Inserer port" sqref="F11:K11" xr:uid="{635BE0F1-48B7-4AC3-BB83-B23FD8F8F373}">
      <formula1>$AJ$6:$AJ$19</formula1>
    </dataValidation>
    <dataValidation allowBlank="1" showInputMessage="1" showErrorMessage="1" prompt="PORT, PAYS" sqref="F12:K12 F14:K14" xr:uid="{BF984D55-FF05-437B-B41E-E063368E666E}"/>
    <dataValidation errorStyle="information" allowBlank="1" prompt="##:##" sqref="W8 W10:W12 W2:W6 W16 W18 W14" xr:uid="{E99A09CE-4B43-473F-8D82-88F6FF933787}"/>
    <dataValidation allowBlank="1" showInputMessage="1" showErrorMessage="1" prompt="Dist Mid en cm !!!" sqref="I42:J43 O42:P43" xr:uid="{22CCD6D4-B67B-4131-B12F-3E11F84C77A5}"/>
    <dataValidation allowBlank="1" showInputMessage="1" showErrorMessage="1" prompt="Dist Aft en cm !!!" sqref="I40:J41 O40:P41" xr:uid="{DB12B0A9-CE60-4DFF-81C9-9C445B27F762}"/>
    <dataValidation allowBlank="1" showInputMessage="1" showErrorMessage="1" prompt="Dist Fore en cm !!!" sqref="I38:J39 O38:P39" xr:uid="{2FC1C081-7184-456B-8B78-5D2706C0E1D9}"/>
    <dataValidation allowBlank="1" showInputMessage="1" prompt="!! (en mètres)" sqref="G24:G25" xr:uid="{31503EA2-4EEE-457B-B521-48AFBFE532F3}"/>
    <dataValidation allowBlank="1" showInputMessage="1" showErrorMessage="1" prompt="!! (en mètres)" sqref="G26:G27" xr:uid="{50D83EFA-0674-4F2F-BAA2-7A724D482D24}"/>
    <dataValidation errorStyle="information" allowBlank="1" showInputMessage="1" showErrorMessage="1" error="en mètres" prompt="!!! LOA en mètres" sqref="S22:S23" xr:uid="{F7DAC732-76E8-4E88-BA0C-0782088C7B3F}"/>
    <dataValidation errorStyle="information" allowBlank="1" showInputMessage="1" prompt="!!! LBP en mètres" sqref="S20:S21" xr:uid="{4BF14E48-3B86-4366-A038-5DE60C735052}"/>
    <dataValidation allowBlank="1" showInputMessage="1" showErrorMessage="1" prompt="!!! en mètres" sqref="S24:S25" xr:uid="{58621599-C29F-4FF5-BB03-822BEA1D355A}"/>
    <dataValidation allowBlank="1" showInputMessage="1" showErrorMessage="1" prompt="Draft MS en cm !!!" sqref="I58:J58 O58:P58" xr:uid="{2376E35C-DAF4-42EB-804D-237F215D8BB3}"/>
    <dataValidation allowBlank="1" showInputMessage="1" showErrorMessage="1" prompt="Draft MP en cm !!!" sqref="I56:J57 O56:P57" xr:uid="{C9472D5E-0860-4061-9CCD-2CA2D9438FE4}"/>
    <dataValidation allowBlank="1" showInputMessage="1" showErrorMessage="1" prompt="Draft AS en cm !!!" sqref="I54:J54 O54:P54" xr:uid="{B02DFFDF-51BA-441B-AF82-900FE3F422B7}"/>
    <dataValidation allowBlank="1" showInputMessage="1" showErrorMessage="1" prompt="Draft AP en cm !!!" sqref="I52:J53 O52:P53" xr:uid="{B94E4240-C1AC-4925-9CC5-BF744B75E6EE}"/>
    <dataValidation allowBlank="1" showInputMessage="1" showErrorMessage="1" prompt="Draft FS en cm !!!" sqref="I50:J50 O50:P50" xr:uid="{AC74B721-A421-4558-A6A9-3ABA4DDF066D}"/>
    <dataValidation allowBlank="1" showInputMessage="1" showErrorMessage="1" prompt="Draft FP en cm !!!" sqref="I48:J49 O48:P49" xr:uid="{330A49E7-CAD4-46C2-A8AC-A0A15230A54B}"/>
    <dataValidation showInputMessage="1" showErrorMessage="1" errorTitle="A ou F ou 0" error="A (AFT) / F (FORE) / (0) NUL " promptTitle="AFT (A) ou FORE (F) ou NUL (0)" sqref="Q75 K75" xr:uid="{F786E715-0277-4BF6-82AC-B6E3AFF3A2BF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29</xdr:col>
                <xdr:colOff>114300</xdr:colOff>
                <xdr:row>2</xdr:row>
                <xdr:rowOff>19050</xdr:rowOff>
              </from>
              <to>
                <xdr:col>33</xdr:col>
                <xdr:colOff>133350</xdr:colOff>
                <xdr:row>6</xdr:row>
                <xdr:rowOff>25400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Button 1">
          <controlPr defaultSize="0" print="0" autoFill="0" autoPict="0" macro="[1]!ShowUi">
            <anchor moveWithCells="1" sizeWithCells="1">
              <from>
                <xdr:col>31</xdr:col>
                <xdr:colOff>311150</xdr:colOff>
                <xdr:row>0</xdr:row>
                <xdr:rowOff>12700</xdr:rowOff>
              </from>
              <to>
                <xdr:col>35</xdr:col>
                <xdr:colOff>12700</xdr:colOff>
                <xdr:row>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7" name="Button 2">
          <controlPr defaultSize="0" print="0" autoFill="0" autoPict="0" macro="[1]!New_App">
            <anchor moveWithCells="1" sizeWithCells="1">
              <from>
                <xdr:col>28</xdr:col>
                <xdr:colOff>57150</xdr:colOff>
                <xdr:row>0</xdr:row>
                <xdr:rowOff>0</xdr:rowOff>
              </from>
              <to>
                <xdr:col>31</xdr:col>
                <xdr:colOff>0</xdr:colOff>
                <xdr:row>1</xdr:row>
                <xdr:rowOff>158750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8" name="Button 6">
          <controlPr locked="0" defaultSize="0" print="0" autoFill="0" autoPict="0" macro="[0]!Tout_Effacer">
            <anchor moveWithCells="1" sizeWithCells="1">
              <from>
                <xdr:col>29</xdr:col>
                <xdr:colOff>171450</xdr:colOff>
                <xdr:row>7</xdr:row>
                <xdr:rowOff>139700</xdr:rowOff>
              </from>
              <to>
                <xdr:col>33</xdr:col>
                <xdr:colOff>146050</xdr:colOff>
                <xdr:row>11</xdr:row>
                <xdr:rowOff>139700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23891-D49B-4EDF-86C5-0E66F42DEBB1}">
  <sheetPr codeName="Feuil9"/>
  <dimension ref="A1:AH95"/>
  <sheetViews>
    <sheetView showGridLines="0" topLeftCell="L1" zoomScale="99" zoomScaleNormal="99" zoomScaleSheetLayoutView="96" workbookViewId="0">
      <selection activeCell="V41" sqref="V41"/>
    </sheetView>
  </sheetViews>
  <sheetFormatPr baseColWidth="10" defaultColWidth="11.453125" defaultRowHeight="14.5"/>
  <cols>
    <col min="1" max="4" width="4" customWidth="1"/>
    <col min="5" max="5" width="4.26953125" customWidth="1"/>
    <col min="6" max="6" width="6.1796875" customWidth="1"/>
    <col min="7" max="8" width="5.54296875" customWidth="1"/>
    <col min="9" max="9" width="5.453125" customWidth="1"/>
    <col min="10" max="10" width="3" customWidth="1"/>
    <col min="11" max="11" width="6.1796875" customWidth="1"/>
    <col min="12" max="12" width="5.453125" customWidth="1"/>
    <col min="13" max="14" width="5.81640625" customWidth="1"/>
    <col min="15" max="16" width="5.26953125" customWidth="1"/>
    <col min="17" max="17" width="3.7265625" customWidth="1"/>
    <col min="18" max="19" width="5.54296875" customWidth="1"/>
    <col min="20" max="21" width="5.81640625" customWidth="1"/>
    <col min="22" max="22" width="4.81640625" customWidth="1"/>
    <col min="23" max="23" width="4.54296875" customWidth="1"/>
    <col min="24" max="24" width="4" customWidth="1"/>
    <col min="25" max="26" width="4.7265625" customWidth="1"/>
  </cols>
  <sheetData>
    <row r="1" spans="1:34" ht="9" customHeight="1"/>
    <row r="2" spans="1:34" ht="14.15" customHeight="1">
      <c r="R2" s="238"/>
      <c r="S2" s="238"/>
      <c r="T2" s="239"/>
      <c r="U2" s="240"/>
      <c r="V2" s="778"/>
      <c r="W2" s="778"/>
      <c r="X2" s="778"/>
      <c r="Z2" s="241"/>
      <c r="AA2" s="241"/>
    </row>
    <row r="3" spans="1:34" ht="14.15" customHeight="1"/>
    <row r="4" spans="1:34" ht="14.15" customHeight="1">
      <c r="N4" s="779" t="s">
        <v>324</v>
      </c>
      <c r="O4" s="780"/>
      <c r="P4" s="780"/>
      <c r="Q4" s="780"/>
      <c r="R4" s="781" t="str">
        <f>IF(Data!F6="","",Data!F6)</f>
        <v>Kristin</v>
      </c>
      <c r="S4" s="781"/>
      <c r="T4" s="781"/>
      <c r="U4" s="781"/>
      <c r="V4" s="781"/>
      <c r="W4" s="781"/>
      <c r="X4" s="782"/>
      <c r="Z4" s="242"/>
      <c r="AA4" s="242"/>
      <c r="AB4" s="242"/>
    </row>
    <row r="5" spans="1:34" ht="14.15" customHeight="1">
      <c r="N5" s="783" t="s">
        <v>102</v>
      </c>
      <c r="O5" s="784"/>
      <c r="P5" s="784"/>
      <c r="Q5" s="784"/>
      <c r="R5" s="785" t="str">
        <f>IF(Data!F8="","",Data!F8)</f>
        <v>Anthracite Bulk</v>
      </c>
      <c r="S5" s="785"/>
      <c r="T5" s="786"/>
      <c r="U5" s="786"/>
      <c r="V5" s="785"/>
      <c r="W5" s="785"/>
      <c r="X5" s="787"/>
    </row>
    <row r="6" spans="1:34" ht="14.15" customHeight="1">
      <c r="N6" s="783" t="s">
        <v>197</v>
      </c>
      <c r="O6" s="784"/>
      <c r="P6" s="784"/>
      <c r="Q6" s="784"/>
      <c r="R6" s="788">
        <f>IF(Data!F16="","",Data!F16)</f>
        <v>3267.8719999999998</v>
      </c>
      <c r="S6" s="789"/>
      <c r="T6" s="790" t="str">
        <f>IF(R6="","","MT  Dated")</f>
        <v>MT  Dated</v>
      </c>
      <c r="U6" s="790"/>
      <c r="V6" s="791">
        <f>IF(Data!F18="","",Data!F18)</f>
        <v>44906</v>
      </c>
      <c r="W6" s="791"/>
      <c r="X6" s="792"/>
    </row>
    <row r="7" spans="1:34" ht="15" customHeight="1">
      <c r="N7" s="783" t="s">
        <v>105</v>
      </c>
      <c r="O7" s="784"/>
      <c r="P7" s="784"/>
      <c r="Q7" s="784"/>
      <c r="R7" s="785" t="str">
        <f>IF(Data!F12="","",Data!F12)</f>
        <v>Barcelona Sp</v>
      </c>
      <c r="S7" s="785"/>
      <c r="T7" s="793"/>
      <c r="U7" s="793"/>
      <c r="V7" s="785"/>
      <c r="W7" s="785"/>
      <c r="X7" s="787"/>
    </row>
    <row r="8" spans="1:34" ht="14.15" customHeight="1">
      <c r="N8" s="794" t="s">
        <v>325</v>
      </c>
      <c r="O8" s="795"/>
      <c r="P8" s="795"/>
      <c r="Q8" s="795"/>
      <c r="R8" s="796" t="str">
        <f>IF(Data!F14="","",Data!F14)</f>
        <v>Casabanca</v>
      </c>
      <c r="S8" s="796"/>
      <c r="T8" s="796"/>
      <c r="U8" s="796"/>
      <c r="V8" s="796"/>
      <c r="W8" s="796"/>
      <c r="X8" s="797"/>
    </row>
    <row r="9" spans="1:34" ht="12.75" customHeight="1">
      <c r="E9" s="243"/>
    </row>
    <row r="10" spans="1:34" ht="21" customHeight="1">
      <c r="F10" s="798" t="s">
        <v>198</v>
      </c>
      <c r="G10" s="798"/>
      <c r="H10" s="798"/>
      <c r="I10" s="798"/>
      <c r="J10" s="798"/>
      <c r="K10" s="798"/>
      <c r="L10" s="798"/>
      <c r="M10" s="798"/>
      <c r="N10" s="798"/>
      <c r="O10" s="798"/>
      <c r="P10" s="798"/>
      <c r="Q10" s="798"/>
      <c r="R10" s="798"/>
      <c r="S10" s="798"/>
      <c r="X10" s="244"/>
    </row>
    <row r="11" spans="1:34" ht="17.25" customHeight="1"/>
    <row r="12" spans="1:34" s="238" customFormat="1" ht="16.5" customHeight="1">
      <c r="A12" s="245" t="s">
        <v>95</v>
      </c>
      <c r="B12" s="246"/>
      <c r="C12" s="246"/>
      <c r="D12" s="246"/>
      <c r="E12" s="247" t="s">
        <v>199</v>
      </c>
      <c r="F12" s="248" t="str">
        <f>IF(Data!F2="","",Data!F2)</f>
        <v>Deutsh</v>
      </c>
      <c r="G12" s="248"/>
      <c r="H12" s="248"/>
      <c r="I12" s="248"/>
      <c r="J12" s="249"/>
      <c r="K12" s="246" t="s">
        <v>200</v>
      </c>
      <c r="L12" s="246"/>
      <c r="M12" s="247" t="s">
        <v>199</v>
      </c>
      <c r="N12" s="799">
        <f>IF(Data!S20="","",Data!S20)</f>
        <v>89.99</v>
      </c>
      <c r="O12" s="799"/>
      <c r="P12" s="248"/>
      <c r="Q12" s="249"/>
      <c r="R12" s="246" t="s">
        <v>119</v>
      </c>
      <c r="S12" s="246"/>
      <c r="T12" s="246"/>
      <c r="U12" s="247" t="s">
        <v>199</v>
      </c>
      <c r="V12" s="774">
        <f>IF(Data!T26="","",Data!T26)</f>
        <v>3</v>
      </c>
      <c r="W12" s="774"/>
      <c r="X12" s="775"/>
    </row>
    <row r="13" spans="1:34" s="238" customFormat="1" ht="16.5" customHeight="1">
      <c r="A13" s="251" t="s">
        <v>98</v>
      </c>
      <c r="B13" s="252"/>
      <c r="C13" s="252"/>
      <c r="D13" s="252"/>
      <c r="E13" s="253" t="s">
        <v>199</v>
      </c>
      <c r="F13" s="254" t="str">
        <f>IF(Data!F4="","",Data!F4)</f>
        <v>Bern</v>
      </c>
      <c r="G13" s="254"/>
      <c r="H13" s="254"/>
      <c r="I13" s="254"/>
      <c r="K13" s="252" t="s">
        <v>201</v>
      </c>
      <c r="L13" s="252"/>
      <c r="M13" s="253" t="s">
        <v>199</v>
      </c>
      <c r="N13" s="712">
        <f>IF(Data!S22="","",Data!S22)</f>
        <v>99.89</v>
      </c>
      <c r="O13" s="712"/>
      <c r="P13" s="254"/>
      <c r="R13" s="252" t="s">
        <v>394</v>
      </c>
      <c r="S13" s="252"/>
      <c r="T13" s="252"/>
      <c r="U13" s="252"/>
      <c r="V13" s="776">
        <f>IF(Data!T28="","",Data!T28)</f>
        <v>26</v>
      </c>
      <c r="W13" s="776"/>
      <c r="X13" s="777"/>
      <c r="AC13" s="429"/>
      <c r="AD13" s="429"/>
      <c r="AE13" s="429"/>
      <c r="AF13" s="429"/>
      <c r="AG13" s="429"/>
      <c r="AH13" s="429"/>
    </row>
    <row r="14" spans="1:34" s="238" customFormat="1" ht="16.5" customHeight="1">
      <c r="A14" s="251" t="s">
        <v>202</v>
      </c>
      <c r="B14" s="252"/>
      <c r="C14" s="252"/>
      <c r="D14" s="252"/>
      <c r="E14" s="253" t="s">
        <v>199</v>
      </c>
      <c r="F14" s="756">
        <f>IF(Data!G20="","",Data!G20)</f>
        <v>2398</v>
      </c>
      <c r="G14" s="756"/>
      <c r="H14" s="756"/>
      <c r="I14" s="254"/>
      <c r="J14" s="256"/>
      <c r="K14" s="252" t="s">
        <v>203</v>
      </c>
      <c r="L14" s="252"/>
      <c r="M14" s="253" t="s">
        <v>199</v>
      </c>
      <c r="N14" s="712">
        <f>IF(Data!S24="","",Data!S24)</f>
        <v>16.399999999999999</v>
      </c>
      <c r="O14" s="712"/>
      <c r="P14" s="254"/>
      <c r="R14" s="252" t="s">
        <v>204</v>
      </c>
      <c r="S14" s="252"/>
      <c r="T14" s="252"/>
      <c r="U14" s="257" t="s">
        <v>395</v>
      </c>
      <c r="V14" s="712">
        <f>IF(Data!G24="","",Data!G24)</f>
        <v>6.34</v>
      </c>
      <c r="W14" s="712"/>
      <c r="X14" s="757"/>
      <c r="AC14" s="739"/>
      <c r="AD14" s="739"/>
      <c r="AE14" s="739"/>
      <c r="AF14" s="739"/>
      <c r="AG14" s="739"/>
      <c r="AH14" s="739"/>
    </row>
    <row r="15" spans="1:34" s="238" customFormat="1" ht="16.5" customHeight="1">
      <c r="A15" s="251" t="s">
        <v>205</v>
      </c>
      <c r="B15" s="252"/>
      <c r="C15" s="252"/>
      <c r="D15" s="252"/>
      <c r="E15" s="253" t="s">
        <v>199</v>
      </c>
      <c r="F15" s="756">
        <f>IF(Data!G22="","",Data!G22)</f>
        <v>1986</v>
      </c>
      <c r="G15" s="756"/>
      <c r="H15" s="756"/>
      <c r="I15" s="254"/>
      <c r="J15" s="256"/>
      <c r="K15" s="252" t="s">
        <v>43</v>
      </c>
      <c r="L15" s="252"/>
      <c r="M15" s="253" t="s">
        <v>199</v>
      </c>
      <c r="N15" s="714">
        <f>IF(Data!G30="","",Data!G30)</f>
        <v>1980.63</v>
      </c>
      <c r="O15" s="714"/>
      <c r="P15" s="254"/>
      <c r="R15" s="252" t="s">
        <v>396</v>
      </c>
      <c r="S15" s="252"/>
      <c r="T15" s="252"/>
      <c r="U15" s="252"/>
      <c r="V15" s="712">
        <f>IF(Data!G28="","",Data!G28)</f>
        <v>5439</v>
      </c>
      <c r="W15" s="712"/>
      <c r="X15" s="757"/>
      <c r="AC15" s="739"/>
      <c r="AD15" s="740"/>
      <c r="AE15" s="740"/>
      <c r="AF15" s="740"/>
      <c r="AG15" s="740"/>
      <c r="AH15" s="740"/>
    </row>
    <row r="16" spans="1:34" ht="5.25" customHeight="1">
      <c r="A16" s="258"/>
      <c r="B16" s="259"/>
      <c r="C16" s="259"/>
      <c r="D16" s="259"/>
      <c r="E16" s="259"/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X16" s="260"/>
      <c r="AC16" s="741"/>
      <c r="AD16" s="740"/>
      <c r="AE16" s="740"/>
      <c r="AF16" s="740"/>
      <c r="AG16" s="740"/>
      <c r="AH16" s="740"/>
    </row>
    <row r="17" spans="1:34" ht="5.25" customHeight="1">
      <c r="A17" s="261"/>
      <c r="B17" s="238"/>
      <c r="C17" s="238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62"/>
      <c r="AC17" s="741"/>
      <c r="AD17" s="740"/>
      <c r="AE17" s="740"/>
      <c r="AF17" s="740"/>
      <c r="AG17" s="740"/>
      <c r="AH17" s="740"/>
    </row>
    <row r="18" spans="1:34" s="238" customFormat="1" ht="16.5" customHeight="1">
      <c r="A18" s="770" t="s">
        <v>96</v>
      </c>
      <c r="B18" s="771"/>
      <c r="C18" s="771"/>
      <c r="D18" s="771"/>
      <c r="E18" s="771"/>
      <c r="F18" s="771"/>
      <c r="G18" s="772">
        <f>IF(Data!S2="","",Data!S2)</f>
        <v>44906</v>
      </c>
      <c r="H18" s="772"/>
      <c r="I18" s="263" t="s">
        <v>97</v>
      </c>
      <c r="J18" s="754" t="str">
        <f>Data!W2</f>
        <v>00:00</v>
      </c>
      <c r="K18" s="754"/>
      <c r="N18" s="764" t="s">
        <v>101</v>
      </c>
      <c r="O18" s="764"/>
      <c r="P18" s="764"/>
      <c r="Q18" s="764"/>
      <c r="R18" s="764"/>
      <c r="S18" s="764"/>
      <c r="T18" s="772">
        <f>Data!S6</f>
        <v>44906</v>
      </c>
      <c r="U18" s="772"/>
      <c r="V18" s="263" t="s">
        <v>97</v>
      </c>
      <c r="W18" s="754" t="str">
        <f>Data!W6</f>
        <v>00:00</v>
      </c>
      <c r="X18" s="755"/>
      <c r="Y18" s="261"/>
      <c r="AC18" s="429"/>
      <c r="AD18" s="429"/>
      <c r="AE18" s="429"/>
      <c r="AF18" s="429"/>
      <c r="AG18" s="429"/>
      <c r="AH18" s="429"/>
    </row>
    <row r="19" spans="1:34" s="238" customFormat="1" ht="16.5" customHeight="1">
      <c r="A19" s="765" t="s">
        <v>99</v>
      </c>
      <c r="B19" s="766"/>
      <c r="C19" s="766"/>
      <c r="D19" s="766"/>
      <c r="E19" s="766"/>
      <c r="F19" s="766"/>
      <c r="G19" s="762">
        <f>IF(Data!S4="","",Data!S4)</f>
        <v>44906</v>
      </c>
      <c r="H19" s="762"/>
      <c r="I19" s="264" t="s">
        <v>97</v>
      </c>
      <c r="J19" s="767" t="str">
        <f>Data!W4</f>
        <v>00:00</v>
      </c>
      <c r="K19" s="767"/>
      <c r="N19" s="768" t="s">
        <v>103</v>
      </c>
      <c r="O19" s="766"/>
      <c r="P19" s="766"/>
      <c r="Q19" s="766"/>
      <c r="R19" s="766"/>
      <c r="S19" s="766"/>
      <c r="T19" s="762">
        <f>Data!S8</f>
        <v>44906</v>
      </c>
      <c r="U19" s="762"/>
      <c r="V19" s="264" t="s">
        <v>97</v>
      </c>
      <c r="W19" s="763" t="str">
        <f>Data!W8</f>
        <v>00:00</v>
      </c>
      <c r="X19" s="763"/>
      <c r="Y19" s="261"/>
    </row>
    <row r="20" spans="1:34" s="238" customFormat="1" ht="16.5" customHeight="1">
      <c r="A20" s="760" t="s">
        <v>326</v>
      </c>
      <c r="B20" s="761"/>
      <c r="C20" s="761"/>
      <c r="D20" s="761"/>
      <c r="E20" s="761"/>
      <c r="F20" s="761"/>
      <c r="G20" s="762">
        <f>IF(Data!S10="","",Data!S10)</f>
        <v>44906</v>
      </c>
      <c r="H20" s="762"/>
      <c r="I20" s="264" t="s">
        <v>97</v>
      </c>
      <c r="J20" s="763" t="s">
        <v>320</v>
      </c>
      <c r="K20" s="763"/>
      <c r="N20" s="764" t="s">
        <v>107</v>
      </c>
      <c r="O20" s="764"/>
      <c r="P20" s="764"/>
      <c r="Q20" s="764"/>
      <c r="R20" s="764"/>
      <c r="S20" s="764"/>
      <c r="T20" s="762">
        <f>Data!S14</f>
        <v>44906</v>
      </c>
      <c r="U20" s="762"/>
      <c r="V20" s="264" t="s">
        <v>97</v>
      </c>
      <c r="W20" s="758" t="str">
        <f>Data!W14</f>
        <v>00:00</v>
      </c>
      <c r="X20" s="759"/>
    </row>
    <row r="21" spans="1:34" s="238" customFormat="1" ht="16.5" customHeight="1">
      <c r="A21" s="769" t="s">
        <v>326</v>
      </c>
      <c r="B21" s="742"/>
      <c r="C21" s="742"/>
      <c r="D21" s="742"/>
      <c r="E21" s="742"/>
      <c r="F21" s="742"/>
      <c r="G21" s="762">
        <f>Data!S10</f>
        <v>44906</v>
      </c>
      <c r="H21" s="762"/>
      <c r="I21" s="264" t="s">
        <v>97</v>
      </c>
      <c r="J21" s="758" t="str">
        <f>Data!W10</f>
        <v>00:00</v>
      </c>
      <c r="K21" s="758"/>
      <c r="N21" s="742" t="s">
        <v>107</v>
      </c>
      <c r="O21" s="742"/>
      <c r="P21" s="742"/>
      <c r="Q21" s="742"/>
      <c r="R21" s="742"/>
      <c r="S21" s="428"/>
      <c r="T21" s="762">
        <f>Data!S16</f>
        <v>44906</v>
      </c>
      <c r="U21" s="762"/>
      <c r="V21" s="264" t="s">
        <v>97</v>
      </c>
      <c r="W21" s="758" t="str">
        <f>Data!W16</f>
        <v>00:00</v>
      </c>
      <c r="X21" s="759"/>
    </row>
    <row r="22" spans="1:34" ht="6" customHeight="1">
      <c r="A22" s="265"/>
      <c r="B22" s="266"/>
      <c r="C22" s="266"/>
      <c r="D22" s="266"/>
      <c r="E22" s="266"/>
      <c r="F22" s="267"/>
      <c r="G22" s="268"/>
      <c r="H22" s="268"/>
      <c r="I22" s="269"/>
      <c r="J22" s="268"/>
      <c r="K22" s="268"/>
      <c r="L22" s="267"/>
      <c r="M22" s="267"/>
      <c r="N22" s="266"/>
      <c r="O22" s="266"/>
      <c r="P22" s="266"/>
      <c r="Q22" s="266"/>
      <c r="R22" s="266"/>
      <c r="S22" s="268"/>
      <c r="T22" s="268"/>
      <c r="U22" s="269"/>
      <c r="V22" s="268"/>
      <c r="W22" s="268"/>
      <c r="X22" s="270"/>
    </row>
    <row r="23" spans="1:34" ht="4.5" customHeight="1" thickBot="1">
      <c r="A23" s="271"/>
      <c r="B23" s="271"/>
      <c r="C23" s="271"/>
      <c r="D23" s="271"/>
      <c r="E23" s="271"/>
      <c r="G23" s="272"/>
      <c r="H23" s="272"/>
      <c r="I23" s="273"/>
      <c r="J23" s="272"/>
      <c r="K23" s="272"/>
      <c r="N23" s="271"/>
      <c r="O23" s="271"/>
      <c r="P23" s="271"/>
      <c r="Q23" s="271"/>
      <c r="R23" s="271"/>
      <c r="S23" s="272"/>
      <c r="T23" s="272"/>
      <c r="U23" s="273"/>
      <c r="V23" s="272"/>
      <c r="W23" s="272"/>
    </row>
    <row r="24" spans="1:34" ht="16.5" customHeight="1" thickBot="1">
      <c r="A24" s="743" t="s">
        <v>206</v>
      </c>
      <c r="B24" s="744"/>
      <c r="C24" s="744"/>
      <c r="D24" s="744"/>
      <c r="E24" s="744"/>
      <c r="F24" s="744"/>
      <c r="G24" s="744"/>
      <c r="H24" s="744"/>
      <c r="I24" s="744"/>
      <c r="J24" s="745"/>
      <c r="K24" s="274" t="s">
        <v>207</v>
      </c>
      <c r="L24" s="746" t="s">
        <v>2</v>
      </c>
      <c r="M24" s="746"/>
      <c r="N24" s="746"/>
      <c r="O24" s="746"/>
      <c r="P24" s="746"/>
      <c r="Q24" s="747"/>
      <c r="R24" s="748" t="s">
        <v>3</v>
      </c>
      <c r="S24" s="746"/>
      <c r="T24" s="746"/>
      <c r="U24" s="746"/>
      <c r="V24" s="746"/>
      <c r="W24" s="746"/>
      <c r="X24" s="749"/>
    </row>
    <row r="25" spans="1:34" ht="16.5" customHeight="1">
      <c r="A25" s="750" t="s">
        <v>321</v>
      </c>
      <c r="B25" s="751"/>
      <c r="C25" s="751"/>
      <c r="D25" s="751"/>
      <c r="E25" s="751"/>
      <c r="F25" s="752"/>
      <c r="G25" s="275"/>
      <c r="H25" s="275"/>
      <c r="I25" s="276" t="s">
        <v>104</v>
      </c>
      <c r="J25" s="277"/>
      <c r="K25" s="278" t="s">
        <v>208</v>
      </c>
      <c r="L25" s="279"/>
      <c r="M25" s="753">
        <f>IF(Data!H148="","",Data!H148)</f>
        <v>333</v>
      </c>
      <c r="N25" s="753"/>
      <c r="O25" s="280"/>
      <c r="P25" s="279"/>
      <c r="Q25" s="281"/>
      <c r="R25" s="282"/>
      <c r="S25" s="279"/>
      <c r="T25" s="753">
        <f>Data!N148</f>
        <v>666</v>
      </c>
      <c r="U25" s="753"/>
      <c r="V25" s="280"/>
      <c r="W25" s="279"/>
      <c r="X25" s="283"/>
    </row>
    <row r="26" spans="1:34" ht="16.5" customHeight="1">
      <c r="A26" s="706"/>
      <c r="B26" s="707"/>
      <c r="C26" s="707"/>
      <c r="D26" s="707"/>
      <c r="E26" s="707"/>
      <c r="F26" s="708"/>
      <c r="G26" s="252"/>
      <c r="H26" s="252"/>
      <c r="I26" s="253" t="s">
        <v>209</v>
      </c>
      <c r="J26" s="284"/>
      <c r="K26" s="285" t="s">
        <v>208</v>
      </c>
      <c r="L26" s="254"/>
      <c r="M26" s="717">
        <f>IF(Data!H149="","",Data!H149)</f>
        <v>333</v>
      </c>
      <c r="N26" s="717"/>
      <c r="O26" s="286"/>
      <c r="P26" s="254"/>
      <c r="Q26" s="255"/>
      <c r="R26" s="287"/>
      <c r="S26" s="254"/>
      <c r="T26" s="717">
        <f>Data!N149</f>
        <v>666</v>
      </c>
      <c r="U26" s="717"/>
      <c r="V26" s="286"/>
      <c r="W26" s="254"/>
      <c r="X26" s="288"/>
    </row>
    <row r="27" spans="1:34" ht="16.5" customHeight="1">
      <c r="A27" s="706"/>
      <c r="B27" s="707"/>
      <c r="C27" s="707"/>
      <c r="D27" s="707"/>
      <c r="E27" s="707"/>
      <c r="F27" s="708"/>
      <c r="G27" s="252"/>
      <c r="H27" s="252"/>
      <c r="I27" s="253" t="s">
        <v>210</v>
      </c>
      <c r="J27" s="289"/>
      <c r="K27" s="290" t="s">
        <v>208</v>
      </c>
      <c r="L27" s="291"/>
      <c r="M27" s="773">
        <f>IF(Data!H150="","",Data!H150)</f>
        <v>333</v>
      </c>
      <c r="N27" s="773"/>
      <c r="O27" s="292"/>
      <c r="P27" s="291"/>
      <c r="Q27" s="293"/>
      <c r="R27" s="294"/>
      <c r="S27" s="291"/>
      <c r="T27" s="717">
        <f>Data!N150</f>
        <v>666</v>
      </c>
      <c r="U27" s="717"/>
      <c r="V27" s="292"/>
      <c r="W27" s="291"/>
      <c r="X27" s="295"/>
    </row>
    <row r="28" spans="1:34" ht="16.5" customHeight="1">
      <c r="A28" s="706"/>
      <c r="B28" s="707"/>
      <c r="C28" s="707"/>
      <c r="D28" s="707"/>
      <c r="E28" s="707"/>
      <c r="F28" s="708"/>
      <c r="G28" s="252"/>
      <c r="H28" s="252"/>
      <c r="I28" s="253" t="s">
        <v>211</v>
      </c>
      <c r="J28" s="284"/>
      <c r="K28" s="285" t="s">
        <v>208</v>
      </c>
      <c r="L28" s="254"/>
      <c r="M28" s="717">
        <f>IF(Data!H151="","",Data!H151)</f>
        <v>-3.3564697205605181</v>
      </c>
      <c r="N28" s="717"/>
      <c r="O28" s="286"/>
      <c r="P28" s="254"/>
      <c r="Q28" s="255"/>
      <c r="R28" s="287"/>
      <c r="S28" s="254"/>
      <c r="T28" s="717">
        <f>Data!N151</f>
        <v>-2.2376464803736784</v>
      </c>
      <c r="U28" s="717"/>
      <c r="V28" s="286"/>
      <c r="W28" s="254"/>
      <c r="X28" s="288"/>
    </row>
    <row r="29" spans="1:34" ht="16.5" customHeight="1">
      <c r="A29" s="709"/>
      <c r="B29" s="710"/>
      <c r="C29" s="710"/>
      <c r="D29" s="710"/>
      <c r="E29" s="710"/>
      <c r="F29" s="711"/>
      <c r="G29" s="296"/>
      <c r="H29" s="296"/>
      <c r="I29" s="297" t="s">
        <v>212</v>
      </c>
      <c r="J29" s="298"/>
      <c r="K29" s="299" t="s">
        <v>208</v>
      </c>
      <c r="L29" s="300"/>
      <c r="M29" s="718">
        <f>IF(Data!H152="","",Data!H152)</f>
        <v>329.64</v>
      </c>
      <c r="N29" s="718"/>
      <c r="O29" s="301"/>
      <c r="P29" s="300"/>
      <c r="Q29" s="302"/>
      <c r="R29" s="303"/>
      <c r="S29" s="300"/>
      <c r="T29" s="718">
        <f>Data!N152</f>
        <v>663.76</v>
      </c>
      <c r="U29" s="718"/>
      <c r="V29" s="301"/>
      <c r="W29" s="300"/>
      <c r="X29" s="304"/>
    </row>
    <row r="30" spans="1:34" ht="16.5" customHeight="1">
      <c r="A30" s="703" t="s">
        <v>322</v>
      </c>
      <c r="B30" s="704"/>
      <c r="C30" s="704"/>
      <c r="D30" s="704"/>
      <c r="E30" s="704"/>
      <c r="F30" s="705"/>
      <c r="G30" s="246"/>
      <c r="H30" s="246"/>
      <c r="I30" s="247" t="s">
        <v>104</v>
      </c>
      <c r="J30" s="246"/>
      <c r="K30" s="305" t="s">
        <v>208</v>
      </c>
      <c r="L30" s="248"/>
      <c r="M30" s="721">
        <f>Data!H154</f>
        <v>666</v>
      </c>
      <c r="N30" s="721"/>
      <c r="O30" s="306"/>
      <c r="P30" s="248"/>
      <c r="Q30" s="248"/>
      <c r="R30" s="307"/>
      <c r="S30" s="248"/>
      <c r="T30" s="721">
        <f>Data!N154</f>
        <v>888</v>
      </c>
      <c r="U30" s="721"/>
      <c r="V30" s="306"/>
      <c r="W30" s="248"/>
      <c r="X30" s="308"/>
    </row>
    <row r="31" spans="1:34" ht="16.5" customHeight="1">
      <c r="A31" s="706"/>
      <c r="B31" s="707"/>
      <c r="C31" s="707"/>
      <c r="D31" s="707"/>
      <c r="E31" s="707"/>
      <c r="F31" s="708"/>
      <c r="G31" s="252"/>
      <c r="H31" s="252"/>
      <c r="I31" s="253" t="s">
        <v>209</v>
      </c>
      <c r="J31" s="252"/>
      <c r="K31" s="285" t="s">
        <v>208</v>
      </c>
      <c r="L31" s="254"/>
      <c r="M31" s="717">
        <f>Data!H155</f>
        <v>666</v>
      </c>
      <c r="N31" s="717"/>
      <c r="O31" s="286"/>
      <c r="P31" s="254"/>
      <c r="Q31" s="254"/>
      <c r="R31" s="287"/>
      <c r="S31" s="254"/>
      <c r="T31" s="717">
        <f>Data!N155</f>
        <v>888</v>
      </c>
      <c r="U31" s="717"/>
      <c r="V31" s="286"/>
      <c r="W31" s="254"/>
      <c r="X31" s="288"/>
    </row>
    <row r="32" spans="1:34" ht="16.5" customHeight="1">
      <c r="A32" s="706"/>
      <c r="B32" s="707"/>
      <c r="C32" s="707"/>
      <c r="D32" s="707"/>
      <c r="E32" s="707"/>
      <c r="F32" s="708"/>
      <c r="G32" s="252"/>
      <c r="H32" s="252"/>
      <c r="I32" s="253" t="s">
        <v>210</v>
      </c>
      <c r="J32" s="252"/>
      <c r="K32" s="285" t="s">
        <v>208</v>
      </c>
      <c r="L32" s="254"/>
      <c r="M32" s="717">
        <f>Data!H156</f>
        <v>666</v>
      </c>
      <c r="N32" s="717"/>
      <c r="O32" s="286"/>
      <c r="P32" s="254"/>
      <c r="Q32" s="254"/>
      <c r="R32" s="287"/>
      <c r="S32" s="254"/>
      <c r="T32" s="717">
        <f>Data!N156</f>
        <v>888</v>
      </c>
      <c r="U32" s="717"/>
      <c r="V32" s="286"/>
      <c r="W32" s="254"/>
      <c r="X32" s="288"/>
    </row>
    <row r="33" spans="1:24" ht="16.5" customHeight="1">
      <c r="A33" s="706"/>
      <c r="B33" s="707"/>
      <c r="C33" s="707"/>
      <c r="D33" s="707"/>
      <c r="E33" s="707"/>
      <c r="F33" s="708"/>
      <c r="G33" s="252"/>
      <c r="H33" s="252"/>
      <c r="I33" s="253" t="s">
        <v>211</v>
      </c>
      <c r="J33" s="252"/>
      <c r="K33" s="285" t="s">
        <v>208</v>
      </c>
      <c r="L33" s="254"/>
      <c r="M33" s="717">
        <f>Data!H157</f>
        <v>-8.7595673195115964</v>
      </c>
      <c r="N33" s="717"/>
      <c r="O33" s="286"/>
      <c r="P33" s="254"/>
      <c r="Q33" s="254"/>
      <c r="R33" s="287"/>
      <c r="S33" s="254"/>
      <c r="T33" s="717">
        <f>Data!N157</f>
        <v>-5.8397115463410634</v>
      </c>
      <c r="U33" s="717"/>
      <c r="V33" s="286"/>
      <c r="W33" s="254"/>
      <c r="X33" s="288"/>
    </row>
    <row r="34" spans="1:24" ht="16.5" customHeight="1">
      <c r="A34" s="709"/>
      <c r="B34" s="710"/>
      <c r="C34" s="710"/>
      <c r="D34" s="710"/>
      <c r="E34" s="710"/>
      <c r="F34" s="711"/>
      <c r="G34" s="296"/>
      <c r="H34" s="296"/>
      <c r="I34" s="297" t="s">
        <v>213</v>
      </c>
      <c r="J34" s="296"/>
      <c r="K34" s="299" t="s">
        <v>208</v>
      </c>
      <c r="L34" s="300"/>
      <c r="M34" s="718">
        <f>Data!H158</f>
        <v>657.24</v>
      </c>
      <c r="N34" s="718"/>
      <c r="O34" s="301"/>
      <c r="P34" s="300"/>
      <c r="Q34" s="300"/>
      <c r="R34" s="303"/>
      <c r="S34" s="300"/>
      <c r="T34" s="718">
        <f>Data!N158</f>
        <v>882.16</v>
      </c>
      <c r="U34" s="718"/>
      <c r="V34" s="301"/>
      <c r="W34" s="300"/>
      <c r="X34" s="304"/>
    </row>
    <row r="35" spans="1:24" ht="16.5" customHeight="1">
      <c r="A35" s="703" t="s">
        <v>323</v>
      </c>
      <c r="B35" s="704"/>
      <c r="C35" s="704"/>
      <c r="D35" s="704"/>
      <c r="E35" s="704"/>
      <c r="F35" s="705"/>
      <c r="G35" s="246"/>
      <c r="H35" s="246"/>
      <c r="I35" s="247" t="s">
        <v>104</v>
      </c>
      <c r="J35" s="309"/>
      <c r="K35" s="305" t="s">
        <v>208</v>
      </c>
      <c r="L35" s="248"/>
      <c r="M35" s="721">
        <f>Data!H160</f>
        <v>444</v>
      </c>
      <c r="N35" s="721"/>
      <c r="O35" s="306"/>
      <c r="P35" s="248"/>
      <c r="Q35" s="250"/>
      <c r="R35" s="307"/>
      <c r="S35" s="248"/>
      <c r="T35" s="721">
        <f>Data!N160</f>
        <v>777</v>
      </c>
      <c r="U35" s="721"/>
      <c r="V35" s="306"/>
      <c r="W35" s="248"/>
      <c r="X35" s="308"/>
    </row>
    <row r="36" spans="1:24" ht="16.5" customHeight="1">
      <c r="A36" s="706"/>
      <c r="B36" s="707"/>
      <c r="C36" s="707"/>
      <c r="D36" s="707"/>
      <c r="E36" s="707"/>
      <c r="F36" s="708"/>
      <c r="G36" s="252"/>
      <c r="H36" s="252"/>
      <c r="I36" s="253" t="s">
        <v>209</v>
      </c>
      <c r="J36" s="284"/>
      <c r="K36" s="285" t="s">
        <v>208</v>
      </c>
      <c r="L36" s="254"/>
      <c r="M36" s="717">
        <f>Data!H161</f>
        <v>555</v>
      </c>
      <c r="N36" s="717"/>
      <c r="O36" s="286"/>
      <c r="P36" s="254"/>
      <c r="Q36" s="255"/>
      <c r="R36" s="287"/>
      <c r="S36" s="254"/>
      <c r="T36" s="717">
        <f>Data!N161</f>
        <v>777</v>
      </c>
      <c r="U36" s="717"/>
      <c r="V36" s="286"/>
      <c r="W36" s="254"/>
      <c r="X36" s="288"/>
    </row>
    <row r="37" spans="1:24" ht="16.5" customHeight="1">
      <c r="A37" s="706"/>
      <c r="B37" s="707"/>
      <c r="C37" s="707"/>
      <c r="D37" s="707"/>
      <c r="E37" s="707"/>
      <c r="F37" s="708"/>
      <c r="G37" s="252"/>
      <c r="H37" s="252"/>
      <c r="I37" s="253" t="s">
        <v>210</v>
      </c>
      <c r="J37" s="284"/>
      <c r="K37" s="285" t="s">
        <v>208</v>
      </c>
      <c r="L37" s="254"/>
      <c r="M37" s="717">
        <f>Data!H162</f>
        <v>499.5</v>
      </c>
      <c r="N37" s="717"/>
      <c r="O37" s="286"/>
      <c r="P37" s="254"/>
      <c r="Q37" s="255"/>
      <c r="R37" s="287"/>
      <c r="S37" s="254"/>
      <c r="T37" s="717">
        <f>Data!N162</f>
        <v>777</v>
      </c>
      <c r="U37" s="717"/>
      <c r="V37" s="286"/>
      <c r="W37" s="254"/>
      <c r="X37" s="288"/>
    </row>
    <row r="38" spans="1:24" ht="16.5" customHeight="1">
      <c r="A38" s="706"/>
      <c r="B38" s="707"/>
      <c r="C38" s="707"/>
      <c r="D38" s="707"/>
      <c r="E38" s="707"/>
      <c r="F38" s="708"/>
      <c r="G38" s="252"/>
      <c r="H38" s="252"/>
      <c r="I38" s="310" t="s">
        <v>214</v>
      </c>
      <c r="J38" s="284"/>
      <c r="K38" s="285" t="s">
        <v>208</v>
      </c>
      <c r="L38" s="254"/>
      <c r="M38" s="717">
        <f>Data!H163</f>
        <v>-0.87322789477997209</v>
      </c>
      <c r="N38" s="717"/>
      <c r="O38" s="286"/>
      <c r="P38" s="254"/>
      <c r="Q38" s="255"/>
      <c r="R38" s="287"/>
      <c r="S38" s="254"/>
      <c r="T38" s="717">
        <f>Data!N163</f>
        <v>-0.58215192985331476</v>
      </c>
      <c r="U38" s="717"/>
      <c r="V38" s="286"/>
      <c r="W38" s="254"/>
      <c r="X38" s="288"/>
    </row>
    <row r="39" spans="1:24" ht="16.5" customHeight="1">
      <c r="A39" s="709"/>
      <c r="B39" s="710"/>
      <c r="C39" s="710"/>
      <c r="D39" s="710"/>
      <c r="E39" s="710"/>
      <c r="F39" s="711"/>
      <c r="G39" s="296"/>
      <c r="H39" s="296"/>
      <c r="I39" s="311" t="s">
        <v>215</v>
      </c>
      <c r="J39" s="298"/>
      <c r="K39" s="299" t="s">
        <v>208</v>
      </c>
      <c r="L39" s="300"/>
      <c r="M39" s="718">
        <f>Data!H164</f>
        <v>498.63</v>
      </c>
      <c r="N39" s="718"/>
      <c r="O39" s="301"/>
      <c r="P39" s="300"/>
      <c r="Q39" s="302"/>
      <c r="R39" s="303"/>
      <c r="S39" s="300"/>
      <c r="T39" s="718">
        <f>Data!N164</f>
        <v>776.42</v>
      </c>
      <c r="U39" s="718"/>
      <c r="V39" s="301"/>
      <c r="W39" s="300"/>
      <c r="X39" s="304"/>
    </row>
    <row r="40" spans="1:24" ht="16.5" customHeight="1">
      <c r="A40" s="312"/>
      <c r="B40" s="313"/>
      <c r="C40" s="313"/>
      <c r="D40" s="313"/>
      <c r="E40" s="313"/>
      <c r="F40" s="313"/>
      <c r="G40" s="313"/>
      <c r="H40" s="313"/>
      <c r="I40" s="314" t="s">
        <v>216</v>
      </c>
      <c r="J40" s="313"/>
      <c r="K40" s="290" t="s">
        <v>208</v>
      </c>
      <c r="L40" s="291"/>
      <c r="M40" s="773">
        <f>Data!H166</f>
        <v>493.44</v>
      </c>
      <c r="N40" s="773"/>
      <c r="O40" s="291"/>
      <c r="P40" s="291"/>
      <c r="Q40" s="293"/>
      <c r="R40" s="294"/>
      <c r="S40" s="291"/>
      <c r="T40" s="773">
        <f>Data!N166</f>
        <v>772.96</v>
      </c>
      <c r="U40" s="773"/>
      <c r="V40" s="291"/>
      <c r="W40" s="291"/>
      <c r="X40" s="295"/>
    </row>
    <row r="41" spans="1:24" ht="16.5" customHeight="1">
      <c r="A41" s="315"/>
      <c r="B41" s="252"/>
      <c r="C41" s="252"/>
      <c r="D41" s="252"/>
      <c r="E41" s="252"/>
      <c r="F41" s="252"/>
      <c r="G41" s="252"/>
      <c r="H41" s="252"/>
      <c r="I41" s="316" t="s">
        <v>217</v>
      </c>
      <c r="J41" s="252"/>
      <c r="K41" s="285" t="s">
        <v>208</v>
      </c>
      <c r="L41" s="254"/>
      <c r="M41" s="717">
        <f>Data!H167</f>
        <v>496.03499999999997</v>
      </c>
      <c r="N41" s="717"/>
      <c r="O41" s="254"/>
      <c r="P41" s="254"/>
      <c r="Q41" s="255"/>
      <c r="R41" s="287"/>
      <c r="S41" s="254"/>
      <c r="T41" s="717">
        <f>Data!N167</f>
        <v>774.69</v>
      </c>
      <c r="U41" s="717"/>
      <c r="V41" s="254"/>
      <c r="W41" s="254"/>
      <c r="X41" s="288"/>
    </row>
    <row r="42" spans="1:24" ht="16.5" customHeight="1">
      <c r="A42" s="317"/>
      <c r="B42" s="318"/>
      <c r="C42" s="318"/>
      <c r="D42" s="318"/>
      <c r="E42" s="318"/>
      <c r="F42" s="318"/>
      <c r="G42" s="296"/>
      <c r="H42" s="296"/>
      <c r="I42" s="319" t="s">
        <v>218</v>
      </c>
      <c r="J42" s="296"/>
      <c r="K42" s="299" t="s">
        <v>109</v>
      </c>
      <c r="L42" s="300"/>
      <c r="M42" s="718">
        <f>Data!H168</f>
        <v>497.33249999999998</v>
      </c>
      <c r="N42" s="718"/>
      <c r="O42" s="301"/>
      <c r="P42" s="300"/>
      <c r="Q42" s="302"/>
      <c r="R42" s="303"/>
      <c r="S42" s="300"/>
      <c r="T42" s="718">
        <f>Data!N168</f>
        <v>775.55500000000006</v>
      </c>
      <c r="U42" s="718"/>
      <c r="V42" s="301"/>
      <c r="W42" s="300"/>
      <c r="X42" s="304"/>
    </row>
    <row r="43" spans="1:24" ht="16.5" customHeight="1">
      <c r="A43" s="320"/>
      <c r="B43" s="321"/>
      <c r="C43" s="321"/>
      <c r="D43" s="313"/>
      <c r="E43" s="313"/>
      <c r="F43" s="313"/>
      <c r="G43" s="313"/>
      <c r="H43" s="313"/>
      <c r="I43" s="314" t="s">
        <v>219</v>
      </c>
      <c r="J43" s="289"/>
      <c r="K43" s="290" t="s">
        <v>109</v>
      </c>
      <c r="L43" s="714">
        <f>Data!H170</f>
        <v>5572.3</v>
      </c>
      <c r="M43" s="714"/>
      <c r="N43" s="714"/>
      <c r="O43" s="291"/>
      <c r="P43" s="291"/>
      <c r="Q43" s="293"/>
      <c r="R43" s="294"/>
      <c r="S43" s="714">
        <f>Data!M170</f>
        <v>7896.12</v>
      </c>
      <c r="T43" s="715"/>
      <c r="U43" s="715"/>
      <c r="V43" s="291"/>
      <c r="W43" s="291"/>
      <c r="X43" s="295"/>
    </row>
    <row r="44" spans="1:24" ht="16.5" customHeight="1">
      <c r="A44" s="322"/>
      <c r="B44" s="323"/>
      <c r="C44" s="323"/>
      <c r="D44" s="252"/>
      <c r="E44" s="252"/>
      <c r="F44" s="252"/>
      <c r="G44" s="252"/>
      <c r="H44" s="252"/>
      <c r="I44" s="316" t="s">
        <v>220</v>
      </c>
      <c r="J44" s="284"/>
      <c r="K44" s="285" t="s">
        <v>109</v>
      </c>
      <c r="L44" s="716">
        <f>Data!H175</f>
        <v>194.19900000000001</v>
      </c>
      <c r="M44" s="716"/>
      <c r="N44" s="716"/>
      <c r="O44" s="254"/>
      <c r="P44" s="254"/>
      <c r="Q44" s="255"/>
      <c r="R44" s="287"/>
      <c r="S44" s="716">
        <f>Data!M175</f>
        <v>-34.505000000000003</v>
      </c>
      <c r="T44" s="713"/>
      <c r="U44" s="713"/>
      <c r="V44" s="254"/>
      <c r="W44" s="254"/>
      <c r="X44" s="288"/>
    </row>
    <row r="45" spans="1:24" ht="16.5" customHeight="1">
      <c r="A45" s="322"/>
      <c r="B45" s="323"/>
      <c r="C45" s="323"/>
      <c r="D45" s="252"/>
      <c r="E45" s="252"/>
      <c r="F45" s="252"/>
      <c r="G45" s="252"/>
      <c r="H45" s="252"/>
      <c r="I45" s="316" t="s">
        <v>221</v>
      </c>
      <c r="J45" s="284"/>
      <c r="K45" s="285" t="s">
        <v>109</v>
      </c>
      <c r="L45" s="712">
        <f>IF(L43="","",+L43+L44)</f>
        <v>5766.4989999999998</v>
      </c>
      <c r="M45" s="713"/>
      <c r="N45" s="713"/>
      <c r="O45" s="254"/>
      <c r="P45" s="254"/>
      <c r="Q45" s="255"/>
      <c r="R45" s="287"/>
      <c r="S45" s="712">
        <f>IF(S43="","",+S43+S44)</f>
        <v>7861.6149999999998</v>
      </c>
      <c r="T45" s="713"/>
      <c r="U45" s="713"/>
      <c r="V45" s="254"/>
      <c r="W45" s="254"/>
      <c r="X45" s="288"/>
    </row>
    <row r="46" spans="1:24" ht="16.5" customHeight="1">
      <c r="A46" s="322"/>
      <c r="B46" s="323"/>
      <c r="C46" s="323"/>
      <c r="D46" s="252"/>
      <c r="E46" s="252"/>
      <c r="F46" s="252"/>
      <c r="G46" s="252"/>
      <c r="H46" s="252"/>
      <c r="I46" s="316" t="s">
        <v>222</v>
      </c>
      <c r="J46" s="284"/>
      <c r="K46" s="285" t="s">
        <v>223</v>
      </c>
      <c r="L46" s="720">
        <f>Data!H179</f>
        <v>1.0249999999999999</v>
      </c>
      <c r="M46" s="720"/>
      <c r="N46" s="720"/>
      <c r="O46" s="324"/>
      <c r="P46" s="254"/>
      <c r="Q46" s="255"/>
      <c r="R46" s="287"/>
      <c r="S46" s="720">
        <f>Data!N179</f>
        <v>1.0249999999999999</v>
      </c>
      <c r="T46" s="713"/>
      <c r="U46" s="713"/>
      <c r="V46" s="324"/>
      <c r="W46" s="254"/>
      <c r="X46" s="288"/>
    </row>
    <row r="47" spans="1:24" ht="16.5" customHeight="1">
      <c r="A47" s="322"/>
      <c r="B47" s="323"/>
      <c r="C47" s="323"/>
      <c r="D47" s="252"/>
      <c r="E47" s="252"/>
      <c r="F47" s="252"/>
      <c r="G47" s="252"/>
      <c r="H47" s="252"/>
      <c r="I47" s="316" t="s">
        <v>224</v>
      </c>
      <c r="J47" s="284"/>
      <c r="K47" s="285" t="s">
        <v>109</v>
      </c>
      <c r="L47" s="712">
        <f>IF(L46="","",ROUND(L45*L46/Data!K62,3))</f>
        <v>5766.4989999999998</v>
      </c>
      <c r="M47" s="713"/>
      <c r="N47" s="713"/>
      <c r="O47" s="254"/>
      <c r="P47" s="254"/>
      <c r="Q47" s="255"/>
      <c r="R47" s="287"/>
      <c r="T47" s="719">
        <f>IF(S46="","",ROUND(S45*S46/Data!K62,3))</f>
        <v>7861.6149999999998</v>
      </c>
      <c r="U47" s="719"/>
      <c r="V47" s="719"/>
      <c r="W47" s="254"/>
      <c r="X47" s="288"/>
    </row>
    <row r="48" spans="1:24" ht="16.5" customHeight="1">
      <c r="A48" s="322"/>
      <c r="B48" s="323"/>
      <c r="C48" s="323"/>
      <c r="D48" s="252"/>
      <c r="E48" s="252"/>
      <c r="F48" s="252"/>
      <c r="G48" s="252"/>
      <c r="H48" s="252"/>
      <c r="I48" s="316" t="s">
        <v>225</v>
      </c>
      <c r="J48" s="284"/>
      <c r="K48" s="285" t="s">
        <v>109</v>
      </c>
      <c r="L48" s="712">
        <f>Data!H144</f>
        <v>1080.6699999999998</v>
      </c>
      <c r="M48" s="713"/>
      <c r="N48" s="713"/>
      <c r="O48" s="254"/>
      <c r="P48" s="254"/>
      <c r="Q48" s="255"/>
      <c r="R48" s="287"/>
      <c r="S48" s="712">
        <f>Data!N144</f>
        <v>146.51</v>
      </c>
      <c r="T48" s="713"/>
      <c r="U48" s="713"/>
      <c r="V48" s="325"/>
      <c r="W48" s="254"/>
      <c r="X48" s="288"/>
    </row>
    <row r="49" spans="1:24" ht="16.5" customHeight="1" thickBot="1">
      <c r="A49" s="326"/>
      <c r="B49" s="327"/>
      <c r="C49" s="327"/>
      <c r="D49" s="328"/>
      <c r="E49" s="328"/>
      <c r="F49" s="328"/>
      <c r="G49" s="328"/>
      <c r="H49" s="328"/>
      <c r="I49" s="329" t="s">
        <v>226</v>
      </c>
      <c r="J49" s="330"/>
      <c r="K49" s="331" t="s">
        <v>109</v>
      </c>
      <c r="L49" s="728">
        <f>IF(L47="","",+L47-L48)</f>
        <v>4685.8289999999997</v>
      </c>
      <c r="M49" s="729"/>
      <c r="N49" s="729"/>
      <c r="O49" s="332"/>
      <c r="P49" s="332"/>
      <c r="Q49" s="333"/>
      <c r="R49" s="334"/>
      <c r="S49" s="728">
        <f>IF(T47="","",T47-S48)</f>
        <v>7715.1049999999996</v>
      </c>
      <c r="T49" s="729"/>
      <c r="U49" s="729"/>
      <c r="V49" s="335"/>
      <c r="W49" s="332"/>
      <c r="X49" s="336"/>
    </row>
    <row r="50" spans="1:24" ht="9.75" customHeight="1" thickBot="1">
      <c r="L50" s="337"/>
      <c r="M50" s="337"/>
      <c r="N50" s="337"/>
      <c r="O50" s="337"/>
      <c r="P50" s="337"/>
      <c r="Q50" s="337"/>
      <c r="R50" s="337"/>
      <c r="S50" s="337"/>
      <c r="T50" s="337"/>
      <c r="U50" s="337"/>
      <c r="V50" s="337"/>
      <c r="W50" s="337"/>
      <c r="X50" s="337"/>
    </row>
    <row r="51" spans="1:24" ht="12.75" customHeight="1">
      <c r="A51" s="338"/>
      <c r="B51" s="339"/>
      <c r="C51" s="730" t="str">
        <f>IF(O51="","Total Cargo Un/loaded",IF(L49-S49&lt;0,"Total Cargo Loaded on Board","Total Cargo Discharged"))</f>
        <v>Total Cargo Loaded on Board</v>
      </c>
      <c r="D51" s="730"/>
      <c r="E51" s="730"/>
      <c r="F51" s="730"/>
      <c r="G51" s="730"/>
      <c r="H51" s="730"/>
      <c r="I51" s="730"/>
      <c r="J51" s="340"/>
      <c r="L51" s="337"/>
      <c r="M51" s="337"/>
      <c r="N51" s="337"/>
      <c r="O51" s="732">
        <f>IF(S49="","",ABS(L49-S49))</f>
        <v>3029.2759999999998</v>
      </c>
      <c r="P51" s="733"/>
      <c r="Q51" s="733"/>
      <c r="R51" s="733"/>
      <c r="S51" s="736" t="str">
        <f>IF(O51="","","MT")</f>
        <v>MT</v>
      </c>
      <c r="T51" s="341"/>
      <c r="U51" s="342"/>
      <c r="V51" s="337"/>
      <c r="W51" s="337"/>
      <c r="X51" s="337"/>
    </row>
    <row r="52" spans="1:24" ht="9" customHeight="1" thickBot="1">
      <c r="A52" s="343"/>
      <c r="B52" s="267"/>
      <c r="C52" s="731"/>
      <c r="D52" s="731"/>
      <c r="E52" s="731"/>
      <c r="F52" s="731"/>
      <c r="G52" s="731"/>
      <c r="H52" s="731"/>
      <c r="I52" s="731"/>
      <c r="J52" s="270"/>
      <c r="L52" s="337"/>
      <c r="M52" s="337"/>
      <c r="N52" s="337"/>
      <c r="O52" s="734"/>
      <c r="P52" s="735"/>
      <c r="Q52" s="735"/>
      <c r="R52" s="735"/>
      <c r="S52" s="737"/>
      <c r="T52" s="341"/>
      <c r="U52" s="337"/>
      <c r="V52" s="337"/>
      <c r="W52" s="337"/>
      <c r="X52" s="337"/>
    </row>
    <row r="53" spans="1:24" ht="9" customHeight="1">
      <c r="C53" s="344"/>
      <c r="D53" s="344"/>
      <c r="E53" s="344"/>
      <c r="F53" s="344"/>
      <c r="G53" s="344"/>
      <c r="H53" s="344"/>
      <c r="I53" s="344"/>
    </row>
    <row r="54" spans="1:24" ht="11.25" customHeight="1">
      <c r="A54" s="738" t="s">
        <v>227</v>
      </c>
      <c r="B54" s="738"/>
      <c r="C54" s="738"/>
      <c r="D54" s="738"/>
      <c r="E54" s="738"/>
      <c r="F54" s="738"/>
      <c r="G54" s="738"/>
      <c r="H54" s="738"/>
      <c r="I54" s="738"/>
      <c r="J54" s="738"/>
      <c r="K54" s="738"/>
      <c r="L54" s="738"/>
      <c r="M54" s="738"/>
      <c r="N54" s="738"/>
      <c r="O54" s="738"/>
      <c r="P54" s="738"/>
      <c r="Q54" s="738"/>
      <c r="R54" s="738"/>
      <c r="S54" s="738"/>
      <c r="T54" s="738"/>
      <c r="U54" s="738"/>
      <c r="V54" s="738"/>
      <c r="W54" s="738"/>
      <c r="X54" s="738"/>
    </row>
    <row r="55" spans="1:24" ht="13.5" customHeight="1">
      <c r="A55" s="738"/>
      <c r="B55" s="738"/>
      <c r="C55" s="738"/>
      <c r="D55" s="738"/>
      <c r="E55" s="738"/>
      <c r="F55" s="738"/>
      <c r="G55" s="738"/>
      <c r="H55" s="738"/>
      <c r="I55" s="738"/>
      <c r="J55" s="738"/>
      <c r="K55" s="738"/>
      <c r="L55" s="738"/>
      <c r="M55" s="738"/>
      <c r="N55" s="738"/>
      <c r="O55" s="738"/>
      <c r="P55" s="738"/>
      <c r="Q55" s="738"/>
      <c r="R55" s="738"/>
      <c r="S55" s="738"/>
      <c r="T55" s="738"/>
      <c r="U55" s="738"/>
      <c r="V55" s="738"/>
      <c r="W55" s="738"/>
      <c r="X55" s="738"/>
    </row>
    <row r="56" spans="1:24" ht="5.25" customHeight="1">
      <c r="A56" s="345"/>
      <c r="B56" s="345"/>
      <c r="C56" s="345"/>
      <c r="D56" s="345"/>
      <c r="E56" s="345"/>
      <c r="F56" s="345"/>
      <c r="G56" s="345"/>
      <c r="H56" s="345"/>
      <c r="I56" s="345"/>
      <c r="J56" s="345"/>
      <c r="K56" s="345"/>
      <c r="L56" s="345"/>
      <c r="M56" s="345"/>
      <c r="N56" s="345"/>
      <c r="O56" s="345"/>
      <c r="P56" s="345"/>
      <c r="Q56" s="345"/>
      <c r="R56" s="345"/>
      <c r="S56" s="345"/>
      <c r="T56" s="345"/>
      <c r="U56" s="345"/>
      <c r="V56" s="345"/>
      <c r="W56" s="345"/>
      <c r="X56" s="345"/>
    </row>
    <row r="57" spans="1:24">
      <c r="A57" s="346" t="s">
        <v>182</v>
      </c>
      <c r="B57" s="347"/>
      <c r="C57" s="339"/>
      <c r="D57" s="339"/>
      <c r="E57" s="249"/>
      <c r="F57" s="249"/>
      <c r="G57" s="249"/>
      <c r="H57" s="249"/>
      <c r="I57" s="339"/>
      <c r="J57" s="339"/>
      <c r="K57" s="339"/>
      <c r="L57" s="339"/>
      <c r="M57" s="339"/>
      <c r="N57" s="339"/>
      <c r="O57" s="339"/>
      <c r="P57" s="339"/>
      <c r="Q57" s="339"/>
      <c r="R57" s="339"/>
      <c r="S57" s="339"/>
      <c r="T57" s="339"/>
      <c r="U57" s="339"/>
      <c r="V57" s="339"/>
      <c r="W57" s="339"/>
      <c r="X57" s="340"/>
    </row>
    <row r="58" spans="1:24" ht="16.5" customHeight="1">
      <c r="A58" s="722" t="str">
        <f>IF([1]Données!B190="","",[1]Données!B190)</f>
        <v/>
      </c>
      <c r="B58" s="723"/>
      <c r="C58" s="723"/>
      <c r="D58" s="723"/>
      <c r="E58" s="723"/>
      <c r="F58" s="723"/>
      <c r="G58" s="723"/>
      <c r="H58" s="723"/>
      <c r="I58" s="723"/>
      <c r="J58" s="723"/>
      <c r="K58" s="723"/>
      <c r="L58" s="723"/>
      <c r="M58" s="723"/>
      <c r="N58" s="723"/>
      <c r="O58" s="723"/>
      <c r="P58" s="723"/>
      <c r="Q58" s="723"/>
      <c r="R58" s="723"/>
      <c r="S58" s="723"/>
      <c r="T58" s="723"/>
      <c r="U58" s="723"/>
      <c r="V58" s="723"/>
      <c r="W58" s="723"/>
      <c r="X58" s="724"/>
    </row>
    <row r="59" spans="1:24" ht="16.5" customHeight="1">
      <c r="A59" s="722" t="str">
        <f>IF([1]Données!B191="","",[1]Données!B191)</f>
        <v/>
      </c>
      <c r="B59" s="723"/>
      <c r="C59" s="723"/>
      <c r="D59" s="723"/>
      <c r="E59" s="723"/>
      <c r="F59" s="723"/>
      <c r="G59" s="723"/>
      <c r="H59" s="723"/>
      <c r="I59" s="723"/>
      <c r="J59" s="723"/>
      <c r="K59" s="723"/>
      <c r="L59" s="723"/>
      <c r="M59" s="723"/>
      <c r="N59" s="723"/>
      <c r="O59" s="723"/>
      <c r="P59" s="723"/>
      <c r="Q59" s="723"/>
      <c r="R59" s="723"/>
      <c r="S59" s="723"/>
      <c r="T59" s="723"/>
      <c r="U59" s="723"/>
      <c r="V59" s="723"/>
      <c r="W59" s="723"/>
      <c r="X59" s="724"/>
    </row>
    <row r="60" spans="1:24" ht="16.5" customHeight="1">
      <c r="A60" s="725" t="str">
        <f>IF([1]Données!B192="","",[1]Données!B192)</f>
        <v/>
      </c>
      <c r="B60" s="726"/>
      <c r="C60" s="726"/>
      <c r="D60" s="726"/>
      <c r="E60" s="726"/>
      <c r="F60" s="726"/>
      <c r="G60" s="726"/>
      <c r="H60" s="726"/>
      <c r="I60" s="726"/>
      <c r="J60" s="726"/>
      <c r="K60" s="726"/>
      <c r="L60" s="726"/>
      <c r="M60" s="726"/>
      <c r="N60" s="726"/>
      <c r="O60" s="726"/>
      <c r="P60" s="726"/>
      <c r="Q60" s="726"/>
      <c r="R60" s="726"/>
      <c r="S60" s="726"/>
      <c r="T60" s="726"/>
      <c r="U60" s="726"/>
      <c r="V60" s="726"/>
      <c r="W60" s="726"/>
      <c r="X60" s="727"/>
    </row>
    <row r="61" spans="1:24" ht="16.5" customHeight="1">
      <c r="A61" s="348"/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/>
      <c r="P61" s="348"/>
      <c r="Q61" s="348"/>
      <c r="R61" s="348"/>
      <c r="S61" s="348"/>
      <c r="T61" s="348"/>
      <c r="U61" s="348"/>
      <c r="V61" s="348"/>
      <c r="W61" s="348"/>
      <c r="X61" s="348"/>
    </row>
    <row r="62" spans="1:24" s="349" customFormat="1" ht="13.5" customHeight="1">
      <c r="D62" s="350" t="s">
        <v>228</v>
      </c>
      <c r="F62" s="351"/>
      <c r="G62" s="351"/>
      <c r="H62" s="352"/>
      <c r="I62" s="352"/>
      <c r="J62" s="352"/>
      <c r="K62" s="352"/>
      <c r="L62" s="352"/>
      <c r="M62" s="352"/>
      <c r="N62" s="352"/>
      <c r="O62" s="352"/>
      <c r="P62" s="352"/>
      <c r="Q62" s="352"/>
      <c r="R62" s="352"/>
      <c r="T62" s="350" t="s">
        <v>229</v>
      </c>
    </row>
    <row r="63" spans="1:24" s="349" customFormat="1" ht="12.75" customHeight="1">
      <c r="M63" s="349" t="s">
        <v>230</v>
      </c>
    </row>
    <row r="64" spans="1:24" s="353" customFormat="1" ht="12.75" customHeight="1"/>
    <row r="65" spans="1:24" s="353" customFormat="1" ht="12.75" customHeight="1"/>
    <row r="66" spans="1:24" s="353" customFormat="1" ht="12.75" customHeight="1"/>
    <row r="67" spans="1:24" s="349" customFormat="1" ht="14.25" customHeight="1"/>
    <row r="68" spans="1:24" ht="11.25" customHeight="1">
      <c r="A68" s="354" t="s">
        <v>231</v>
      </c>
      <c r="E68" s="355"/>
      <c r="F68" s="355"/>
      <c r="G68" s="351"/>
      <c r="H68" s="351"/>
    </row>
    <row r="69" spans="1:24" ht="4" customHeight="1">
      <c r="A69" s="354"/>
      <c r="E69" s="355"/>
      <c r="F69" s="355"/>
      <c r="G69" s="351"/>
      <c r="H69" s="351"/>
    </row>
    <row r="70" spans="1:24" ht="11.5" customHeight="1">
      <c r="A70" s="356"/>
      <c r="B70" s="356"/>
      <c r="D70" s="357" t="s">
        <v>232</v>
      </c>
      <c r="E70" s="356" t="s">
        <v>233</v>
      </c>
      <c r="F70" s="356"/>
      <c r="J70" s="356"/>
      <c r="L70" s="357"/>
      <c r="M70" s="356"/>
      <c r="P70" s="358"/>
      <c r="Q70" s="356"/>
      <c r="R70" s="356"/>
      <c r="S70" s="356"/>
      <c r="T70" s="356"/>
      <c r="U70" s="356"/>
      <c r="V70" s="356"/>
      <c r="W70" s="356"/>
      <c r="X70" s="356"/>
    </row>
    <row r="71" spans="1:24" ht="8.25" customHeight="1">
      <c r="A71" s="356"/>
      <c r="B71" s="356"/>
      <c r="C71" s="356"/>
      <c r="G71" s="359"/>
      <c r="H71" s="359"/>
      <c r="I71" s="356"/>
      <c r="M71" s="358"/>
      <c r="P71" s="356"/>
      <c r="Q71" s="356"/>
      <c r="R71" s="356"/>
      <c r="S71" s="356"/>
      <c r="T71" s="356"/>
      <c r="U71" s="356"/>
      <c r="V71" s="356"/>
      <c r="W71" s="356"/>
      <c r="X71" s="356"/>
    </row>
    <row r="72" spans="1:24" ht="9.75" customHeight="1">
      <c r="A72" s="356"/>
      <c r="B72" s="356"/>
      <c r="C72" s="356"/>
      <c r="D72" s="356"/>
      <c r="E72" s="356"/>
      <c r="F72" s="356"/>
      <c r="G72" s="356"/>
      <c r="H72" s="356"/>
      <c r="I72" s="360"/>
      <c r="J72" s="359"/>
      <c r="K72" s="359"/>
      <c r="L72" s="361"/>
      <c r="M72" s="361"/>
      <c r="N72" s="361"/>
      <c r="O72" s="356"/>
      <c r="P72" s="356"/>
      <c r="Q72" s="356"/>
      <c r="R72" s="356"/>
      <c r="S72" s="356"/>
      <c r="T72" s="356"/>
      <c r="U72" s="356"/>
      <c r="W72" s="362"/>
      <c r="X72" s="356"/>
    </row>
    <row r="95" ht="12.75" customHeight="1"/>
  </sheetData>
  <sheetProtection algorithmName="SHA-512" hashValue="3OIP8BU9FKwhnRwmC+utgGX+bYWgNjobYHaVISC1EJ11Do4OujqxfjP6CbcFGHc5TwUo1QNES/TXgNVneB5JpA==" saltValue="ymPtu0429I2KNMMegPhHqg==" spinCount="100000" sheet="1" objects="1" scenarios="1"/>
  <protectedRanges>
    <protectedRange password="E509" sqref="E63:E67 T64:T67 C63:C67 F62:R67 S63:S67 A62:B67 A32:A35 Z2 D10 F10:V10 D62 U62:X67 S22:U23 C51 A9:C10 O51 S51 E9:E10 N4:N8 T4:W5 T62 A18:E23 A43:G49 K15 R24 L24:M24 V50:X61 D52:I53 P52:R53 T52:T53 P4:Q5 P7:Q8 V6:W6 R4:R8 A1:F8 U7:V8 A24:A30 B35:B42 B24:B29 C24:G42 A37:A42 I30:I49 U51:U61 A54:T61 N28:N53 D64:D67 L43:L49 T28:T42 T47 N11 N16:N17 R12:R15 V22:W24 T18:V18 O25:O49 V25:V49 M25:N27 M28:M42 U28:U49 T25:U27 G21:K23 G18:I20 T20:X21 T19:V19 AC14:AG17 N18:R23 S43:S46 S48:S49" name="Plage1_1"/>
  </protectedRanges>
  <mergeCells count="115">
    <mergeCell ref="M40:N40"/>
    <mergeCell ref="T40:U40"/>
    <mergeCell ref="M41:N41"/>
    <mergeCell ref="T41:U41"/>
    <mergeCell ref="M37:N37"/>
    <mergeCell ref="V12:X12"/>
    <mergeCell ref="V13:X13"/>
    <mergeCell ref="V2:X2"/>
    <mergeCell ref="N4:Q4"/>
    <mergeCell ref="R4:X4"/>
    <mergeCell ref="N5:Q5"/>
    <mergeCell ref="R5:X5"/>
    <mergeCell ref="N6:Q6"/>
    <mergeCell ref="R6:S6"/>
    <mergeCell ref="T6:U6"/>
    <mergeCell ref="V6:X6"/>
    <mergeCell ref="N7:Q7"/>
    <mergeCell ref="R7:X7"/>
    <mergeCell ref="N8:Q8"/>
    <mergeCell ref="R8:X8"/>
    <mergeCell ref="F10:S10"/>
    <mergeCell ref="N12:O12"/>
    <mergeCell ref="N13:O13"/>
    <mergeCell ref="M27:N27"/>
    <mergeCell ref="T27:U27"/>
    <mergeCell ref="M28:N28"/>
    <mergeCell ref="T28:U28"/>
    <mergeCell ref="M29:N29"/>
    <mergeCell ref="T29:U29"/>
    <mergeCell ref="A18:F18"/>
    <mergeCell ref="G18:H18"/>
    <mergeCell ref="J18:K18"/>
    <mergeCell ref="N18:S18"/>
    <mergeCell ref="T18:U18"/>
    <mergeCell ref="W18:X18"/>
    <mergeCell ref="F14:H14"/>
    <mergeCell ref="N14:O14"/>
    <mergeCell ref="V14:X14"/>
    <mergeCell ref="F15:H15"/>
    <mergeCell ref="N15:O15"/>
    <mergeCell ref="V15:X15"/>
    <mergeCell ref="W21:X21"/>
    <mergeCell ref="A20:F20"/>
    <mergeCell ref="G20:H20"/>
    <mergeCell ref="J20:K20"/>
    <mergeCell ref="N20:S20"/>
    <mergeCell ref="T20:U20"/>
    <mergeCell ref="W20:X20"/>
    <mergeCell ref="A19:F19"/>
    <mergeCell ref="G19:H19"/>
    <mergeCell ref="J19:K19"/>
    <mergeCell ref="N19:S19"/>
    <mergeCell ref="T19:U19"/>
    <mergeCell ref="W19:X19"/>
    <mergeCell ref="A21:F21"/>
    <mergeCell ref="G21:H21"/>
    <mergeCell ref="J21:K21"/>
    <mergeCell ref="T21:U21"/>
    <mergeCell ref="AC14:AH14"/>
    <mergeCell ref="AC15:AH15"/>
    <mergeCell ref="AC16:AH16"/>
    <mergeCell ref="AC17:AH17"/>
    <mergeCell ref="N21:R21"/>
    <mergeCell ref="A30:F34"/>
    <mergeCell ref="M30:N30"/>
    <mergeCell ref="T30:U30"/>
    <mergeCell ref="M31:N31"/>
    <mergeCell ref="T31:U31"/>
    <mergeCell ref="M32:N32"/>
    <mergeCell ref="T32:U32"/>
    <mergeCell ref="M33:N33"/>
    <mergeCell ref="T33:U33"/>
    <mergeCell ref="M34:N34"/>
    <mergeCell ref="T34:U34"/>
    <mergeCell ref="A24:J24"/>
    <mergeCell ref="L24:Q24"/>
    <mergeCell ref="R24:X24"/>
    <mergeCell ref="A25:F29"/>
    <mergeCell ref="M25:N25"/>
    <mergeCell ref="T25:U25"/>
    <mergeCell ref="M26:N26"/>
    <mergeCell ref="T26:U26"/>
    <mergeCell ref="A58:X58"/>
    <mergeCell ref="A59:X59"/>
    <mergeCell ref="A60:X60"/>
    <mergeCell ref="L49:N49"/>
    <mergeCell ref="S49:U49"/>
    <mergeCell ref="C51:I52"/>
    <mergeCell ref="O51:R52"/>
    <mergeCell ref="S51:S52"/>
    <mergeCell ref="A54:X55"/>
    <mergeCell ref="A35:F39"/>
    <mergeCell ref="L47:N47"/>
    <mergeCell ref="L48:N48"/>
    <mergeCell ref="S48:U48"/>
    <mergeCell ref="L43:N43"/>
    <mergeCell ref="S43:U43"/>
    <mergeCell ref="L44:N44"/>
    <mergeCell ref="S44:U44"/>
    <mergeCell ref="L45:N45"/>
    <mergeCell ref="S45:U45"/>
    <mergeCell ref="T37:U37"/>
    <mergeCell ref="M38:N38"/>
    <mergeCell ref="T38:U38"/>
    <mergeCell ref="M39:N39"/>
    <mergeCell ref="T39:U39"/>
    <mergeCell ref="T47:V47"/>
    <mergeCell ref="M42:N42"/>
    <mergeCell ref="T42:U42"/>
    <mergeCell ref="L46:N46"/>
    <mergeCell ref="S46:U46"/>
    <mergeCell ref="M35:N35"/>
    <mergeCell ref="T35:U35"/>
    <mergeCell ref="M36:N36"/>
    <mergeCell ref="T36:U36"/>
  </mergeCells>
  <dataValidations count="1">
    <dataValidation errorStyle="information" allowBlank="1" prompt="##:##" sqref="J18:J20 W18:W19" xr:uid="{E20BEA3D-35B8-4DBC-975C-5854A1328544}"/>
  </dataValidations>
  <pageMargins left="0.7" right="0.7" top="0.75" bottom="0.75" header="0.3" footer="0.3"/>
  <pageSetup paperSize="9" scale="7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8A9B0-463C-4DA7-9050-199AF5F49332}">
  <sheetPr codeName="Feuil10"/>
  <dimension ref="A1:X61"/>
  <sheetViews>
    <sheetView showGridLines="0" topLeftCell="A19" zoomScaleNormal="100" workbookViewId="0">
      <selection activeCell="S35" sqref="S35"/>
    </sheetView>
  </sheetViews>
  <sheetFormatPr baseColWidth="10" defaultColWidth="11.453125" defaultRowHeight="14.5"/>
  <cols>
    <col min="1" max="7" width="5.7265625" customWidth="1"/>
    <col min="8" max="8" width="6.7265625" customWidth="1"/>
    <col min="9" max="16" width="6.26953125" customWidth="1"/>
    <col min="17" max="26" width="5.7265625" customWidth="1"/>
  </cols>
  <sheetData>
    <row r="1" spans="1:24" ht="15" customHeight="1"/>
    <row r="2" spans="1:24" ht="15" customHeight="1"/>
    <row r="3" spans="1:24" ht="15" customHeight="1">
      <c r="H3" s="860" t="str">
        <f>+[1]Données!B6</f>
        <v xml:space="preserve">Vessel </v>
      </c>
      <c r="I3" s="861"/>
      <c r="J3" s="862"/>
      <c r="K3" s="781" t="str">
        <f>Data!F6</f>
        <v>Kristin</v>
      </c>
      <c r="L3" s="781"/>
      <c r="M3" s="781"/>
      <c r="N3" s="781"/>
      <c r="O3" s="781"/>
      <c r="P3" s="781"/>
      <c r="Q3" s="782"/>
    </row>
    <row r="4" spans="1:24" ht="15" customHeight="1">
      <c r="H4" s="850" t="str">
        <f>+[1]Données!B8</f>
        <v>Cargo</v>
      </c>
      <c r="I4" s="851"/>
      <c r="J4" s="852"/>
      <c r="K4" s="785" t="str">
        <f>Data!F8</f>
        <v>Anthracite Bulk</v>
      </c>
      <c r="L4" s="785"/>
      <c r="M4" s="786"/>
      <c r="N4" s="786"/>
      <c r="O4" s="785"/>
      <c r="P4" s="785"/>
      <c r="Q4" s="787"/>
    </row>
    <row r="5" spans="1:24" ht="15" customHeight="1">
      <c r="H5" s="850" t="s">
        <v>197</v>
      </c>
      <c r="I5" s="851"/>
      <c r="J5" s="852"/>
      <c r="K5" s="788">
        <f>Data!F16</f>
        <v>3267.8719999999998</v>
      </c>
      <c r="L5" s="789"/>
      <c r="M5" s="790" t="str">
        <f>IF(K5="","","MT  Dated")</f>
        <v>MT  Dated</v>
      </c>
      <c r="N5" s="790"/>
      <c r="O5" s="791">
        <f>Data!F18</f>
        <v>44906</v>
      </c>
      <c r="P5" s="791"/>
      <c r="Q5" s="792"/>
    </row>
    <row r="6" spans="1:24" ht="15" customHeight="1">
      <c r="H6" s="850" t="str">
        <f>+[1]Données!B12</f>
        <v>Port of Loading</v>
      </c>
      <c r="I6" s="851"/>
      <c r="J6" s="852"/>
      <c r="K6" s="785" t="str">
        <f>Data!F12</f>
        <v>Barcelona Sp</v>
      </c>
      <c r="L6" s="785"/>
      <c r="M6" s="793"/>
      <c r="N6" s="793"/>
      <c r="O6" s="785"/>
      <c r="P6" s="785"/>
      <c r="Q6" s="787"/>
    </row>
    <row r="7" spans="1:24" ht="15" customHeight="1">
      <c r="H7" s="853" t="str">
        <f>+[1]Données!B14</f>
        <v>Port of Discharge</v>
      </c>
      <c r="I7" s="854"/>
      <c r="J7" s="855"/>
      <c r="K7" s="796" t="str">
        <f>Data!F14</f>
        <v>Casabanca</v>
      </c>
      <c r="L7" s="796"/>
      <c r="M7" s="796"/>
      <c r="N7" s="796"/>
      <c r="O7" s="796"/>
      <c r="P7" s="796"/>
      <c r="Q7" s="797"/>
    </row>
    <row r="8" spans="1:24" ht="10.5" customHeight="1"/>
    <row r="9" spans="1:24" ht="10.5" customHeight="1">
      <c r="E9" s="243"/>
    </row>
    <row r="10" spans="1:24" ht="21" customHeight="1">
      <c r="E10" s="798" t="s">
        <v>234</v>
      </c>
      <c r="F10" s="798"/>
      <c r="G10" s="798"/>
      <c r="H10" s="798"/>
      <c r="I10" s="798"/>
      <c r="J10" s="798"/>
      <c r="K10" s="798"/>
      <c r="L10" s="798"/>
      <c r="M10" s="798"/>
      <c r="N10" s="243"/>
      <c r="O10" s="243"/>
      <c r="P10" s="367" t="s">
        <v>235</v>
      </c>
      <c r="R10" s="243"/>
      <c r="S10" s="243"/>
      <c r="X10" s="244"/>
    </row>
    <row r="11" spans="1:24" ht="21.75" customHeight="1">
      <c r="E11" s="856" t="s">
        <v>236</v>
      </c>
      <c r="F11" s="856"/>
      <c r="G11" s="856"/>
      <c r="H11" s="856"/>
      <c r="I11" s="856"/>
      <c r="J11" s="856"/>
      <c r="K11" s="856"/>
      <c r="L11" s="856"/>
      <c r="M11" s="856"/>
    </row>
    <row r="12" spans="1:24" ht="9" customHeight="1"/>
    <row r="13" spans="1:24" ht="14.25" customHeight="1">
      <c r="H13" s="368" t="s">
        <v>207</v>
      </c>
      <c r="I13" s="857" t="s">
        <v>2</v>
      </c>
      <c r="J13" s="858"/>
      <c r="K13" s="858"/>
      <c r="L13" s="859"/>
      <c r="M13" s="857" t="s">
        <v>3</v>
      </c>
      <c r="N13" s="858"/>
      <c r="O13" s="858"/>
      <c r="P13" s="859"/>
    </row>
    <row r="14" spans="1:24" ht="14.25" customHeight="1">
      <c r="A14" s="824" t="s">
        <v>237</v>
      </c>
      <c r="B14" s="863"/>
      <c r="C14" s="863"/>
      <c r="D14" s="863"/>
      <c r="E14" s="863"/>
      <c r="F14" s="863"/>
      <c r="G14" s="864"/>
      <c r="H14" s="369" t="s">
        <v>208</v>
      </c>
      <c r="I14" s="839">
        <f>Data!H88</f>
        <v>333</v>
      </c>
      <c r="J14" s="840"/>
      <c r="K14" s="447" t="str">
        <f>Data!K88</f>
        <v>A</v>
      </c>
      <c r="L14" s="371"/>
      <c r="M14" s="865">
        <f>Data!N88</f>
        <v>222</v>
      </c>
      <c r="N14" s="866"/>
      <c r="O14" s="370" t="str">
        <f>Data!Q38</f>
        <v>A</v>
      </c>
      <c r="P14" s="371"/>
    </row>
    <row r="15" spans="1:24" ht="14.25" customHeight="1">
      <c r="A15" s="834" t="s">
        <v>238</v>
      </c>
      <c r="B15" s="848"/>
      <c r="C15" s="848"/>
      <c r="D15" s="848"/>
      <c r="E15" s="848"/>
      <c r="F15" s="848"/>
      <c r="G15" s="849"/>
      <c r="H15" s="372" t="s">
        <v>208</v>
      </c>
      <c r="I15" s="813">
        <f>Data!I38</f>
        <v>123</v>
      </c>
      <c r="J15" s="814"/>
      <c r="K15" s="373" t="str">
        <f>Data!K38</f>
        <v>A</v>
      </c>
      <c r="L15" s="364"/>
      <c r="M15" s="813">
        <f>Data!O38</f>
        <v>123</v>
      </c>
      <c r="N15" s="814"/>
      <c r="O15" s="373" t="str">
        <f>Data!Q42</f>
        <v>A</v>
      </c>
      <c r="P15" s="364"/>
    </row>
    <row r="16" spans="1:24" ht="14.25" customHeight="1">
      <c r="A16" s="829" t="s">
        <v>239</v>
      </c>
      <c r="B16" s="830"/>
      <c r="C16" s="830"/>
      <c r="D16" s="830"/>
      <c r="E16" s="830"/>
      <c r="F16" s="830"/>
      <c r="G16" s="831"/>
      <c r="H16" s="372" t="s">
        <v>208</v>
      </c>
      <c r="I16" s="813">
        <f>Data!I42</f>
        <v>32</v>
      </c>
      <c r="J16" s="814"/>
      <c r="K16" s="373" t="str">
        <f>Data!K42</f>
        <v>A</v>
      </c>
      <c r="L16" s="364"/>
      <c r="M16" s="846">
        <f>Data!O42</f>
        <v>32</v>
      </c>
      <c r="N16" s="847"/>
      <c r="O16" s="373" t="str">
        <f>Data!Q40</f>
        <v>A</v>
      </c>
      <c r="P16" s="364"/>
    </row>
    <row r="17" spans="1:16" ht="14.25" customHeight="1">
      <c r="A17" s="829" t="s">
        <v>240</v>
      </c>
      <c r="B17" s="830"/>
      <c r="C17" s="830"/>
      <c r="D17" s="830"/>
      <c r="E17" s="830"/>
      <c r="F17" s="830"/>
      <c r="G17" s="831"/>
      <c r="H17" s="372" t="s">
        <v>208</v>
      </c>
      <c r="I17" s="813">
        <f>Data!I40</f>
        <v>321</v>
      </c>
      <c r="J17" s="814"/>
      <c r="K17" s="373" t="str">
        <f>Data!K40</f>
        <v>A</v>
      </c>
      <c r="L17" s="364"/>
      <c r="M17" s="832">
        <f>Data!O40</f>
        <v>321</v>
      </c>
      <c r="N17" s="833"/>
      <c r="O17" s="373"/>
      <c r="P17" s="364"/>
    </row>
    <row r="18" spans="1:16" ht="14.25" customHeight="1">
      <c r="A18" s="829" t="s">
        <v>241</v>
      </c>
      <c r="B18" s="830"/>
      <c r="C18" s="830"/>
      <c r="D18" s="830"/>
      <c r="E18" s="830"/>
      <c r="F18" s="830"/>
      <c r="G18" s="831"/>
      <c r="H18" s="372" t="s">
        <v>208</v>
      </c>
      <c r="I18" s="813">
        <f>Data!H151</f>
        <v>-3.3564697205605181</v>
      </c>
      <c r="J18" s="814"/>
      <c r="K18" s="374"/>
      <c r="L18" s="364"/>
      <c r="M18" s="832">
        <f>Data!N151</f>
        <v>-2.2376464803736784</v>
      </c>
      <c r="N18" s="833"/>
      <c r="O18" s="363"/>
      <c r="P18" s="364"/>
    </row>
    <row r="19" spans="1:16" ht="14.25" customHeight="1">
      <c r="A19" s="829" t="s">
        <v>242</v>
      </c>
      <c r="B19" s="830"/>
      <c r="C19" s="830"/>
      <c r="D19" s="830"/>
      <c r="E19" s="830"/>
      <c r="F19" s="830"/>
      <c r="G19" s="831"/>
      <c r="H19" s="372" t="s">
        <v>208</v>
      </c>
      <c r="I19" s="813">
        <f>Data!H163</f>
        <v>-0.87322789477997209</v>
      </c>
      <c r="J19" s="814"/>
      <c r="K19" s="374"/>
      <c r="L19" s="364"/>
      <c r="M19" s="832">
        <f>Data!N163</f>
        <v>-0.58215192985331476</v>
      </c>
      <c r="N19" s="833"/>
      <c r="O19" s="363"/>
      <c r="P19" s="364"/>
    </row>
    <row r="20" spans="1:16" ht="14.25" customHeight="1">
      <c r="A20" s="829" t="s">
        <v>243</v>
      </c>
      <c r="B20" s="830"/>
      <c r="C20" s="830"/>
      <c r="D20" s="830"/>
      <c r="E20" s="830"/>
      <c r="F20" s="830"/>
      <c r="G20" s="831"/>
      <c r="H20" s="372" t="s">
        <v>208</v>
      </c>
      <c r="I20" s="813">
        <f>Data!H157</f>
        <v>-8.7595673195115964</v>
      </c>
      <c r="J20" s="814"/>
      <c r="K20" s="374"/>
      <c r="L20" s="364"/>
      <c r="M20" s="813">
        <f>Data!N157</f>
        <v>-5.8397115463410634</v>
      </c>
      <c r="N20" s="814"/>
      <c r="O20" s="363"/>
      <c r="P20" s="364"/>
    </row>
    <row r="21" spans="1:16" ht="14.25" customHeight="1">
      <c r="A21" s="829" t="s">
        <v>244</v>
      </c>
      <c r="B21" s="830"/>
      <c r="C21" s="830"/>
      <c r="D21" s="830"/>
      <c r="E21" s="830"/>
      <c r="F21" s="830"/>
      <c r="G21" s="831"/>
      <c r="H21" s="372" t="s">
        <v>208</v>
      </c>
      <c r="I21" s="813">
        <f>Data!H152</f>
        <v>329.64</v>
      </c>
      <c r="J21" s="814"/>
      <c r="K21" s="374"/>
      <c r="L21" s="364"/>
      <c r="M21" s="813">
        <f>Data!N152</f>
        <v>663.76</v>
      </c>
      <c r="N21" s="814"/>
      <c r="O21" s="363"/>
      <c r="P21" s="364"/>
    </row>
    <row r="22" spans="1:16" ht="14.25" customHeight="1">
      <c r="A22" s="829" t="s">
        <v>245</v>
      </c>
      <c r="B22" s="830"/>
      <c r="C22" s="830"/>
      <c r="D22" s="830"/>
      <c r="E22" s="830"/>
      <c r="F22" s="830"/>
      <c r="G22" s="831"/>
      <c r="H22" s="372" t="s">
        <v>208</v>
      </c>
      <c r="I22" s="813">
        <f>Data!H164</f>
        <v>498.63</v>
      </c>
      <c r="J22" s="814"/>
      <c r="K22" s="374"/>
      <c r="L22" s="364"/>
      <c r="M22" s="813">
        <f>Data!N164</f>
        <v>776.42</v>
      </c>
      <c r="N22" s="814"/>
      <c r="O22" s="363"/>
      <c r="P22" s="364"/>
    </row>
    <row r="23" spans="1:16" ht="14.25" customHeight="1">
      <c r="A23" s="829" t="s">
        <v>246</v>
      </c>
      <c r="B23" s="830"/>
      <c r="C23" s="830"/>
      <c r="D23" s="830"/>
      <c r="E23" s="830"/>
      <c r="F23" s="830"/>
      <c r="G23" s="831"/>
      <c r="H23" s="372" t="s">
        <v>208</v>
      </c>
      <c r="I23" s="813">
        <f>Data!H158</f>
        <v>657.24</v>
      </c>
      <c r="J23" s="814"/>
      <c r="K23" s="374"/>
      <c r="L23" s="364"/>
      <c r="M23" s="813">
        <f>Data!N158</f>
        <v>882.16</v>
      </c>
      <c r="N23" s="814"/>
      <c r="O23" s="363"/>
      <c r="P23" s="364"/>
    </row>
    <row r="24" spans="1:16" ht="14.25" customHeight="1">
      <c r="A24" s="829" t="s">
        <v>247</v>
      </c>
      <c r="B24" s="830"/>
      <c r="C24" s="830"/>
      <c r="D24" s="830"/>
      <c r="E24" s="830"/>
      <c r="F24" s="830"/>
      <c r="G24" s="831"/>
      <c r="H24" s="372" t="s">
        <v>208</v>
      </c>
      <c r="I24" s="813">
        <f>Data!H89</f>
        <v>327.60000000000002</v>
      </c>
      <c r="J24" s="814"/>
      <c r="K24" s="448" t="str">
        <f>Data!K89</f>
        <v>A</v>
      </c>
      <c r="L24" s="364"/>
      <c r="M24" s="813">
        <f>Data!N89</f>
        <v>218.4</v>
      </c>
      <c r="N24" s="814"/>
      <c r="O24" s="448" t="str">
        <f>Data!Q89</f>
        <v>A</v>
      </c>
      <c r="P24" s="364"/>
    </row>
    <row r="25" spans="1:16" ht="14.25" customHeight="1">
      <c r="A25" s="829" t="s">
        <v>248</v>
      </c>
      <c r="B25" s="830"/>
      <c r="C25" s="830"/>
      <c r="D25" s="830"/>
      <c r="E25" s="830"/>
      <c r="F25" s="830"/>
      <c r="G25" s="831"/>
      <c r="H25" s="372" t="s">
        <v>208</v>
      </c>
      <c r="I25" s="813">
        <f>Data!H168</f>
        <v>497.33249999999998</v>
      </c>
      <c r="J25" s="814"/>
      <c r="K25" s="374"/>
      <c r="L25" s="364"/>
      <c r="M25" s="813">
        <f>Data!N168</f>
        <v>775.55500000000006</v>
      </c>
      <c r="N25" s="814"/>
      <c r="O25" s="363"/>
      <c r="P25" s="364"/>
    </row>
    <row r="26" spans="1:16" ht="14.25" customHeight="1">
      <c r="A26" s="829" t="s">
        <v>249</v>
      </c>
      <c r="B26" s="830"/>
      <c r="C26" s="830"/>
      <c r="D26" s="830"/>
      <c r="E26" s="830"/>
      <c r="F26" s="830"/>
      <c r="G26" s="831"/>
      <c r="H26" s="372" t="s">
        <v>208</v>
      </c>
      <c r="I26" s="813">
        <f>Data!H202</f>
        <v>5.1899999999999977</v>
      </c>
      <c r="J26" s="814"/>
      <c r="K26" s="374"/>
      <c r="L26" s="364"/>
      <c r="M26" s="813">
        <f>Data!L202</f>
        <v>3.4599999999999227</v>
      </c>
      <c r="N26" s="814"/>
      <c r="O26" s="363"/>
      <c r="P26" s="364"/>
    </row>
    <row r="27" spans="1:16" ht="14.25" customHeight="1">
      <c r="A27" s="843" t="s">
        <v>250</v>
      </c>
      <c r="B27" s="844"/>
      <c r="C27" s="844"/>
      <c r="D27" s="844"/>
      <c r="E27" s="844"/>
      <c r="F27" s="844"/>
      <c r="G27" s="845"/>
      <c r="H27" s="375" t="s">
        <v>251</v>
      </c>
      <c r="I27" s="813" t="str">
        <f>Data!H203</f>
        <v>Sag</v>
      </c>
      <c r="J27" s="814"/>
      <c r="K27" s="365"/>
      <c r="L27" s="366"/>
      <c r="M27" s="820" t="str">
        <f>Data!L203</f>
        <v>Sag</v>
      </c>
      <c r="N27" s="821"/>
      <c r="O27" s="365"/>
      <c r="P27" s="366"/>
    </row>
    <row r="28" spans="1:16" ht="14.25" customHeight="1">
      <c r="A28" s="824" t="s">
        <v>252</v>
      </c>
      <c r="B28" s="825"/>
      <c r="C28" s="825"/>
      <c r="D28" s="825"/>
      <c r="E28" s="825"/>
      <c r="F28" s="825"/>
      <c r="G28" s="826"/>
      <c r="H28" s="369" t="s">
        <v>109</v>
      </c>
      <c r="I28" s="837">
        <f>Data!H170</f>
        <v>5572.3</v>
      </c>
      <c r="J28" s="838"/>
      <c r="K28" s="376"/>
      <c r="L28" s="371"/>
      <c r="M28" s="827">
        <f>Data!M170</f>
        <v>7896.12</v>
      </c>
      <c r="N28" s="828"/>
      <c r="O28" s="377"/>
      <c r="P28" s="371"/>
    </row>
    <row r="29" spans="1:16" ht="14.25" customHeight="1">
      <c r="A29" s="829" t="s">
        <v>1</v>
      </c>
      <c r="B29" s="830"/>
      <c r="C29" s="830"/>
      <c r="D29" s="830"/>
      <c r="E29" s="830"/>
      <c r="F29" s="830"/>
      <c r="G29" s="831"/>
      <c r="H29" s="372" t="s">
        <v>208</v>
      </c>
      <c r="I29" s="811">
        <f>Data!I75</f>
        <v>322.10000000000002</v>
      </c>
      <c r="J29" s="842"/>
      <c r="K29" s="378"/>
      <c r="L29" s="364"/>
      <c r="M29" s="813">
        <f>Data!O75</f>
        <v>33.5</v>
      </c>
      <c r="N29" s="814"/>
      <c r="O29" s="363"/>
      <c r="P29" s="364"/>
    </row>
    <row r="30" spans="1:16" ht="14.25" customHeight="1">
      <c r="A30" s="829" t="s">
        <v>253</v>
      </c>
      <c r="B30" s="830"/>
      <c r="C30" s="830"/>
      <c r="D30" s="830"/>
      <c r="E30" s="830"/>
      <c r="F30" s="830"/>
      <c r="G30" s="831"/>
      <c r="H30" s="379" t="s">
        <v>251</v>
      </c>
      <c r="I30" s="841" t="str">
        <f>Data!K75</f>
        <v>A</v>
      </c>
      <c r="J30" s="812"/>
      <c r="K30" s="363"/>
      <c r="L30" s="364"/>
      <c r="M30" s="813" t="str">
        <f>Data!Q75</f>
        <v>F</v>
      </c>
      <c r="N30" s="814"/>
      <c r="O30" s="363"/>
      <c r="P30" s="364"/>
    </row>
    <row r="31" spans="1:16" ht="14.25" customHeight="1">
      <c r="A31" s="829" t="s">
        <v>4</v>
      </c>
      <c r="B31" s="830"/>
      <c r="C31" s="830"/>
      <c r="D31" s="830"/>
      <c r="E31" s="830"/>
      <c r="F31" s="830"/>
      <c r="G31" s="831"/>
      <c r="H31" s="372" t="s">
        <v>254</v>
      </c>
      <c r="I31" s="811">
        <f>Data!I70</f>
        <v>16.5</v>
      </c>
      <c r="J31" s="812"/>
      <c r="K31" s="378"/>
      <c r="L31" s="364"/>
      <c r="M31" s="813">
        <f>Data!O70</f>
        <v>20.76</v>
      </c>
      <c r="N31" s="814"/>
      <c r="O31" s="363"/>
      <c r="P31" s="380"/>
    </row>
    <row r="32" spans="1:16" ht="14.25" customHeight="1">
      <c r="A32" s="829" t="s">
        <v>255</v>
      </c>
      <c r="B32" s="830"/>
      <c r="C32" s="830"/>
      <c r="D32" s="830"/>
      <c r="E32" s="830"/>
      <c r="F32" s="830"/>
      <c r="G32" s="831"/>
      <c r="H32" s="372" t="s">
        <v>109</v>
      </c>
      <c r="I32" s="811">
        <f>Data!I80</f>
        <v>88</v>
      </c>
      <c r="J32" s="812"/>
      <c r="K32" s="378"/>
      <c r="L32" s="364"/>
      <c r="M32" s="813">
        <f>Data!O80</f>
        <v>88</v>
      </c>
      <c r="N32" s="814"/>
      <c r="O32" s="363"/>
      <c r="P32" s="364"/>
    </row>
    <row r="33" spans="1:16" ht="14.25" customHeight="1">
      <c r="A33" s="829" t="s">
        <v>256</v>
      </c>
      <c r="B33" s="830"/>
      <c r="C33" s="830"/>
      <c r="D33" s="830"/>
      <c r="E33" s="830"/>
      <c r="F33" s="830"/>
      <c r="G33" s="831"/>
      <c r="H33" s="372" t="s">
        <v>109</v>
      </c>
      <c r="I33" s="811">
        <f>Data!I82</f>
        <v>77</v>
      </c>
      <c r="J33" s="812"/>
      <c r="K33" s="378"/>
      <c r="L33" s="364"/>
      <c r="M33" s="813">
        <f>Data!O82</f>
        <v>99</v>
      </c>
      <c r="N33" s="814"/>
      <c r="O33" s="363"/>
      <c r="P33" s="364"/>
    </row>
    <row r="34" spans="1:16" ht="14.25" customHeight="1">
      <c r="A34" s="815" t="s">
        <v>257</v>
      </c>
      <c r="B34" s="816"/>
      <c r="C34" s="816"/>
      <c r="D34" s="816"/>
      <c r="E34" s="816"/>
      <c r="F34" s="816"/>
      <c r="G34" s="817"/>
      <c r="H34" s="381" t="s">
        <v>109</v>
      </c>
      <c r="I34" s="818">
        <f>Data!I83</f>
        <v>11</v>
      </c>
      <c r="J34" s="819"/>
      <c r="K34" s="382"/>
      <c r="L34" s="366"/>
      <c r="M34" s="832">
        <f>Data!O83</f>
        <v>-11</v>
      </c>
      <c r="N34" s="833"/>
      <c r="O34" s="365"/>
      <c r="P34" s="366"/>
    </row>
    <row r="35" spans="1:16" ht="14.25" customHeight="1">
      <c r="A35" s="834" t="s">
        <v>174</v>
      </c>
      <c r="B35" s="835"/>
      <c r="C35" s="835"/>
      <c r="D35" s="835"/>
      <c r="E35" s="835"/>
      <c r="F35" s="835"/>
      <c r="G35" s="836"/>
      <c r="H35" s="369" t="s">
        <v>109</v>
      </c>
      <c r="I35" s="837">
        <f>Data!H173</f>
        <v>145.03</v>
      </c>
      <c r="J35" s="838"/>
      <c r="K35" s="376"/>
      <c r="L35" s="383"/>
      <c r="M35" s="839">
        <f>Data!M173</f>
        <v>-12.651999999999999</v>
      </c>
      <c r="N35" s="840"/>
      <c r="O35" s="377"/>
      <c r="P35" s="383"/>
    </row>
    <row r="36" spans="1:16" ht="14.25" customHeight="1">
      <c r="A36" s="829" t="s">
        <v>175</v>
      </c>
      <c r="B36" s="830"/>
      <c r="C36" s="830"/>
      <c r="D36" s="830"/>
      <c r="E36" s="830"/>
      <c r="F36" s="830"/>
      <c r="G36" s="831"/>
      <c r="H36" s="372" t="s">
        <v>109</v>
      </c>
      <c r="I36" s="811">
        <f>Data!H174</f>
        <v>49.168999999999997</v>
      </c>
      <c r="J36" s="812"/>
      <c r="K36" s="378"/>
      <c r="L36" s="364"/>
      <c r="M36" s="813">
        <f>Data!M174</f>
        <v>-21.853000000000002</v>
      </c>
      <c r="N36" s="814"/>
      <c r="O36" s="363"/>
      <c r="P36" s="364"/>
    </row>
    <row r="37" spans="1:16" ht="14.25" customHeight="1">
      <c r="A37" s="829" t="s">
        <v>176</v>
      </c>
      <c r="B37" s="830"/>
      <c r="C37" s="830"/>
      <c r="D37" s="830"/>
      <c r="E37" s="830"/>
      <c r="F37" s="830"/>
      <c r="G37" s="831"/>
      <c r="H37" s="372" t="s">
        <v>109</v>
      </c>
      <c r="I37" s="811">
        <f>IF(I35="","",I35+I36)</f>
        <v>194.19900000000001</v>
      </c>
      <c r="J37" s="812"/>
      <c r="K37" s="378"/>
      <c r="L37" s="364"/>
      <c r="M37" s="813">
        <f>Data!M175</f>
        <v>-34.505000000000003</v>
      </c>
      <c r="N37" s="814"/>
      <c r="O37" s="363"/>
      <c r="P37" s="364"/>
    </row>
    <row r="38" spans="1:16" ht="14.25" customHeight="1">
      <c r="A38" s="829" t="s">
        <v>258</v>
      </c>
      <c r="B38" s="830"/>
      <c r="C38" s="830"/>
      <c r="D38" s="830"/>
      <c r="E38" s="830"/>
      <c r="F38" s="830"/>
      <c r="G38" s="831"/>
      <c r="H38" s="372" t="s">
        <v>223</v>
      </c>
      <c r="I38" s="811">
        <f>Data!H179</f>
        <v>1.0249999999999999</v>
      </c>
      <c r="J38" s="812"/>
      <c r="K38" s="378"/>
      <c r="L38" s="364"/>
      <c r="M38" s="813">
        <f>Data!N179</f>
        <v>1.0249999999999999</v>
      </c>
      <c r="N38" s="814"/>
      <c r="O38" s="363"/>
      <c r="P38" s="364"/>
    </row>
    <row r="39" spans="1:16" ht="14.25" customHeight="1">
      <c r="A39" s="829" t="s">
        <v>259</v>
      </c>
      <c r="B39" s="830"/>
      <c r="C39" s="830"/>
      <c r="D39" s="830"/>
      <c r="E39" s="830"/>
      <c r="F39" s="830"/>
      <c r="G39" s="831"/>
      <c r="H39" s="381" t="s">
        <v>109</v>
      </c>
      <c r="I39" s="811">
        <f>(I38/Data!K62-1)*Data!H177</f>
        <v>0</v>
      </c>
      <c r="J39" s="812"/>
      <c r="K39" s="382"/>
      <c r="L39" s="364"/>
      <c r="M39" s="820">
        <f>(M38/Data!K62-1)*Data!M170</f>
        <v>0</v>
      </c>
      <c r="N39" s="821"/>
      <c r="O39" s="365"/>
      <c r="P39" s="364"/>
    </row>
    <row r="40" spans="1:16" ht="14.25" customHeight="1">
      <c r="A40" s="824" t="s">
        <v>260</v>
      </c>
      <c r="B40" s="825"/>
      <c r="C40" s="825"/>
      <c r="D40" s="825"/>
      <c r="E40" s="825"/>
      <c r="F40" s="825"/>
      <c r="G40" s="826"/>
      <c r="H40" s="369"/>
      <c r="I40" s="384"/>
      <c r="J40" s="376"/>
      <c r="K40" s="376"/>
      <c r="L40" s="371"/>
      <c r="M40" s="827"/>
      <c r="N40" s="828"/>
      <c r="O40" s="377"/>
      <c r="P40" s="371"/>
    </row>
    <row r="41" spans="1:16" ht="14.25" customHeight="1">
      <c r="A41" s="385" t="s">
        <v>261</v>
      </c>
      <c r="B41" s="386"/>
      <c r="C41" s="386"/>
      <c r="D41" s="386"/>
      <c r="E41" s="386"/>
      <c r="F41" s="386"/>
      <c r="G41" s="387"/>
      <c r="H41" s="372" t="s">
        <v>109</v>
      </c>
      <c r="I41" s="811">
        <f>Data!J124</f>
        <v>933.66</v>
      </c>
      <c r="J41" s="812"/>
      <c r="K41" s="378"/>
      <c r="L41" s="364"/>
      <c r="M41" s="813">
        <f>Data!R124</f>
        <v>0</v>
      </c>
      <c r="N41" s="814"/>
      <c r="O41" s="363"/>
      <c r="P41" s="364"/>
    </row>
    <row r="42" spans="1:16" ht="14.25" customHeight="1">
      <c r="A42" s="385" t="s">
        <v>262</v>
      </c>
      <c r="B42" s="386"/>
      <c r="C42" s="386"/>
      <c r="D42" s="386"/>
      <c r="E42" s="386"/>
      <c r="F42" s="386"/>
      <c r="G42" s="387"/>
      <c r="H42" s="372" t="s">
        <v>109</v>
      </c>
      <c r="I42" s="811">
        <f>Data!J132</f>
        <v>15</v>
      </c>
      <c r="J42" s="812"/>
      <c r="K42" s="378"/>
      <c r="L42" s="364"/>
      <c r="M42" s="813">
        <f>Data!R132</f>
        <v>15</v>
      </c>
      <c r="N42" s="814"/>
      <c r="O42" s="378"/>
      <c r="P42" s="364"/>
    </row>
    <row r="43" spans="1:16" ht="14.25" customHeight="1">
      <c r="A43" s="385" t="s">
        <v>263</v>
      </c>
      <c r="B43" s="386"/>
      <c r="C43" s="386"/>
      <c r="D43" s="386"/>
      <c r="E43" s="386"/>
      <c r="F43" s="386"/>
      <c r="G43" s="387"/>
      <c r="H43" s="372" t="s">
        <v>109</v>
      </c>
      <c r="I43" s="811">
        <f>Data!H138</f>
        <v>82.210000000000008</v>
      </c>
      <c r="J43" s="812"/>
      <c r="K43" s="378"/>
      <c r="L43" s="364"/>
      <c r="M43" s="813">
        <f>Data!N138</f>
        <v>81.710000000000008</v>
      </c>
      <c r="N43" s="814"/>
      <c r="O43" s="363"/>
      <c r="P43" s="364"/>
    </row>
    <row r="44" spans="1:16" ht="14.25" customHeight="1">
      <c r="A44" s="385" t="s">
        <v>29</v>
      </c>
      <c r="B44" s="386"/>
      <c r="C44" s="386"/>
      <c r="D44" s="386"/>
      <c r="E44" s="386"/>
      <c r="F44" s="386"/>
      <c r="G44" s="387"/>
      <c r="H44" s="372" t="s">
        <v>109</v>
      </c>
      <c r="I44" s="811">
        <f>Data!H140</f>
        <v>5</v>
      </c>
      <c r="J44" s="812"/>
      <c r="K44" s="378"/>
      <c r="L44" s="364"/>
      <c r="M44" s="813">
        <f>Data!N140</f>
        <v>5</v>
      </c>
      <c r="N44" s="814"/>
      <c r="O44" s="363"/>
      <c r="P44" s="364"/>
    </row>
    <row r="45" spans="1:16" ht="14.25" customHeight="1">
      <c r="A45" s="385" t="s">
        <v>264</v>
      </c>
      <c r="B45" s="386"/>
      <c r="C45" s="386" t="str">
        <f>IF([1]Données!D141="","",[1]Données!D141)</f>
        <v/>
      </c>
      <c r="D45" s="386"/>
      <c r="E45" s="386"/>
      <c r="F45" s="386"/>
      <c r="G45" s="387"/>
      <c r="H45" s="372" t="s">
        <v>109</v>
      </c>
      <c r="I45" s="811">
        <f>Data!H141</f>
        <v>44.8</v>
      </c>
      <c r="J45" s="812"/>
      <c r="K45" s="378"/>
      <c r="L45" s="364"/>
      <c r="M45" s="813">
        <f>Data!N141</f>
        <v>44.8</v>
      </c>
      <c r="N45" s="814"/>
      <c r="O45" s="363"/>
      <c r="P45" s="364"/>
    </row>
    <row r="46" spans="1:16" ht="14.25" customHeight="1">
      <c r="A46" s="385" t="s">
        <v>157</v>
      </c>
      <c r="B46" s="386"/>
      <c r="C46" s="386"/>
      <c r="D46" s="386"/>
      <c r="E46" s="386"/>
      <c r="F46" s="386"/>
      <c r="G46" s="387"/>
      <c r="H46" s="372" t="s">
        <v>109</v>
      </c>
      <c r="I46" s="811">
        <f>Data!H144</f>
        <v>1080.6699999999998</v>
      </c>
      <c r="J46" s="812"/>
      <c r="K46" s="378"/>
      <c r="L46" s="364"/>
      <c r="M46" s="813">
        <f>Data!N144</f>
        <v>146.51</v>
      </c>
      <c r="N46" s="814"/>
      <c r="O46" s="363"/>
      <c r="P46" s="364"/>
    </row>
    <row r="47" spans="1:16" ht="14.25" customHeight="1">
      <c r="A47" s="815" t="s">
        <v>265</v>
      </c>
      <c r="B47" s="816"/>
      <c r="C47" s="816"/>
      <c r="D47" s="816"/>
      <c r="E47" s="816"/>
      <c r="F47" s="816"/>
      <c r="G47" s="817"/>
      <c r="H47" s="381" t="s">
        <v>109</v>
      </c>
      <c r="I47" s="818">
        <f>Data!H184</f>
        <v>4685.8289999999997</v>
      </c>
      <c r="J47" s="819"/>
      <c r="K47" s="382"/>
      <c r="L47" s="366"/>
      <c r="M47" s="820">
        <f>Data!M184</f>
        <v>7715.1049999999996</v>
      </c>
      <c r="N47" s="821"/>
      <c r="O47" s="365"/>
      <c r="P47" s="366"/>
    </row>
    <row r="48" spans="1:16" ht="8.25" customHeight="1">
      <c r="A48" s="822"/>
      <c r="B48" s="822"/>
      <c r="C48" s="822"/>
      <c r="D48" s="822"/>
      <c r="E48" s="822"/>
      <c r="F48" s="822"/>
      <c r="G48" s="822"/>
      <c r="H48" s="823"/>
      <c r="I48" s="823"/>
      <c r="J48" s="823"/>
      <c r="K48" s="823"/>
      <c r="M48" s="823"/>
      <c r="N48" s="823"/>
      <c r="O48" s="823"/>
      <c r="P48" s="823"/>
    </row>
    <row r="49" spans="1:24" ht="14.25" customHeight="1">
      <c r="A49" s="800" t="str">
        <f>IF(H49="","Total Cargo Un/loaded",IF(I47-M47&lt;0,"Total Cargo Loaded","Total Cargo Discharged"))</f>
        <v>Total Cargo Loaded</v>
      </c>
      <c r="B49" s="801"/>
      <c r="C49" s="801"/>
      <c r="D49" s="801"/>
      <c r="E49" s="801"/>
      <c r="F49" s="801"/>
      <c r="G49" s="802"/>
      <c r="H49" s="806">
        <f>IF(M47="","",ROUND(+ABS(I47-M47),3))</f>
        <v>3029.2759999999998</v>
      </c>
      <c r="I49" s="806"/>
      <c r="J49" s="806"/>
      <c r="K49" s="808" t="str">
        <f>IF(H49="","","MT")</f>
        <v>MT</v>
      </c>
      <c r="N49" s="388" t="s">
        <v>266</v>
      </c>
      <c r="O49" s="810">
        <f>Data!G32</f>
        <v>54</v>
      </c>
      <c r="P49" s="810"/>
    </row>
    <row r="50" spans="1:24" ht="14.25" customHeight="1">
      <c r="A50" s="803"/>
      <c r="B50" s="804"/>
      <c r="C50" s="804"/>
      <c r="D50" s="804"/>
      <c r="E50" s="804"/>
      <c r="F50" s="804"/>
      <c r="G50" s="805"/>
      <c r="H50" s="807"/>
      <c r="I50" s="807"/>
      <c r="J50" s="807"/>
      <c r="K50" s="809"/>
      <c r="N50" s="388" t="s">
        <v>267</v>
      </c>
      <c r="O50" s="810">
        <f>Data!S187</f>
        <v>2705.1989999999996</v>
      </c>
      <c r="P50" s="810"/>
    </row>
    <row r="51" spans="1:24" ht="9" customHeight="1"/>
    <row r="52" spans="1:24" s="349" customFormat="1" ht="13.5" customHeight="1">
      <c r="D52" s="350" t="s">
        <v>228</v>
      </c>
      <c r="F52" s="351"/>
      <c r="G52" s="351"/>
      <c r="H52" s="352"/>
      <c r="L52" s="352"/>
      <c r="M52" s="352"/>
      <c r="N52" s="352"/>
      <c r="O52" s="352"/>
      <c r="P52" s="350" t="s">
        <v>229</v>
      </c>
      <c r="Q52" s="352"/>
    </row>
    <row r="53" spans="1:24" s="349" customFormat="1" ht="9" customHeight="1"/>
    <row r="54" spans="1:24" s="349" customFormat="1" ht="9" customHeight="1"/>
    <row r="55" spans="1:24" s="349" customFormat="1" ht="9" customHeight="1"/>
    <row r="56" spans="1:24" s="349" customFormat="1" ht="9" customHeight="1"/>
    <row r="57" spans="1:24" s="349" customFormat="1" ht="9" customHeight="1"/>
    <row r="58" spans="1:24" ht="11.25" customHeight="1">
      <c r="A58" s="361" t="s">
        <v>231</v>
      </c>
      <c r="E58" s="355"/>
      <c r="F58" s="355"/>
      <c r="G58" s="351"/>
      <c r="H58" s="351"/>
    </row>
    <row r="59" spans="1:24" ht="11.25" customHeight="1">
      <c r="A59" s="354"/>
      <c r="C59" s="351"/>
    </row>
    <row r="60" spans="1:24" ht="9.75" customHeight="1">
      <c r="A60" s="356"/>
      <c r="C60" s="357" t="s">
        <v>232</v>
      </c>
      <c r="D60" s="389" t="s">
        <v>268</v>
      </c>
      <c r="F60" s="356"/>
      <c r="L60" s="357"/>
      <c r="M60" s="356"/>
      <c r="P60" s="358"/>
      <c r="Q60" s="356"/>
      <c r="R60" s="356"/>
      <c r="S60" s="356"/>
      <c r="T60" s="356"/>
      <c r="U60" s="356"/>
      <c r="V60" s="356"/>
      <c r="W60" s="356"/>
      <c r="X60" s="356"/>
    </row>
    <row r="61" spans="1:24" ht="8.25" customHeight="1">
      <c r="A61" s="356"/>
      <c r="C61" s="359"/>
      <c r="D61" s="359"/>
      <c r="E61" s="356"/>
      <c r="M61" s="358"/>
      <c r="P61" s="356"/>
      <c r="Q61" s="356"/>
      <c r="R61" s="356"/>
      <c r="S61" s="356"/>
      <c r="T61" s="356"/>
      <c r="U61" s="356"/>
      <c r="V61" s="356"/>
      <c r="W61" s="356"/>
      <c r="X61" s="356"/>
    </row>
  </sheetData>
  <sheetProtection algorithmName="SHA-512" hashValue="Rlmi9kAhKsj8LDcDRgOviwGkZifVqJq15lFdm77xXhh8k58yEMCMTrC4ntVuP6C1vTOdrIailyFB7ZZ2d02nsw==" saltValue="RGsSL4RFCzM/TTzURcuDyA==" spinCount="100000" sheet="1" objects="1" scenarios="1"/>
  <protectedRanges>
    <protectedRange password="E509" sqref="H3:H4 H6:H7" name="Plage1_2"/>
    <protectedRange password="E509" sqref="H5" name="Plage1_3"/>
    <protectedRange password="E509" sqref="D10 A9:C10 N11 E9:E10 G10:P10 R10:V10" name="Plage1"/>
    <protectedRange password="E509" sqref="D54:D57 E53:E57 T54:T57 C53:C57 D52 A52:B57 U52:X57 O52:Q52 O53:S57 F52:H57 I54:K57 L52:N57" name="Plage1_1"/>
    <protectedRange password="E509" sqref="M3:P4 O5:P5 K3:K7 N6:O7" name="Plage1_1_2"/>
  </protectedRanges>
  <mergeCells count="119">
    <mergeCell ref="H3:J3"/>
    <mergeCell ref="H4:J4"/>
    <mergeCell ref="H5:J5"/>
    <mergeCell ref="K5:L5"/>
    <mergeCell ref="M5:N5"/>
    <mergeCell ref="A14:G14"/>
    <mergeCell ref="I14:J14"/>
    <mergeCell ref="M14:N14"/>
    <mergeCell ref="K3:Q3"/>
    <mergeCell ref="K4:Q4"/>
    <mergeCell ref="O5:Q5"/>
    <mergeCell ref="A15:G15"/>
    <mergeCell ref="I15:J15"/>
    <mergeCell ref="M15:N15"/>
    <mergeCell ref="H6:J6"/>
    <mergeCell ref="H7:J7"/>
    <mergeCell ref="E10:M10"/>
    <mergeCell ref="E11:M11"/>
    <mergeCell ref="I13:L13"/>
    <mergeCell ref="M13:P13"/>
    <mergeCell ref="K6:Q6"/>
    <mergeCell ref="K7:Q7"/>
    <mergeCell ref="A18:G18"/>
    <mergeCell ref="I18:J18"/>
    <mergeCell ref="M18:N18"/>
    <mergeCell ref="A19:G19"/>
    <mergeCell ref="I19:J19"/>
    <mergeCell ref="M19:N19"/>
    <mergeCell ref="A16:G16"/>
    <mergeCell ref="I16:J16"/>
    <mergeCell ref="M16:N16"/>
    <mergeCell ref="A17:G17"/>
    <mergeCell ref="I17:J17"/>
    <mergeCell ref="M17:N17"/>
    <mergeCell ref="A22:G22"/>
    <mergeCell ref="I22:J22"/>
    <mergeCell ref="M22:N22"/>
    <mergeCell ref="A23:G23"/>
    <mergeCell ref="I23:J23"/>
    <mergeCell ref="M23:N23"/>
    <mergeCell ref="A20:G20"/>
    <mergeCell ref="I20:J20"/>
    <mergeCell ref="M20:N20"/>
    <mergeCell ref="A21:G21"/>
    <mergeCell ref="I21:J21"/>
    <mergeCell ref="M21:N21"/>
    <mergeCell ref="A26:G26"/>
    <mergeCell ref="I26:J26"/>
    <mergeCell ref="M26:N26"/>
    <mergeCell ref="A27:G27"/>
    <mergeCell ref="I27:J27"/>
    <mergeCell ref="M27:N27"/>
    <mergeCell ref="A24:G24"/>
    <mergeCell ref="I24:J24"/>
    <mergeCell ref="M24:N24"/>
    <mergeCell ref="A25:G25"/>
    <mergeCell ref="I25:J25"/>
    <mergeCell ref="M25:N25"/>
    <mergeCell ref="A30:G30"/>
    <mergeCell ref="I30:J30"/>
    <mergeCell ref="M30:N30"/>
    <mergeCell ref="A31:G31"/>
    <mergeCell ref="I31:J31"/>
    <mergeCell ref="M31:N31"/>
    <mergeCell ref="A28:G28"/>
    <mergeCell ref="I28:J28"/>
    <mergeCell ref="M28:N28"/>
    <mergeCell ref="A29:G29"/>
    <mergeCell ref="I29:J29"/>
    <mergeCell ref="M29:N29"/>
    <mergeCell ref="A34:G34"/>
    <mergeCell ref="I34:J34"/>
    <mergeCell ref="M34:N34"/>
    <mergeCell ref="A35:G35"/>
    <mergeCell ref="I35:J35"/>
    <mergeCell ref="M35:N35"/>
    <mergeCell ref="A32:G32"/>
    <mergeCell ref="I32:J32"/>
    <mergeCell ref="M32:N32"/>
    <mergeCell ref="A33:G33"/>
    <mergeCell ref="I33:J33"/>
    <mergeCell ref="M33:N33"/>
    <mergeCell ref="A38:G38"/>
    <mergeCell ref="I38:J38"/>
    <mergeCell ref="M38:N38"/>
    <mergeCell ref="A39:G39"/>
    <mergeCell ref="I39:J39"/>
    <mergeCell ref="M39:N39"/>
    <mergeCell ref="A36:G36"/>
    <mergeCell ref="I36:J36"/>
    <mergeCell ref="M36:N36"/>
    <mergeCell ref="A37:G37"/>
    <mergeCell ref="I37:J37"/>
    <mergeCell ref="M37:N37"/>
    <mergeCell ref="I43:J43"/>
    <mergeCell ref="M43:N43"/>
    <mergeCell ref="I44:J44"/>
    <mergeCell ref="M44:N44"/>
    <mergeCell ref="I45:J45"/>
    <mergeCell ref="M45:N45"/>
    <mergeCell ref="A40:G40"/>
    <mergeCell ref="M40:N40"/>
    <mergeCell ref="I41:J41"/>
    <mergeCell ref="M41:N41"/>
    <mergeCell ref="I42:J42"/>
    <mergeCell ref="M42:N42"/>
    <mergeCell ref="A49:G50"/>
    <mergeCell ref="H49:J50"/>
    <mergeCell ref="K49:K50"/>
    <mergeCell ref="O49:P49"/>
    <mergeCell ref="O50:P50"/>
    <mergeCell ref="I46:J46"/>
    <mergeCell ref="M46:N46"/>
    <mergeCell ref="A47:G47"/>
    <mergeCell ref="I47:J47"/>
    <mergeCell ref="M47:N47"/>
    <mergeCell ref="A48:G48"/>
    <mergeCell ref="H48:K48"/>
    <mergeCell ref="M48:P48"/>
  </mergeCells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EF363-6ABF-4844-A9CE-92651E06171A}">
  <sheetPr codeName="Feuil3"/>
  <dimension ref="A1"/>
  <sheetViews>
    <sheetView workbookViewId="0"/>
  </sheetViews>
  <sheetFormatPr baseColWidth="10"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7BAF-3B2A-4327-B3A7-B778DC4AB166}">
  <sheetPr codeName="Feuil11"/>
  <dimension ref="A1:X72"/>
  <sheetViews>
    <sheetView showGridLines="0" topLeftCell="A7" zoomScaleNormal="100" workbookViewId="0">
      <selection activeCell="AC10" sqref="AC10"/>
    </sheetView>
  </sheetViews>
  <sheetFormatPr baseColWidth="10" defaultColWidth="11.453125" defaultRowHeight="14.5"/>
  <cols>
    <col min="1" max="3" width="4.1796875" style="337" customWidth="1"/>
    <col min="4" max="5" width="4.7265625" style="337" customWidth="1"/>
    <col min="6" max="7" width="5.453125" style="337" customWidth="1"/>
    <col min="8" max="9" width="4.7265625" style="337" customWidth="1"/>
    <col min="10" max="11" width="5.453125" style="337" customWidth="1"/>
    <col min="12" max="14" width="4.1796875" style="337" customWidth="1"/>
    <col min="15" max="16" width="4.7265625" style="337" customWidth="1"/>
    <col min="17" max="18" width="5.453125" style="337" customWidth="1"/>
    <col min="19" max="20" width="4.7265625" style="337" customWidth="1"/>
    <col min="21" max="22" width="5.453125" style="337" customWidth="1"/>
    <col min="23" max="23" width="2.7265625" style="337" customWidth="1"/>
    <col min="24" max="62" width="4.453125" style="337" customWidth="1"/>
    <col min="63" max="16384" width="11.453125" style="337"/>
  </cols>
  <sheetData>
    <row r="1" spans="1:23">
      <c r="A1" s="390"/>
      <c r="B1" s="390"/>
      <c r="C1" s="390"/>
      <c r="D1" s="390"/>
      <c r="E1" s="390"/>
      <c r="F1" s="390"/>
      <c r="G1" s="390"/>
      <c r="H1" s="390"/>
      <c r="I1" s="390"/>
      <c r="J1" s="390"/>
      <c r="K1" s="390"/>
      <c r="L1" s="390"/>
      <c r="M1" s="390"/>
      <c r="N1" s="390"/>
      <c r="O1" s="390"/>
      <c r="P1" s="390"/>
      <c r="Q1" s="390"/>
      <c r="R1" s="390"/>
      <c r="S1" s="390"/>
      <c r="T1" s="390"/>
      <c r="U1" s="390"/>
      <c r="V1" s="390"/>
      <c r="W1" s="390"/>
    </row>
    <row r="2" spans="1:23">
      <c r="A2" s="390"/>
      <c r="B2" s="390"/>
      <c r="C2" s="390"/>
      <c r="D2" s="390"/>
      <c r="E2" s="390"/>
      <c r="F2" s="390"/>
      <c r="G2" s="390"/>
      <c r="H2" s="390"/>
      <c r="I2" s="390"/>
      <c r="J2" s="390"/>
      <c r="K2" s="390"/>
      <c r="L2" s="390"/>
      <c r="M2" s="390"/>
      <c r="N2" s="390"/>
      <c r="O2" s="390"/>
      <c r="P2" s="995"/>
      <c r="Q2" s="995"/>
      <c r="R2" s="995"/>
      <c r="S2" s="995"/>
      <c r="T2" s="391"/>
      <c r="U2" s="996"/>
      <c r="V2" s="996"/>
      <c r="W2" s="392"/>
    </row>
    <row r="3" spans="1:23">
      <c r="A3" s="390"/>
      <c r="B3" s="390"/>
      <c r="C3" s="390"/>
      <c r="D3" s="390"/>
      <c r="E3" s="390"/>
      <c r="F3" s="390"/>
      <c r="G3" s="390"/>
      <c r="H3" s="390"/>
      <c r="I3" s="390"/>
      <c r="J3" s="390"/>
      <c r="K3" s="390"/>
      <c r="L3" s="390"/>
      <c r="M3" s="390"/>
      <c r="N3" s="390"/>
      <c r="O3" s="390"/>
      <c r="P3" s="390"/>
      <c r="Q3" s="390"/>
      <c r="R3" s="390"/>
      <c r="S3" s="390"/>
      <c r="T3" s="390"/>
      <c r="U3" s="390"/>
      <c r="V3" s="390"/>
      <c r="W3" s="390"/>
    </row>
    <row r="4" spans="1:23" ht="13.5" customHeight="1">
      <c r="A4" s="390"/>
      <c r="B4" s="390"/>
      <c r="C4" s="390"/>
      <c r="D4" s="390"/>
      <c r="E4" s="390"/>
      <c r="F4" s="390"/>
      <c r="G4" s="390"/>
      <c r="H4" s="390"/>
      <c r="I4" s="390"/>
      <c r="J4" s="390"/>
      <c r="K4" s="997" t="str">
        <f>[1]Données!B6</f>
        <v xml:space="preserve">Vessel </v>
      </c>
      <c r="L4" s="998"/>
      <c r="M4" s="998"/>
      <c r="N4" s="999"/>
      <c r="O4" s="1000" t="str">
        <f>Data!F6</f>
        <v>Kristin</v>
      </c>
      <c r="P4" s="1000"/>
      <c r="Q4" s="1000"/>
      <c r="R4" s="1000"/>
      <c r="S4" s="1000"/>
      <c r="T4" s="1000"/>
      <c r="U4" s="1000"/>
      <c r="V4" s="1001"/>
      <c r="W4" s="390"/>
    </row>
    <row r="5" spans="1:23" ht="13.5" customHeight="1">
      <c r="A5" s="390"/>
      <c r="B5" s="390"/>
      <c r="C5" s="390"/>
      <c r="D5" s="390"/>
      <c r="E5" s="390"/>
      <c r="F5" s="390"/>
      <c r="G5" s="390"/>
      <c r="H5" s="390"/>
      <c r="I5" s="390"/>
      <c r="J5" s="390"/>
      <c r="K5" s="987" t="str">
        <f>[1]Données!B8</f>
        <v>Cargo</v>
      </c>
      <c r="L5" s="988"/>
      <c r="M5" s="988"/>
      <c r="N5" s="989"/>
      <c r="O5" s="994" t="str">
        <f>Data!F8</f>
        <v>Anthracite Bulk</v>
      </c>
      <c r="P5" s="919"/>
      <c r="Q5" s="919"/>
      <c r="R5" s="919"/>
      <c r="S5" s="919"/>
      <c r="T5" s="919"/>
      <c r="U5" s="919"/>
      <c r="V5" s="920"/>
      <c r="W5" s="390"/>
    </row>
    <row r="6" spans="1:23" ht="13.5" customHeight="1">
      <c r="A6" s="390"/>
      <c r="B6" s="390"/>
      <c r="C6" s="390"/>
      <c r="D6" s="390"/>
      <c r="E6" s="390"/>
      <c r="F6" s="390"/>
      <c r="G6" s="390"/>
      <c r="H6" s="390"/>
      <c r="I6" s="390"/>
      <c r="J6" s="390"/>
      <c r="K6" s="987" t="s">
        <v>197</v>
      </c>
      <c r="L6" s="988"/>
      <c r="M6" s="988"/>
      <c r="N6" s="989"/>
      <c r="O6" s="990">
        <f>Data!F16</f>
        <v>3267.8719999999998</v>
      </c>
      <c r="P6" s="919"/>
      <c r="Q6" s="919"/>
      <c r="R6" s="991" t="str">
        <f>IF(O6="","","MT  Dated")</f>
        <v>MT  Dated</v>
      </c>
      <c r="S6" s="991"/>
      <c r="T6" s="992">
        <f>Data!F18</f>
        <v>44906</v>
      </c>
      <c r="U6" s="992"/>
      <c r="V6" s="993"/>
      <c r="W6" s="390"/>
    </row>
    <row r="7" spans="1:23" ht="13.5" customHeight="1">
      <c r="A7" s="390"/>
      <c r="B7" s="390"/>
      <c r="C7" s="390"/>
      <c r="D7" s="390"/>
      <c r="E7" s="390"/>
      <c r="F7" s="390"/>
      <c r="G7" s="393"/>
      <c r="H7" s="390"/>
      <c r="I7" s="390"/>
      <c r="J7" s="394"/>
      <c r="K7" s="987" t="str">
        <f>[1]Données!B12</f>
        <v>Port of Loading</v>
      </c>
      <c r="L7" s="988"/>
      <c r="M7" s="988"/>
      <c r="N7" s="989"/>
      <c r="O7" s="994" t="str">
        <f>Data!F12</f>
        <v>Barcelona Sp</v>
      </c>
      <c r="P7" s="919"/>
      <c r="Q7" s="919"/>
      <c r="R7" s="919"/>
      <c r="S7" s="919"/>
      <c r="T7" s="919"/>
      <c r="U7" s="919"/>
      <c r="V7" s="920"/>
      <c r="W7" s="390"/>
    </row>
    <row r="8" spans="1:23" ht="13.5" customHeight="1">
      <c r="A8" s="390"/>
      <c r="B8" s="390"/>
      <c r="C8" s="390"/>
      <c r="D8" s="390"/>
      <c r="E8" s="390"/>
      <c r="F8" s="390"/>
      <c r="G8" s="393"/>
      <c r="H8" s="390"/>
      <c r="I8" s="390"/>
      <c r="J8" s="394"/>
      <c r="K8" s="1002" t="str">
        <f>[1]Données!B14</f>
        <v>Port of Discharge</v>
      </c>
      <c r="L8" s="1003"/>
      <c r="M8" s="1003"/>
      <c r="N8" s="1004"/>
      <c r="O8" s="1005" t="str">
        <f>Data!F10</f>
        <v>Jorf Lasfar</v>
      </c>
      <c r="P8" s="1006"/>
      <c r="Q8" s="1006"/>
      <c r="R8" s="1006"/>
      <c r="S8" s="1006"/>
      <c r="T8" s="1006"/>
      <c r="U8" s="1006"/>
      <c r="V8" s="1007"/>
      <c r="W8" s="390"/>
    </row>
    <row r="9" spans="1:23" ht="12" customHeight="1">
      <c r="A9" s="390"/>
      <c r="B9" s="390"/>
      <c r="C9" s="390"/>
      <c r="D9" s="390"/>
      <c r="E9" s="390"/>
      <c r="F9" s="390"/>
      <c r="G9" s="393"/>
      <c r="H9" s="390"/>
      <c r="I9" s="390"/>
      <c r="J9" s="394"/>
      <c r="K9" s="394"/>
      <c r="L9" s="394"/>
      <c r="M9" s="390"/>
      <c r="N9" s="390"/>
      <c r="O9" s="390"/>
      <c r="P9" s="390"/>
      <c r="Q9" s="390"/>
      <c r="R9" s="390"/>
      <c r="S9" s="390"/>
      <c r="T9" s="390"/>
      <c r="U9" s="390"/>
      <c r="V9" s="390"/>
      <c r="W9" s="390"/>
    </row>
    <row r="10" spans="1:23" ht="19.5" customHeight="1">
      <c r="A10" s="390"/>
      <c r="B10" s="390"/>
      <c r="C10" s="390"/>
      <c r="D10" s="390"/>
      <c r="E10" s="390"/>
      <c r="F10" s="390"/>
      <c r="G10" s="390"/>
      <c r="H10" s="1008" t="s">
        <v>234</v>
      </c>
      <c r="I10" s="1008"/>
      <c r="J10" s="1008"/>
      <c r="K10" s="1008"/>
      <c r="L10" s="1008"/>
      <c r="M10" s="1008"/>
      <c r="N10" s="1008"/>
      <c r="O10" s="1008"/>
      <c r="P10" s="1008"/>
      <c r="Q10" s="390"/>
      <c r="R10" s="390"/>
      <c r="S10" s="390"/>
      <c r="T10" s="390"/>
      <c r="U10" s="390"/>
      <c r="V10" s="395" t="s">
        <v>269</v>
      </c>
      <c r="W10" s="390"/>
    </row>
    <row r="11" spans="1:23" ht="17.25" customHeight="1">
      <c r="A11" s="396"/>
      <c r="B11" s="390"/>
      <c r="C11" s="390"/>
      <c r="D11" s="390"/>
      <c r="E11" s="390"/>
      <c r="F11" s="390"/>
      <c r="G11" s="390"/>
      <c r="H11" s="981" t="s">
        <v>270</v>
      </c>
      <c r="I11" s="981"/>
      <c r="J11" s="981"/>
      <c r="K11" s="981"/>
      <c r="L11" s="981"/>
      <c r="M11" s="981"/>
      <c r="N11" s="981"/>
      <c r="O11" s="981"/>
      <c r="P11" s="981"/>
      <c r="Q11" s="390"/>
      <c r="R11" s="390"/>
      <c r="S11" s="390"/>
      <c r="T11" s="390"/>
      <c r="U11" s="390"/>
      <c r="V11" s="390"/>
      <c r="W11" s="390"/>
    </row>
    <row r="12" spans="1:23" ht="8.25" customHeight="1" thickBot="1">
      <c r="A12" s="390"/>
      <c r="B12" s="397"/>
      <c r="C12" s="390"/>
      <c r="D12" s="390"/>
      <c r="E12" s="390"/>
      <c r="F12" s="390"/>
      <c r="G12" s="390"/>
      <c r="H12" s="390"/>
      <c r="I12" s="390"/>
      <c r="J12" s="390"/>
      <c r="K12" s="390"/>
      <c r="L12" s="390"/>
      <c r="M12" s="390"/>
      <c r="N12" s="390"/>
      <c r="O12" s="390"/>
      <c r="P12" s="390"/>
      <c r="Q12" s="390"/>
      <c r="R12" s="390"/>
      <c r="S12" s="390"/>
      <c r="T12" s="390"/>
      <c r="U12" s="390"/>
      <c r="V12" s="390"/>
      <c r="W12" s="390"/>
    </row>
    <row r="13" spans="1:23" ht="18.75" customHeight="1" thickBot="1">
      <c r="A13" s="982" t="s">
        <v>271</v>
      </c>
      <c r="B13" s="983"/>
      <c r="C13" s="983"/>
      <c r="D13" s="983"/>
      <c r="E13" s="983"/>
      <c r="F13" s="983"/>
      <c r="G13" s="983"/>
      <c r="H13" s="983"/>
      <c r="I13" s="983"/>
      <c r="J13" s="983"/>
      <c r="K13" s="984"/>
      <c r="L13" s="985" t="s">
        <v>272</v>
      </c>
      <c r="M13" s="983"/>
      <c r="N13" s="983"/>
      <c r="O13" s="983"/>
      <c r="P13" s="983"/>
      <c r="Q13" s="983"/>
      <c r="R13" s="983"/>
      <c r="S13" s="983"/>
      <c r="T13" s="983"/>
      <c r="U13" s="983"/>
      <c r="V13" s="986"/>
      <c r="W13" s="390"/>
    </row>
    <row r="14" spans="1:23" ht="17.25" customHeight="1" thickBot="1">
      <c r="A14" s="398" t="s">
        <v>273</v>
      </c>
      <c r="B14" s="399"/>
      <c r="C14" s="399"/>
      <c r="D14" s="399"/>
      <c r="E14" s="399"/>
      <c r="F14" s="434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390"/>
    </row>
    <row r="15" spans="1:23" ht="28.5" customHeight="1">
      <c r="A15" s="949" t="s">
        <v>18</v>
      </c>
      <c r="B15" s="950"/>
      <c r="C15" s="951"/>
      <c r="D15" s="962" t="s">
        <v>274</v>
      </c>
      <c r="E15" s="962"/>
      <c r="F15" s="971" t="s">
        <v>275</v>
      </c>
      <c r="G15" s="971"/>
      <c r="H15" s="971" t="s">
        <v>276</v>
      </c>
      <c r="I15" s="971"/>
      <c r="J15" s="972" t="s">
        <v>277</v>
      </c>
      <c r="K15" s="977"/>
      <c r="L15" s="978" t="s">
        <v>18</v>
      </c>
      <c r="M15" s="979"/>
      <c r="N15" s="980"/>
      <c r="O15" s="971" t="s">
        <v>274</v>
      </c>
      <c r="P15" s="971"/>
      <c r="Q15" s="971" t="s">
        <v>275</v>
      </c>
      <c r="R15" s="971"/>
      <c r="S15" s="971" t="s">
        <v>276</v>
      </c>
      <c r="T15" s="971"/>
      <c r="U15" s="972" t="s">
        <v>278</v>
      </c>
      <c r="V15" s="973"/>
      <c r="W15" s="390"/>
    </row>
    <row r="16" spans="1:23">
      <c r="A16" s="933" t="str">
        <f>Data!B94</f>
        <v>FP</v>
      </c>
      <c r="B16" s="933"/>
      <c r="C16" s="934"/>
      <c r="D16" s="974" t="str">
        <f>Data!D94</f>
        <v>FULL</v>
      </c>
      <c r="E16" s="975"/>
      <c r="F16" s="935">
        <f>Data!F94</f>
        <v>455</v>
      </c>
      <c r="G16" s="964"/>
      <c r="H16" s="967">
        <f>Data!H94</f>
        <v>1.026</v>
      </c>
      <c r="I16" s="968"/>
      <c r="J16" s="937">
        <f>IF(F16="","",IF(H16="",0,+ROUND(F16*H16,3)))</f>
        <v>466.83</v>
      </c>
      <c r="K16" s="938"/>
      <c r="L16" s="976" t="str">
        <f>IF(A16="","",A16)</f>
        <v>FP</v>
      </c>
      <c r="M16" s="933"/>
      <c r="N16" s="933"/>
      <c r="O16" s="944" t="str">
        <f>Data!L94</f>
        <v>EMPTY</v>
      </c>
      <c r="P16" s="969"/>
      <c r="Q16" s="944">
        <f>Data!N94</f>
        <v>0</v>
      </c>
      <c r="R16" s="969"/>
      <c r="S16" s="967">
        <f>Data!P94</f>
        <v>1.026</v>
      </c>
      <c r="T16" s="970"/>
      <c r="U16" s="937">
        <f>IF(Q16="","",IF(S16="",0,+ROUND(Q16*S16,3)))</f>
        <v>0</v>
      </c>
      <c r="V16" s="938"/>
      <c r="W16" s="390"/>
    </row>
    <row r="17" spans="1:23">
      <c r="A17" s="959" t="str">
        <f>Data!B95</f>
        <v>DB</v>
      </c>
      <c r="B17" s="959"/>
      <c r="C17" s="959"/>
      <c r="D17" s="960" t="str">
        <f>Data!D95</f>
        <v>FULL</v>
      </c>
      <c r="E17" s="961"/>
      <c r="F17" s="935">
        <f>Data!F95</f>
        <v>455</v>
      </c>
      <c r="G17" s="964"/>
      <c r="H17" s="967">
        <f>Data!H95</f>
        <v>1.026</v>
      </c>
      <c r="I17" s="968"/>
      <c r="J17" s="901">
        <f>IF(F17="","",IF(H17="",0,+ROUND(F17*H17,3)))</f>
        <v>466.83</v>
      </c>
      <c r="K17" s="901"/>
      <c r="L17" s="959" t="str">
        <f>IF(A17="","",A17)</f>
        <v>DB</v>
      </c>
      <c r="M17" s="959"/>
      <c r="N17" s="959"/>
      <c r="O17" s="944" t="str">
        <f>Data!L95</f>
        <v>EMPTY</v>
      </c>
      <c r="P17" s="969"/>
      <c r="Q17" s="944">
        <f>Data!N95</f>
        <v>0</v>
      </c>
      <c r="R17" s="969"/>
      <c r="S17" s="967">
        <f>Data!P95</f>
        <v>1.026</v>
      </c>
      <c r="T17" s="970"/>
      <c r="U17" s="901">
        <f>IF(Q17="","",IF(S17="",0,+ROUND(Q17*S17,3)))</f>
        <v>0</v>
      </c>
      <c r="V17" s="901"/>
      <c r="W17" s="390"/>
    </row>
    <row r="18" spans="1:23">
      <c r="A18" s="959">
        <f>Data!B96</f>
        <v>0</v>
      </c>
      <c r="B18" s="959"/>
      <c r="C18" s="959"/>
      <c r="D18" s="960">
        <f>Data!D96</f>
        <v>0</v>
      </c>
      <c r="E18" s="961"/>
      <c r="F18" s="935">
        <f>Data!F96</f>
        <v>0</v>
      </c>
      <c r="G18" s="964"/>
      <c r="H18" s="967">
        <f>Data!H96</f>
        <v>0</v>
      </c>
      <c r="I18" s="968"/>
      <c r="J18" s="901">
        <f>IF(F18="","",IF(H18="",0,+ROUND(F18*H18,3)))</f>
        <v>0</v>
      </c>
      <c r="K18" s="901"/>
      <c r="L18" s="959">
        <f t="shared" ref="L18:L45" si="0">IF(A18="","",A18)</f>
        <v>0</v>
      </c>
      <c r="M18" s="959"/>
      <c r="N18" s="959"/>
      <c r="O18" s="944">
        <f>Data!L96</f>
        <v>0</v>
      </c>
      <c r="P18" s="969"/>
      <c r="Q18" s="944">
        <f>Data!N96</f>
        <v>0</v>
      </c>
      <c r="R18" s="969"/>
      <c r="S18" s="967">
        <f>Data!P96</f>
        <v>0</v>
      </c>
      <c r="T18" s="970"/>
      <c r="U18" s="901">
        <f t="shared" ref="U18:U31" si="1">IF(Q18="","",IF(S18="",0,+ROUND(Q18*S18,3)))</f>
        <v>0</v>
      </c>
      <c r="V18" s="901"/>
      <c r="W18" s="390"/>
    </row>
    <row r="19" spans="1:23">
      <c r="A19" s="959">
        <f>Data!B97</f>
        <v>0</v>
      </c>
      <c r="B19" s="959"/>
      <c r="C19" s="959"/>
      <c r="D19" s="960">
        <f>Data!D97</f>
        <v>0</v>
      </c>
      <c r="E19" s="961"/>
      <c r="F19" s="935">
        <f>Data!F97</f>
        <v>0</v>
      </c>
      <c r="G19" s="964"/>
      <c r="H19" s="967">
        <f>Data!H97</f>
        <v>0</v>
      </c>
      <c r="I19" s="968"/>
      <c r="J19" s="901">
        <f t="shared" ref="J19:J30" si="2">IF(F19="","",IF(H19="",0,+ROUND(F19*H19,3)))</f>
        <v>0</v>
      </c>
      <c r="K19" s="901"/>
      <c r="L19" s="959">
        <f t="shared" si="0"/>
        <v>0</v>
      </c>
      <c r="M19" s="959"/>
      <c r="N19" s="959"/>
      <c r="O19" s="944">
        <f>Data!L97</f>
        <v>0</v>
      </c>
      <c r="P19" s="969"/>
      <c r="Q19" s="944">
        <f>Data!N97</f>
        <v>0</v>
      </c>
      <c r="R19" s="969"/>
      <c r="S19" s="967">
        <f>Data!P97</f>
        <v>0</v>
      </c>
      <c r="T19" s="970"/>
      <c r="U19" s="901">
        <f t="shared" si="1"/>
        <v>0</v>
      </c>
      <c r="V19" s="901"/>
      <c r="W19" s="390"/>
    </row>
    <row r="20" spans="1:23">
      <c r="A20" s="959">
        <f>Data!B98</f>
        <v>0</v>
      </c>
      <c r="B20" s="959"/>
      <c r="C20" s="959"/>
      <c r="D20" s="960">
        <f>Data!D98</f>
        <v>0</v>
      </c>
      <c r="E20" s="961"/>
      <c r="F20" s="935">
        <f>Data!F98</f>
        <v>0</v>
      </c>
      <c r="G20" s="964"/>
      <c r="H20" s="967">
        <f>Data!H98</f>
        <v>0</v>
      </c>
      <c r="I20" s="968"/>
      <c r="J20" s="901">
        <f t="shared" si="2"/>
        <v>0</v>
      </c>
      <c r="K20" s="901"/>
      <c r="L20" s="959">
        <f t="shared" si="0"/>
        <v>0</v>
      </c>
      <c r="M20" s="959"/>
      <c r="N20" s="959"/>
      <c r="O20" s="944">
        <f>Data!L98</f>
        <v>0</v>
      </c>
      <c r="P20" s="969"/>
      <c r="Q20" s="944">
        <f>Data!N98</f>
        <v>0</v>
      </c>
      <c r="R20" s="969"/>
      <c r="S20" s="967">
        <f>Data!P98</f>
        <v>0</v>
      </c>
      <c r="T20" s="970"/>
      <c r="U20" s="901">
        <f t="shared" si="1"/>
        <v>0</v>
      </c>
      <c r="V20" s="901"/>
      <c r="W20" s="390"/>
    </row>
    <row r="21" spans="1:23">
      <c r="A21" s="959">
        <f>Data!B99</f>
        <v>0</v>
      </c>
      <c r="B21" s="959"/>
      <c r="C21" s="959"/>
      <c r="D21" s="960">
        <f>Data!D99</f>
        <v>0</v>
      </c>
      <c r="E21" s="961"/>
      <c r="F21" s="935">
        <f>Data!F99</f>
        <v>0</v>
      </c>
      <c r="G21" s="964"/>
      <c r="H21" s="967">
        <f>Data!H99</f>
        <v>0</v>
      </c>
      <c r="I21" s="968"/>
      <c r="J21" s="901">
        <f t="shared" si="2"/>
        <v>0</v>
      </c>
      <c r="K21" s="901"/>
      <c r="L21" s="959">
        <f t="shared" si="0"/>
        <v>0</v>
      </c>
      <c r="M21" s="959"/>
      <c r="N21" s="959"/>
      <c r="O21" s="944">
        <f>Data!L99</f>
        <v>0</v>
      </c>
      <c r="P21" s="969"/>
      <c r="Q21" s="944">
        <f>Data!N99</f>
        <v>0</v>
      </c>
      <c r="R21" s="969"/>
      <c r="S21" s="967">
        <f>Data!P99</f>
        <v>0</v>
      </c>
      <c r="T21" s="970"/>
      <c r="U21" s="901">
        <f t="shared" si="1"/>
        <v>0</v>
      </c>
      <c r="V21" s="901"/>
      <c r="W21" s="390"/>
    </row>
    <row r="22" spans="1:23">
      <c r="A22" s="959">
        <f>Data!B100</f>
        <v>0</v>
      </c>
      <c r="B22" s="959"/>
      <c r="C22" s="959"/>
      <c r="D22" s="960">
        <f>Data!D100</f>
        <v>0</v>
      </c>
      <c r="E22" s="961"/>
      <c r="F22" s="935">
        <f>Data!F100</f>
        <v>0</v>
      </c>
      <c r="G22" s="964"/>
      <c r="H22" s="967">
        <f>Data!H100</f>
        <v>0</v>
      </c>
      <c r="I22" s="968"/>
      <c r="J22" s="901">
        <f t="shared" si="2"/>
        <v>0</v>
      </c>
      <c r="K22" s="901"/>
      <c r="L22" s="959">
        <f t="shared" si="0"/>
        <v>0</v>
      </c>
      <c r="M22" s="959"/>
      <c r="N22" s="959"/>
      <c r="O22" s="944">
        <f>Data!L100</f>
        <v>0</v>
      </c>
      <c r="P22" s="969"/>
      <c r="Q22" s="944">
        <f>Data!N100</f>
        <v>0</v>
      </c>
      <c r="R22" s="969"/>
      <c r="S22" s="967">
        <f>Data!P100</f>
        <v>0</v>
      </c>
      <c r="T22" s="970"/>
      <c r="U22" s="901">
        <f t="shared" si="1"/>
        <v>0</v>
      </c>
      <c r="V22" s="901"/>
      <c r="W22" s="390"/>
    </row>
    <row r="23" spans="1:23">
      <c r="A23" s="959">
        <f>Data!B101</f>
        <v>0</v>
      </c>
      <c r="B23" s="959"/>
      <c r="C23" s="959"/>
      <c r="D23" s="960">
        <f>Data!D101</f>
        <v>0</v>
      </c>
      <c r="E23" s="961"/>
      <c r="F23" s="935">
        <f>Data!F101</f>
        <v>0</v>
      </c>
      <c r="G23" s="964"/>
      <c r="H23" s="967">
        <f>Data!H101</f>
        <v>0</v>
      </c>
      <c r="I23" s="968"/>
      <c r="J23" s="901">
        <f t="shared" si="2"/>
        <v>0</v>
      </c>
      <c r="K23" s="901"/>
      <c r="L23" s="959">
        <f t="shared" si="0"/>
        <v>0</v>
      </c>
      <c r="M23" s="959"/>
      <c r="N23" s="959"/>
      <c r="O23" s="944">
        <f>Data!L101</f>
        <v>0</v>
      </c>
      <c r="P23" s="969"/>
      <c r="Q23" s="944">
        <f>Data!N101</f>
        <v>0</v>
      </c>
      <c r="R23" s="969"/>
      <c r="S23" s="967">
        <f>Data!P101</f>
        <v>0</v>
      </c>
      <c r="T23" s="970"/>
      <c r="U23" s="901">
        <f t="shared" si="1"/>
        <v>0</v>
      </c>
      <c r="V23" s="901"/>
      <c r="W23" s="390"/>
    </row>
    <row r="24" spans="1:23">
      <c r="A24" s="959">
        <f>Data!B102</f>
        <v>0</v>
      </c>
      <c r="B24" s="959"/>
      <c r="C24" s="959"/>
      <c r="D24" s="960">
        <f>Data!D102</f>
        <v>0</v>
      </c>
      <c r="E24" s="961"/>
      <c r="F24" s="935">
        <f>Data!F102</f>
        <v>0</v>
      </c>
      <c r="G24" s="964"/>
      <c r="H24" s="967">
        <f>Data!H102</f>
        <v>0</v>
      </c>
      <c r="I24" s="968"/>
      <c r="J24" s="901">
        <f t="shared" si="2"/>
        <v>0</v>
      </c>
      <c r="K24" s="901"/>
      <c r="L24" s="959">
        <f t="shared" si="0"/>
        <v>0</v>
      </c>
      <c r="M24" s="959"/>
      <c r="N24" s="959"/>
      <c r="O24" s="944">
        <f>Data!L102</f>
        <v>0</v>
      </c>
      <c r="P24" s="969"/>
      <c r="Q24" s="944">
        <f>Data!N102</f>
        <v>0</v>
      </c>
      <c r="R24" s="969"/>
      <c r="S24" s="967">
        <f>Data!P102</f>
        <v>0</v>
      </c>
      <c r="T24" s="970"/>
      <c r="U24" s="901">
        <f t="shared" si="1"/>
        <v>0</v>
      </c>
      <c r="V24" s="901"/>
      <c r="W24" s="390"/>
    </row>
    <row r="25" spans="1:23">
      <c r="A25" s="959">
        <f>Data!B103</f>
        <v>0</v>
      </c>
      <c r="B25" s="959"/>
      <c r="C25" s="959"/>
      <c r="D25" s="960"/>
      <c r="E25" s="961"/>
      <c r="F25" s="935">
        <f>Data!F103</f>
        <v>0</v>
      </c>
      <c r="G25" s="964"/>
      <c r="H25" s="967">
        <f>Data!H103</f>
        <v>0</v>
      </c>
      <c r="I25" s="968"/>
      <c r="J25" s="901">
        <f t="shared" si="2"/>
        <v>0</v>
      </c>
      <c r="K25" s="901"/>
      <c r="L25" s="959">
        <f t="shared" si="0"/>
        <v>0</v>
      </c>
      <c r="M25" s="959"/>
      <c r="N25" s="959"/>
      <c r="O25" s="944">
        <f>Data!L103</f>
        <v>0</v>
      </c>
      <c r="P25" s="969"/>
      <c r="Q25" s="944">
        <f>Data!N103</f>
        <v>0</v>
      </c>
      <c r="R25" s="969"/>
      <c r="S25" s="967">
        <f>Data!P103</f>
        <v>0</v>
      </c>
      <c r="T25" s="970"/>
      <c r="U25" s="901">
        <f t="shared" si="1"/>
        <v>0</v>
      </c>
      <c r="V25" s="901"/>
      <c r="W25" s="390"/>
    </row>
    <row r="26" spans="1:23">
      <c r="A26" s="959">
        <f>Data!B104</f>
        <v>0</v>
      </c>
      <c r="B26" s="959"/>
      <c r="C26" s="959"/>
      <c r="D26" s="960"/>
      <c r="E26" s="961"/>
      <c r="F26" s="935">
        <f>Data!F104</f>
        <v>0</v>
      </c>
      <c r="G26" s="964"/>
      <c r="H26" s="967">
        <f>Data!H104</f>
        <v>0</v>
      </c>
      <c r="I26" s="968"/>
      <c r="J26" s="901">
        <f t="shared" si="2"/>
        <v>0</v>
      </c>
      <c r="K26" s="901"/>
      <c r="L26" s="959">
        <f t="shared" si="0"/>
        <v>0</v>
      </c>
      <c r="M26" s="959"/>
      <c r="N26" s="959"/>
      <c r="O26" s="944">
        <f>Data!L104</f>
        <v>0</v>
      </c>
      <c r="P26" s="969"/>
      <c r="Q26" s="944">
        <f>Data!N104</f>
        <v>0</v>
      </c>
      <c r="R26" s="969"/>
      <c r="S26" s="967">
        <f>Data!P104</f>
        <v>0</v>
      </c>
      <c r="T26" s="970"/>
      <c r="U26" s="901">
        <f t="shared" si="1"/>
        <v>0</v>
      </c>
      <c r="V26" s="901"/>
      <c r="W26" s="390"/>
    </row>
    <row r="27" spans="1:23">
      <c r="A27" s="959">
        <f>Data!B105</f>
        <v>0</v>
      </c>
      <c r="B27" s="959"/>
      <c r="C27" s="959"/>
      <c r="D27" s="960"/>
      <c r="E27" s="961"/>
      <c r="F27" s="935">
        <f>Data!F105</f>
        <v>0</v>
      </c>
      <c r="G27" s="964"/>
      <c r="H27" s="967">
        <f>Data!H105</f>
        <v>0</v>
      </c>
      <c r="I27" s="968"/>
      <c r="J27" s="901">
        <f t="shared" si="2"/>
        <v>0</v>
      </c>
      <c r="K27" s="901"/>
      <c r="L27" s="959">
        <f t="shared" si="0"/>
        <v>0</v>
      </c>
      <c r="M27" s="959"/>
      <c r="N27" s="959"/>
      <c r="O27" s="957"/>
      <c r="P27" s="957"/>
      <c r="Q27" s="957"/>
      <c r="R27" s="957"/>
      <c r="S27" s="958"/>
      <c r="T27" s="958"/>
      <c r="U27" s="901" t="str">
        <f t="shared" si="1"/>
        <v/>
      </c>
      <c r="V27" s="901"/>
      <c r="W27" s="390"/>
    </row>
    <row r="28" spans="1:23">
      <c r="A28" s="959">
        <f>Data!B106</f>
        <v>0</v>
      </c>
      <c r="B28" s="959"/>
      <c r="C28" s="959"/>
      <c r="D28" s="960"/>
      <c r="E28" s="961"/>
      <c r="F28" s="935">
        <f>Data!F106</f>
        <v>0</v>
      </c>
      <c r="G28" s="964"/>
      <c r="H28" s="958"/>
      <c r="I28" s="965"/>
      <c r="J28" s="901">
        <f t="shared" si="2"/>
        <v>0</v>
      </c>
      <c r="K28" s="901"/>
      <c r="L28" s="959">
        <f t="shared" si="0"/>
        <v>0</v>
      </c>
      <c r="M28" s="959"/>
      <c r="N28" s="959"/>
      <c r="O28" s="957"/>
      <c r="P28" s="957"/>
      <c r="Q28" s="957"/>
      <c r="R28" s="957"/>
      <c r="S28" s="958"/>
      <c r="T28" s="958"/>
      <c r="U28" s="901" t="str">
        <f t="shared" si="1"/>
        <v/>
      </c>
      <c r="V28" s="901"/>
      <c r="W28" s="390"/>
    </row>
    <row r="29" spans="1:23">
      <c r="A29" s="959">
        <f>Data!B107</f>
        <v>0</v>
      </c>
      <c r="B29" s="959"/>
      <c r="C29" s="959"/>
      <c r="D29" s="960"/>
      <c r="E29" s="961"/>
      <c r="F29" s="935">
        <f>Data!F107</f>
        <v>0</v>
      </c>
      <c r="G29" s="964"/>
      <c r="H29" s="958"/>
      <c r="I29" s="965"/>
      <c r="J29" s="901">
        <f t="shared" si="2"/>
        <v>0</v>
      </c>
      <c r="K29" s="901"/>
      <c r="L29" s="959">
        <f t="shared" si="0"/>
        <v>0</v>
      </c>
      <c r="M29" s="959"/>
      <c r="N29" s="959"/>
      <c r="O29" s="957"/>
      <c r="P29" s="957"/>
      <c r="Q29" s="957"/>
      <c r="R29" s="957"/>
      <c r="S29" s="958"/>
      <c r="T29" s="958"/>
      <c r="U29" s="901" t="str">
        <f t="shared" si="1"/>
        <v/>
      </c>
      <c r="V29" s="901"/>
      <c r="W29" s="390"/>
    </row>
    <row r="30" spans="1:23">
      <c r="A30" s="959">
        <f>Data!B108</f>
        <v>0</v>
      </c>
      <c r="B30" s="959"/>
      <c r="C30" s="959"/>
      <c r="D30" s="960"/>
      <c r="E30" s="961"/>
      <c r="F30" s="935">
        <f>Data!F108</f>
        <v>0</v>
      </c>
      <c r="G30" s="964"/>
      <c r="H30" s="958"/>
      <c r="I30" s="965"/>
      <c r="J30" s="901">
        <f t="shared" si="2"/>
        <v>0</v>
      </c>
      <c r="K30" s="901"/>
      <c r="L30" s="959">
        <f t="shared" si="0"/>
        <v>0</v>
      </c>
      <c r="M30" s="959"/>
      <c r="N30" s="959"/>
      <c r="O30" s="957"/>
      <c r="P30" s="957"/>
      <c r="Q30" s="957"/>
      <c r="R30" s="957"/>
      <c r="S30" s="958"/>
      <c r="T30" s="958"/>
      <c r="U30" s="901" t="str">
        <f t="shared" si="1"/>
        <v/>
      </c>
      <c r="V30" s="901"/>
      <c r="W30" s="390"/>
    </row>
    <row r="31" spans="1:23">
      <c r="A31" s="959">
        <f>Data!B109</f>
        <v>0</v>
      </c>
      <c r="B31" s="959"/>
      <c r="C31" s="959"/>
      <c r="D31" s="960"/>
      <c r="E31" s="961"/>
      <c r="F31" s="935">
        <f>Data!F109</f>
        <v>0</v>
      </c>
      <c r="G31" s="964"/>
      <c r="H31" s="958"/>
      <c r="I31" s="965"/>
      <c r="J31" s="901">
        <f>IF(F31="","",IF(H31="",0,+ROUND(F31*H31,3)))</f>
        <v>0</v>
      </c>
      <c r="K31" s="901"/>
      <c r="L31" s="959">
        <f t="shared" si="0"/>
        <v>0</v>
      </c>
      <c r="M31" s="959"/>
      <c r="N31" s="959"/>
      <c r="O31" s="957"/>
      <c r="P31" s="957"/>
      <c r="Q31" s="957"/>
      <c r="R31" s="957"/>
      <c r="S31" s="958"/>
      <c r="T31" s="958"/>
      <c r="U31" s="901" t="str">
        <f t="shared" si="1"/>
        <v/>
      </c>
      <c r="V31" s="901"/>
      <c r="W31" s="390"/>
    </row>
    <row r="32" spans="1:23">
      <c r="A32" s="959">
        <f>Data!B110</f>
        <v>0</v>
      </c>
      <c r="B32" s="959"/>
      <c r="C32" s="959"/>
      <c r="D32" s="960"/>
      <c r="E32" s="961"/>
      <c r="F32" s="935">
        <f>Data!F110</f>
        <v>0</v>
      </c>
      <c r="G32" s="964"/>
      <c r="H32" s="958"/>
      <c r="I32" s="965"/>
      <c r="J32" s="901">
        <f t="shared" ref="J32:J45" si="3">IF(F32="","",IF(H32="",0,+ROUND(F32*H32,3)))</f>
        <v>0</v>
      </c>
      <c r="K32" s="901"/>
      <c r="L32" s="959">
        <f t="shared" si="0"/>
        <v>0</v>
      </c>
      <c r="M32" s="959"/>
      <c r="N32" s="959"/>
      <c r="O32" s="957"/>
      <c r="P32" s="957"/>
      <c r="Q32" s="957"/>
      <c r="R32" s="957"/>
      <c r="S32" s="958"/>
      <c r="T32" s="958"/>
      <c r="U32" s="901" t="str">
        <f>IF(Q32="","",IF(S32="",0,+ROUND(Q32*S32,3)))</f>
        <v/>
      </c>
      <c r="V32" s="901"/>
      <c r="W32" s="390"/>
    </row>
    <row r="33" spans="1:23">
      <c r="A33" s="959">
        <f>Data!B111</f>
        <v>0</v>
      </c>
      <c r="B33" s="959"/>
      <c r="C33" s="959"/>
      <c r="D33" s="960"/>
      <c r="E33" s="961"/>
      <c r="F33" s="935">
        <f>Data!F111</f>
        <v>0</v>
      </c>
      <c r="G33" s="964"/>
      <c r="H33" s="958"/>
      <c r="I33" s="965"/>
      <c r="J33" s="901">
        <f t="shared" si="3"/>
        <v>0</v>
      </c>
      <c r="K33" s="901"/>
      <c r="L33" s="959">
        <f t="shared" si="0"/>
        <v>0</v>
      </c>
      <c r="M33" s="959"/>
      <c r="N33" s="959"/>
      <c r="O33" s="957"/>
      <c r="P33" s="957"/>
      <c r="Q33" s="957"/>
      <c r="R33" s="957"/>
      <c r="S33" s="958"/>
      <c r="T33" s="958"/>
      <c r="U33" s="901" t="str">
        <f t="shared" ref="U33:U44" si="4">IF(Q33="","",IF(S33="",0,+ROUND(Q33*S33,3)))</f>
        <v/>
      </c>
      <c r="V33" s="901"/>
      <c r="W33" s="390"/>
    </row>
    <row r="34" spans="1:23">
      <c r="A34" s="959">
        <f>Data!B112</f>
        <v>0</v>
      </c>
      <c r="B34" s="959"/>
      <c r="C34" s="959"/>
      <c r="D34" s="960"/>
      <c r="E34" s="961"/>
      <c r="F34" s="935">
        <f>Data!F112</f>
        <v>0</v>
      </c>
      <c r="G34" s="964"/>
      <c r="H34" s="958"/>
      <c r="I34" s="965"/>
      <c r="J34" s="901">
        <f t="shared" si="3"/>
        <v>0</v>
      </c>
      <c r="K34" s="901"/>
      <c r="L34" s="959">
        <f t="shared" si="0"/>
        <v>0</v>
      </c>
      <c r="M34" s="959"/>
      <c r="N34" s="959"/>
      <c r="O34" s="957"/>
      <c r="P34" s="957"/>
      <c r="Q34" s="957"/>
      <c r="R34" s="957"/>
      <c r="S34" s="958"/>
      <c r="T34" s="958"/>
      <c r="U34" s="901" t="str">
        <f t="shared" si="4"/>
        <v/>
      </c>
      <c r="V34" s="901"/>
      <c r="W34" s="390"/>
    </row>
    <row r="35" spans="1:23">
      <c r="A35" s="959">
        <f>Data!B113</f>
        <v>0</v>
      </c>
      <c r="B35" s="959"/>
      <c r="C35" s="959"/>
      <c r="D35" s="960"/>
      <c r="E35" s="961"/>
      <c r="F35" s="935">
        <f>Data!F113</f>
        <v>0</v>
      </c>
      <c r="G35" s="964"/>
      <c r="H35" s="958"/>
      <c r="I35" s="965"/>
      <c r="J35" s="901">
        <f t="shared" si="3"/>
        <v>0</v>
      </c>
      <c r="K35" s="901"/>
      <c r="L35" s="959">
        <f t="shared" si="0"/>
        <v>0</v>
      </c>
      <c r="M35" s="959"/>
      <c r="N35" s="959"/>
      <c r="O35" s="957"/>
      <c r="P35" s="957"/>
      <c r="Q35" s="957"/>
      <c r="R35" s="957"/>
      <c r="S35" s="958"/>
      <c r="T35" s="958"/>
      <c r="U35" s="901" t="str">
        <f t="shared" si="4"/>
        <v/>
      </c>
      <c r="V35" s="901"/>
      <c r="W35" s="390"/>
    </row>
    <row r="36" spans="1:23">
      <c r="A36" s="959">
        <f>Data!B114</f>
        <v>0</v>
      </c>
      <c r="B36" s="959"/>
      <c r="C36" s="959"/>
      <c r="D36" s="960"/>
      <c r="E36" s="961"/>
      <c r="F36" s="935">
        <f>Data!F114</f>
        <v>0</v>
      </c>
      <c r="G36" s="964"/>
      <c r="H36" s="958"/>
      <c r="I36" s="965"/>
      <c r="J36" s="901">
        <f t="shared" si="3"/>
        <v>0</v>
      </c>
      <c r="K36" s="901"/>
      <c r="L36" s="959">
        <f t="shared" si="0"/>
        <v>0</v>
      </c>
      <c r="M36" s="959"/>
      <c r="N36" s="959"/>
      <c r="O36" s="957"/>
      <c r="P36" s="957"/>
      <c r="Q36" s="957"/>
      <c r="R36" s="957"/>
      <c r="S36" s="958"/>
      <c r="T36" s="958"/>
      <c r="U36" s="901" t="str">
        <f t="shared" si="4"/>
        <v/>
      </c>
      <c r="V36" s="901"/>
      <c r="W36" s="390"/>
    </row>
    <row r="37" spans="1:23">
      <c r="A37" s="959"/>
      <c r="B37" s="959"/>
      <c r="C37" s="959"/>
      <c r="D37" s="960"/>
      <c r="E37" s="961"/>
      <c r="F37" s="935">
        <f>Data!F115</f>
        <v>0</v>
      </c>
      <c r="G37" s="964"/>
      <c r="H37" s="958"/>
      <c r="I37" s="965"/>
      <c r="J37" s="901">
        <f t="shared" si="3"/>
        <v>0</v>
      </c>
      <c r="K37" s="901"/>
      <c r="L37" s="959" t="str">
        <f t="shared" si="0"/>
        <v/>
      </c>
      <c r="M37" s="959"/>
      <c r="N37" s="959"/>
      <c r="O37" s="957"/>
      <c r="P37" s="957"/>
      <c r="Q37" s="957"/>
      <c r="R37" s="957"/>
      <c r="S37" s="958"/>
      <c r="T37" s="958"/>
      <c r="U37" s="901" t="str">
        <f t="shared" si="4"/>
        <v/>
      </c>
      <c r="V37" s="901"/>
      <c r="W37" s="390"/>
    </row>
    <row r="38" spans="1:23">
      <c r="A38" s="959"/>
      <c r="B38" s="959"/>
      <c r="C38" s="959"/>
      <c r="D38" s="960"/>
      <c r="E38" s="961"/>
      <c r="F38" s="935">
        <f>Data!F116</f>
        <v>0</v>
      </c>
      <c r="G38" s="964"/>
      <c r="H38" s="958"/>
      <c r="I38" s="965"/>
      <c r="J38" s="901">
        <f t="shared" si="3"/>
        <v>0</v>
      </c>
      <c r="K38" s="901"/>
      <c r="L38" s="959" t="str">
        <f t="shared" si="0"/>
        <v/>
      </c>
      <c r="M38" s="959"/>
      <c r="N38" s="959"/>
      <c r="O38" s="957"/>
      <c r="P38" s="957"/>
      <c r="Q38" s="957"/>
      <c r="R38" s="957"/>
      <c r="S38" s="958"/>
      <c r="T38" s="958"/>
      <c r="U38" s="901" t="str">
        <f t="shared" si="4"/>
        <v/>
      </c>
      <c r="V38" s="901"/>
      <c r="W38" s="390"/>
    </row>
    <row r="39" spans="1:23">
      <c r="A39" s="959"/>
      <c r="B39" s="959"/>
      <c r="C39" s="959"/>
      <c r="D39" s="960"/>
      <c r="E39" s="961"/>
      <c r="F39" s="935">
        <f>Data!F117</f>
        <v>0</v>
      </c>
      <c r="G39" s="964"/>
      <c r="H39" s="958"/>
      <c r="I39" s="965"/>
      <c r="J39" s="901">
        <f t="shared" si="3"/>
        <v>0</v>
      </c>
      <c r="K39" s="901"/>
      <c r="L39" s="959" t="str">
        <f t="shared" si="0"/>
        <v/>
      </c>
      <c r="M39" s="959"/>
      <c r="N39" s="959"/>
      <c r="O39" s="957"/>
      <c r="P39" s="957"/>
      <c r="Q39" s="957"/>
      <c r="R39" s="957"/>
      <c r="S39" s="958"/>
      <c r="T39" s="958"/>
      <c r="U39" s="901" t="str">
        <f t="shared" si="4"/>
        <v/>
      </c>
      <c r="V39" s="901"/>
      <c r="W39" s="390"/>
    </row>
    <row r="40" spans="1:23">
      <c r="A40" s="959"/>
      <c r="B40" s="959"/>
      <c r="C40" s="959"/>
      <c r="D40" s="960"/>
      <c r="E40" s="961"/>
      <c r="F40" s="935">
        <f>Data!F118</f>
        <v>0</v>
      </c>
      <c r="G40" s="964"/>
      <c r="H40" s="958"/>
      <c r="I40" s="965"/>
      <c r="J40" s="901">
        <f t="shared" si="3"/>
        <v>0</v>
      </c>
      <c r="K40" s="901"/>
      <c r="L40" s="959" t="str">
        <f t="shared" si="0"/>
        <v/>
      </c>
      <c r="M40" s="959"/>
      <c r="N40" s="959"/>
      <c r="O40" s="957"/>
      <c r="P40" s="957"/>
      <c r="Q40" s="957"/>
      <c r="R40" s="957"/>
      <c r="S40" s="958"/>
      <c r="T40" s="958"/>
      <c r="U40" s="901" t="str">
        <f t="shared" si="4"/>
        <v/>
      </c>
      <c r="V40" s="901"/>
      <c r="W40" s="390"/>
    </row>
    <row r="41" spans="1:23">
      <c r="A41" s="959"/>
      <c r="B41" s="959"/>
      <c r="C41" s="959"/>
      <c r="D41" s="960"/>
      <c r="E41" s="961"/>
      <c r="F41" s="935">
        <f>Data!F119</f>
        <v>0</v>
      </c>
      <c r="G41" s="964"/>
      <c r="H41" s="958"/>
      <c r="I41" s="965"/>
      <c r="J41" s="901">
        <f t="shared" si="3"/>
        <v>0</v>
      </c>
      <c r="K41" s="901"/>
      <c r="L41" s="959" t="str">
        <f t="shared" si="0"/>
        <v/>
      </c>
      <c r="M41" s="959"/>
      <c r="N41" s="959"/>
      <c r="O41" s="957"/>
      <c r="P41" s="957"/>
      <c r="Q41" s="957"/>
      <c r="R41" s="957"/>
      <c r="S41" s="958"/>
      <c r="T41" s="958"/>
      <c r="U41" s="901" t="str">
        <f t="shared" si="4"/>
        <v/>
      </c>
      <c r="V41" s="901"/>
      <c r="W41" s="390"/>
    </row>
    <row r="42" spans="1:23">
      <c r="A42" s="959"/>
      <c r="B42" s="959"/>
      <c r="C42" s="959"/>
      <c r="D42" s="960"/>
      <c r="E42" s="961"/>
      <c r="F42" s="935">
        <f>Data!F120</f>
        <v>0</v>
      </c>
      <c r="G42" s="964"/>
      <c r="H42" s="958"/>
      <c r="I42" s="965"/>
      <c r="J42" s="901">
        <f t="shared" si="3"/>
        <v>0</v>
      </c>
      <c r="K42" s="901"/>
      <c r="L42" s="959" t="str">
        <f t="shared" si="0"/>
        <v/>
      </c>
      <c r="M42" s="959"/>
      <c r="N42" s="959"/>
      <c r="O42" s="957"/>
      <c r="P42" s="957"/>
      <c r="Q42" s="957"/>
      <c r="R42" s="957"/>
      <c r="S42" s="958"/>
      <c r="T42" s="958"/>
      <c r="U42" s="901" t="str">
        <f t="shared" si="4"/>
        <v/>
      </c>
      <c r="V42" s="901"/>
      <c r="W42" s="390"/>
    </row>
    <row r="43" spans="1:23">
      <c r="A43" s="959"/>
      <c r="B43" s="959"/>
      <c r="C43" s="959"/>
      <c r="D43" s="960"/>
      <c r="E43" s="961"/>
      <c r="F43" s="935">
        <f>Data!F121</f>
        <v>0</v>
      </c>
      <c r="G43" s="964"/>
      <c r="H43" s="958"/>
      <c r="I43" s="965"/>
      <c r="J43" s="901">
        <f t="shared" si="3"/>
        <v>0</v>
      </c>
      <c r="K43" s="901"/>
      <c r="L43" s="959" t="str">
        <f t="shared" si="0"/>
        <v/>
      </c>
      <c r="M43" s="959"/>
      <c r="N43" s="959"/>
      <c r="O43" s="957"/>
      <c r="P43" s="957"/>
      <c r="Q43" s="957"/>
      <c r="R43" s="957"/>
      <c r="S43" s="958"/>
      <c r="T43" s="958"/>
      <c r="U43" s="901" t="str">
        <f t="shared" si="4"/>
        <v/>
      </c>
      <c r="V43" s="901"/>
      <c r="W43" s="390"/>
    </row>
    <row r="44" spans="1:23">
      <c r="A44" s="959"/>
      <c r="B44" s="959"/>
      <c r="C44" s="959"/>
      <c r="D44" s="960"/>
      <c r="E44" s="961"/>
      <c r="F44" s="935">
        <f>Data!F122</f>
        <v>0</v>
      </c>
      <c r="G44" s="964"/>
      <c r="H44" s="958"/>
      <c r="I44" s="965"/>
      <c r="J44" s="901">
        <f t="shared" si="3"/>
        <v>0</v>
      </c>
      <c r="K44" s="901"/>
      <c r="L44" s="959" t="str">
        <f t="shared" si="0"/>
        <v/>
      </c>
      <c r="M44" s="959"/>
      <c r="N44" s="959"/>
      <c r="O44" s="957"/>
      <c r="P44" s="957"/>
      <c r="Q44" s="957"/>
      <c r="R44" s="957"/>
      <c r="S44" s="958"/>
      <c r="T44" s="958"/>
      <c r="U44" s="901" t="str">
        <f t="shared" si="4"/>
        <v/>
      </c>
      <c r="V44" s="901"/>
      <c r="W44" s="390"/>
    </row>
    <row r="45" spans="1:23">
      <c r="A45" s="959"/>
      <c r="B45" s="959"/>
      <c r="C45" s="959"/>
      <c r="D45" s="960"/>
      <c r="E45" s="961"/>
      <c r="F45" s="935">
        <f>Data!F123</f>
        <v>0</v>
      </c>
      <c r="G45" s="964"/>
      <c r="H45" s="958"/>
      <c r="I45" s="965"/>
      <c r="J45" s="901">
        <f t="shared" si="3"/>
        <v>0</v>
      </c>
      <c r="K45" s="901"/>
      <c r="L45" s="959" t="str">
        <f t="shared" si="0"/>
        <v/>
      </c>
      <c r="M45" s="959"/>
      <c r="N45" s="959"/>
      <c r="O45" s="957"/>
      <c r="P45" s="957"/>
      <c r="Q45" s="957"/>
      <c r="R45" s="957"/>
      <c r="S45" s="958"/>
      <c r="T45" s="958"/>
      <c r="U45" s="901" t="str">
        <f>IF(Q45="","",IF(S45="",0,+ROUND(Q45*S45,U443)))</f>
        <v/>
      </c>
      <c r="V45" s="901"/>
      <c r="W45" s="390"/>
    </row>
    <row r="46" spans="1:23" ht="15" thickBot="1">
      <c r="A46" s="390" t="s">
        <v>279</v>
      </c>
      <c r="B46" s="390"/>
      <c r="C46" s="390"/>
      <c r="D46" s="390"/>
      <c r="E46" s="390"/>
      <c r="F46" s="888">
        <f>IF(F16&lt;&gt;"",SUM(F16:F45),"")</f>
        <v>910</v>
      </c>
      <c r="G46" s="966"/>
      <c r="H46" s="400"/>
      <c r="I46" s="401"/>
      <c r="J46" s="888">
        <f>IF(J16="","",SUM(J16:J45))</f>
        <v>933.66</v>
      </c>
      <c r="K46" s="966"/>
      <c r="L46" s="432"/>
      <c r="M46" s="433"/>
      <c r="N46" s="433"/>
      <c r="O46" s="433"/>
      <c r="P46" s="401"/>
      <c r="Q46" s="888">
        <f>IF(Q16="","",SUM(Q16:Q45))</f>
        <v>0</v>
      </c>
      <c r="R46" s="966"/>
      <c r="S46" s="400"/>
      <c r="T46" s="401"/>
      <c r="U46" s="888">
        <f>IF(U16="","",SUM(U16:U45))</f>
        <v>0</v>
      </c>
      <c r="V46" s="966"/>
      <c r="W46" s="390"/>
    </row>
    <row r="47" spans="1:23" ht="6.75" customHeight="1">
      <c r="A47" s="390"/>
      <c r="B47" s="390"/>
      <c r="C47" s="390"/>
      <c r="D47" s="390"/>
      <c r="E47" s="390"/>
      <c r="F47" s="390"/>
      <c r="G47" s="390"/>
      <c r="H47" s="402"/>
      <c r="I47" s="402"/>
      <c r="J47" s="390"/>
      <c r="K47" s="390"/>
      <c r="L47" s="390"/>
      <c r="M47" s="390"/>
      <c r="N47" s="390"/>
      <c r="O47" s="390"/>
      <c r="P47" s="390"/>
      <c r="Q47" s="390"/>
      <c r="R47" s="390"/>
      <c r="S47" s="390"/>
      <c r="T47" s="390"/>
      <c r="U47" s="390"/>
      <c r="V47" s="390"/>
      <c r="W47" s="390"/>
    </row>
    <row r="48" spans="1:23" ht="15" thickBot="1">
      <c r="A48" s="398" t="s">
        <v>280</v>
      </c>
      <c r="B48" s="390"/>
      <c r="C48" s="390"/>
      <c r="D48" s="390"/>
      <c r="E48" s="390"/>
      <c r="F48" s="390"/>
      <c r="G48" s="390"/>
      <c r="H48" s="390"/>
      <c r="I48" s="390"/>
      <c r="J48" s="390"/>
      <c r="K48" s="397" t="s">
        <v>281</v>
      </c>
      <c r="L48" s="948">
        <f>IF([1]Données!K126="","",[1]Données!K126)</f>
        <v>1</v>
      </c>
      <c r="M48" s="948"/>
      <c r="N48" s="390" t="s">
        <v>282</v>
      </c>
      <c r="O48" s="390"/>
      <c r="P48" s="390"/>
      <c r="Q48" s="390"/>
      <c r="R48" s="390"/>
      <c r="S48" s="390"/>
      <c r="T48" s="390"/>
      <c r="U48" s="390"/>
      <c r="V48" s="390"/>
      <c r="W48" s="390"/>
    </row>
    <row r="49" spans="1:23" ht="26.25" customHeight="1">
      <c r="A49" s="949" t="s">
        <v>18</v>
      </c>
      <c r="B49" s="950"/>
      <c r="C49" s="951"/>
      <c r="D49" s="952" t="s">
        <v>274</v>
      </c>
      <c r="E49" s="953"/>
      <c r="F49" s="952" t="s">
        <v>275</v>
      </c>
      <c r="G49" s="954"/>
      <c r="H49" s="953"/>
      <c r="I49" s="952" t="s">
        <v>283</v>
      </c>
      <c r="J49" s="954"/>
      <c r="K49" s="955"/>
      <c r="L49" s="956" t="s">
        <v>18</v>
      </c>
      <c r="M49" s="950"/>
      <c r="N49" s="951"/>
      <c r="O49" s="962" t="s">
        <v>274</v>
      </c>
      <c r="P49" s="962"/>
      <c r="Q49" s="962" t="s">
        <v>275</v>
      </c>
      <c r="R49" s="962"/>
      <c r="S49" s="962"/>
      <c r="T49" s="962" t="s">
        <v>283</v>
      </c>
      <c r="U49" s="962"/>
      <c r="V49" s="963"/>
      <c r="W49" s="390"/>
    </row>
    <row r="50" spans="1:23" ht="12.75" customHeight="1">
      <c r="A50" s="932"/>
      <c r="B50" s="933"/>
      <c r="C50" s="934"/>
      <c r="D50" s="935"/>
      <c r="E50" s="936"/>
      <c r="F50" s="937"/>
      <c r="G50" s="938"/>
      <c r="H50" s="939"/>
      <c r="I50" s="937" t="str">
        <f>IF(F50="","",F50*L$48)</f>
        <v/>
      </c>
      <c r="J50" s="938"/>
      <c r="K50" s="940"/>
      <c r="L50" s="941" t="str">
        <f>IF(A50="","",A50)</f>
        <v/>
      </c>
      <c r="M50" s="942"/>
      <c r="N50" s="943"/>
      <c r="O50" s="944"/>
      <c r="P50" s="945"/>
      <c r="Q50" s="946"/>
      <c r="R50" s="946"/>
      <c r="S50" s="946"/>
      <c r="T50" s="946" t="str">
        <f>IF(Q50="","",Q50*L$48)</f>
        <v/>
      </c>
      <c r="U50" s="946"/>
      <c r="V50" s="947"/>
      <c r="W50" s="390"/>
    </row>
    <row r="51" spans="1:23">
      <c r="A51" s="875"/>
      <c r="B51" s="919"/>
      <c r="C51" s="920"/>
      <c r="D51" s="935"/>
      <c r="E51" s="936"/>
      <c r="F51" s="876"/>
      <c r="G51" s="923"/>
      <c r="H51" s="924"/>
      <c r="I51" s="876" t="str">
        <f>IF(F51="","",F51*L$48)</f>
        <v/>
      </c>
      <c r="J51" s="925"/>
      <c r="K51" s="926"/>
      <c r="L51" s="927" t="str">
        <f>IF(A51="","",A51)</f>
        <v/>
      </c>
      <c r="M51" s="928"/>
      <c r="N51" s="929"/>
      <c r="O51" s="930"/>
      <c r="P51" s="931"/>
      <c r="Q51" s="901"/>
      <c r="R51" s="901"/>
      <c r="S51" s="901"/>
      <c r="T51" s="901" t="str">
        <f>IF(Q51="","",Q51*L$48)</f>
        <v/>
      </c>
      <c r="U51" s="901"/>
      <c r="V51" s="902"/>
      <c r="W51" s="390"/>
    </row>
    <row r="52" spans="1:23">
      <c r="A52" s="875"/>
      <c r="B52" s="919"/>
      <c r="C52" s="920"/>
      <c r="D52" s="921"/>
      <c r="E52" s="922"/>
      <c r="F52" s="876"/>
      <c r="G52" s="923"/>
      <c r="H52" s="924"/>
      <c r="I52" s="876" t="str">
        <f>IF(F52="","",F52*L$48)</f>
        <v/>
      </c>
      <c r="J52" s="925"/>
      <c r="K52" s="926"/>
      <c r="L52" s="927" t="str">
        <f>IF(A52="","",A52)</f>
        <v/>
      </c>
      <c r="M52" s="928"/>
      <c r="N52" s="929"/>
      <c r="O52" s="930"/>
      <c r="P52" s="931"/>
      <c r="Q52" s="901"/>
      <c r="R52" s="901"/>
      <c r="S52" s="901"/>
      <c r="T52" s="901" t="str">
        <f>IF(Q52="","",Q52*L$48)</f>
        <v/>
      </c>
      <c r="U52" s="901"/>
      <c r="V52" s="902"/>
      <c r="W52" s="390"/>
    </row>
    <row r="53" spans="1:23" ht="15" thickBot="1">
      <c r="A53" s="903"/>
      <c r="B53" s="904"/>
      <c r="C53" s="905"/>
      <c r="D53" s="906" t="str">
        <f>IF([1]Données!D131="","",[1]Données!D131)</f>
        <v/>
      </c>
      <c r="E53" s="907"/>
      <c r="F53" s="882"/>
      <c r="G53" s="908"/>
      <c r="H53" s="909"/>
      <c r="I53" s="882" t="str">
        <f>IF(F53="","",F53*L$48)</f>
        <v/>
      </c>
      <c r="J53" s="910"/>
      <c r="K53" s="911"/>
      <c r="L53" s="912" t="str">
        <f>IF(A53="","",A53)</f>
        <v/>
      </c>
      <c r="M53" s="913"/>
      <c r="N53" s="914"/>
      <c r="O53" s="915"/>
      <c r="P53" s="916"/>
      <c r="Q53" s="917"/>
      <c r="R53" s="917"/>
      <c r="S53" s="917"/>
      <c r="T53" s="917" t="str">
        <f>IF(Q53="","",Q53*L$48)</f>
        <v/>
      </c>
      <c r="U53" s="917"/>
      <c r="V53" s="918"/>
      <c r="W53" s="390"/>
    </row>
    <row r="54" spans="1:23" ht="13.5" customHeight="1" thickBot="1">
      <c r="A54" s="887" t="s">
        <v>279</v>
      </c>
      <c r="B54" s="887"/>
      <c r="C54" s="390"/>
      <c r="D54" s="390"/>
      <c r="E54" s="390"/>
      <c r="F54" s="397"/>
      <c r="G54" s="397"/>
      <c r="H54" s="397"/>
      <c r="I54" s="888" t="str">
        <f>IF(I50="","",SUM(I50:I53))</f>
        <v/>
      </c>
      <c r="J54" s="889"/>
      <c r="K54" s="890"/>
      <c r="L54" s="891"/>
      <c r="M54" s="892"/>
      <c r="N54" s="390"/>
      <c r="O54" s="390"/>
      <c r="P54" s="390"/>
      <c r="Q54" s="397"/>
      <c r="R54" s="397"/>
      <c r="S54" s="397"/>
      <c r="T54" s="888" t="str">
        <f>IF(T50="","",SUM(T50:T53))</f>
        <v/>
      </c>
      <c r="U54" s="889"/>
      <c r="V54" s="890"/>
      <c r="W54" s="390"/>
    </row>
    <row r="55" spans="1:23" ht="6.75" customHeight="1">
      <c r="A55" s="390"/>
      <c r="B55" s="390"/>
      <c r="C55" s="390"/>
      <c r="D55" s="390"/>
      <c r="E55" s="390"/>
      <c r="F55" s="390"/>
      <c r="G55" s="390"/>
      <c r="H55" s="390"/>
      <c r="I55" s="390"/>
      <c r="J55" s="390"/>
      <c r="K55" s="390"/>
      <c r="L55" s="390"/>
      <c r="M55" s="390"/>
      <c r="N55" s="390"/>
      <c r="O55" s="390"/>
      <c r="P55" s="390"/>
      <c r="Q55" s="390"/>
      <c r="R55" s="390"/>
      <c r="S55" s="390"/>
      <c r="T55" s="390"/>
      <c r="U55" s="390"/>
      <c r="V55" s="390"/>
      <c r="W55" s="390"/>
    </row>
    <row r="56" spans="1:23" ht="15" thickBot="1">
      <c r="A56" s="398" t="s">
        <v>263</v>
      </c>
      <c r="B56" s="390"/>
      <c r="C56" s="390"/>
      <c r="D56" s="390"/>
      <c r="E56" s="390"/>
      <c r="F56" s="390"/>
      <c r="G56" s="390"/>
      <c r="H56" s="390"/>
      <c r="I56" s="390"/>
      <c r="J56" s="390"/>
      <c r="K56" s="390"/>
      <c r="L56" s="390"/>
      <c r="M56" s="390"/>
      <c r="N56" s="390"/>
      <c r="O56" s="390"/>
      <c r="P56" s="390"/>
      <c r="Q56" s="390"/>
      <c r="R56" s="390"/>
      <c r="S56" s="390"/>
      <c r="T56" s="390"/>
      <c r="U56" s="390"/>
      <c r="V56" s="390"/>
      <c r="W56" s="390"/>
    </row>
    <row r="57" spans="1:23">
      <c r="A57" s="893" t="s">
        <v>25</v>
      </c>
      <c r="B57" s="894"/>
      <c r="C57" s="894"/>
      <c r="D57" s="894"/>
      <c r="E57" s="894"/>
      <c r="F57" s="894"/>
      <c r="G57" s="894"/>
      <c r="H57" s="895"/>
      <c r="I57" s="896"/>
      <c r="J57" s="897"/>
      <c r="K57" s="898"/>
      <c r="L57" s="899"/>
      <c r="M57" s="899"/>
      <c r="N57" s="899"/>
      <c r="O57" s="900"/>
      <c r="P57" s="390"/>
      <c r="Q57" s="390"/>
      <c r="R57" s="390"/>
      <c r="S57" s="390"/>
      <c r="T57" s="390"/>
      <c r="U57" s="390"/>
      <c r="V57" s="390"/>
      <c r="W57" s="390"/>
    </row>
    <row r="58" spans="1:23">
      <c r="A58" s="875" t="s">
        <v>26</v>
      </c>
      <c r="B58" s="830"/>
      <c r="C58" s="830"/>
      <c r="D58" s="830"/>
      <c r="E58" s="830"/>
      <c r="F58" s="830"/>
      <c r="G58" s="830"/>
      <c r="H58" s="831"/>
      <c r="I58" s="876"/>
      <c r="J58" s="877"/>
      <c r="K58" s="878"/>
      <c r="L58" s="879"/>
      <c r="M58" s="879"/>
      <c r="N58" s="879"/>
      <c r="O58" s="880"/>
      <c r="P58" s="390"/>
      <c r="Q58" s="390"/>
      <c r="R58" s="390"/>
      <c r="S58" s="390"/>
      <c r="T58" s="390"/>
      <c r="U58" s="390"/>
      <c r="V58" s="390"/>
      <c r="W58" s="390"/>
    </row>
    <row r="59" spans="1:23" ht="15" thickBot="1">
      <c r="A59" s="881" t="s">
        <v>27</v>
      </c>
      <c r="B59" s="816"/>
      <c r="C59" s="816"/>
      <c r="D59" s="816"/>
      <c r="E59" s="816"/>
      <c r="F59" s="816"/>
      <c r="G59" s="816"/>
      <c r="H59" s="817"/>
      <c r="I59" s="882"/>
      <c r="J59" s="883"/>
      <c r="K59" s="884"/>
      <c r="L59" s="885"/>
      <c r="M59" s="885"/>
      <c r="N59" s="885"/>
      <c r="O59" s="886"/>
      <c r="P59" s="390"/>
      <c r="Q59" s="390"/>
      <c r="R59" s="390"/>
      <c r="S59" s="390"/>
      <c r="T59" s="390"/>
      <c r="U59" s="390"/>
      <c r="V59" s="390"/>
      <c r="W59" s="390"/>
    </row>
    <row r="60" spans="1:23" ht="15" thickBot="1">
      <c r="A60" s="867" t="s">
        <v>28</v>
      </c>
      <c r="B60" s="868"/>
      <c r="C60" s="868"/>
      <c r="D60" s="868"/>
      <c r="E60" s="868"/>
      <c r="F60" s="868"/>
      <c r="G60" s="868"/>
      <c r="H60" s="869"/>
      <c r="I60" s="870" t="str">
        <f>IF(I57="","",SUM(I57:I59))</f>
        <v/>
      </c>
      <c r="J60" s="871"/>
      <c r="K60" s="872"/>
      <c r="L60" s="873" t="str">
        <f>IF(L57="","",SUM(L57:M59))</f>
        <v/>
      </c>
      <c r="M60" s="873"/>
      <c r="N60" s="873"/>
      <c r="O60" s="874"/>
      <c r="P60" s="390"/>
      <c r="Q60" s="390"/>
      <c r="R60" s="390"/>
      <c r="S60" s="390"/>
      <c r="T60" s="390"/>
      <c r="U60" s="390"/>
      <c r="V60" s="390"/>
      <c r="W60" s="390"/>
    </row>
    <row r="61" spans="1:23">
      <c r="A61" s="403" t="s">
        <v>284</v>
      </c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  <c r="N61" s="390"/>
      <c r="O61" s="390"/>
      <c r="P61" s="390"/>
      <c r="Q61" s="390"/>
      <c r="R61" s="390"/>
      <c r="S61" s="390"/>
      <c r="T61" s="390"/>
      <c r="U61" s="390"/>
      <c r="V61" s="390"/>
      <c r="W61" s="390"/>
    </row>
    <row r="62" spans="1:23" ht="8.25" customHeight="1">
      <c r="A62" s="390"/>
      <c r="B62" s="390"/>
      <c r="C62" s="390"/>
      <c r="D62" s="390"/>
      <c r="E62" s="390"/>
      <c r="F62" s="390"/>
      <c r="G62" s="390"/>
      <c r="H62" s="390"/>
      <c r="I62" s="390"/>
      <c r="J62" s="390"/>
      <c r="K62" s="390"/>
      <c r="L62" s="390"/>
      <c r="M62" s="390"/>
      <c r="N62" s="390"/>
      <c r="O62" s="390"/>
      <c r="P62" s="390"/>
      <c r="Q62" s="390"/>
      <c r="R62" s="390"/>
      <c r="S62" s="390"/>
      <c r="T62" s="390"/>
      <c r="U62" s="390"/>
      <c r="V62" s="390"/>
      <c r="W62" s="390"/>
    </row>
    <row r="63" spans="1:23">
      <c r="A63" s="390"/>
      <c r="B63" s="390"/>
      <c r="C63" s="404" t="s">
        <v>228</v>
      </c>
      <c r="D63" s="390"/>
      <c r="E63" s="390"/>
      <c r="F63" s="390"/>
      <c r="G63" s="390"/>
      <c r="H63" s="390"/>
      <c r="I63" s="405"/>
      <c r="J63" s="390"/>
      <c r="K63" s="390"/>
      <c r="L63" s="390"/>
      <c r="M63" s="390"/>
      <c r="N63" s="390"/>
      <c r="O63" s="390"/>
      <c r="P63" s="390"/>
      <c r="Q63" s="390"/>
      <c r="R63" s="390"/>
      <c r="S63" s="390"/>
      <c r="T63" s="390"/>
      <c r="U63" s="406" t="s">
        <v>285</v>
      </c>
      <c r="V63" s="390"/>
      <c r="W63" s="390"/>
    </row>
    <row r="64" spans="1:23" ht="10.5" customHeight="1">
      <c r="A64" s="390"/>
      <c r="B64" s="390"/>
      <c r="C64" s="390"/>
      <c r="D64" s="390"/>
      <c r="E64" s="390"/>
      <c r="F64" s="390"/>
      <c r="G64" s="390"/>
      <c r="H64" s="390"/>
      <c r="I64" s="390"/>
      <c r="J64" s="390"/>
      <c r="K64" s="390"/>
      <c r="L64" s="390"/>
      <c r="M64" s="390"/>
      <c r="N64" s="390"/>
      <c r="O64" s="390"/>
      <c r="P64" s="390"/>
      <c r="Q64" s="390"/>
      <c r="R64" s="390"/>
      <c r="S64" s="390"/>
      <c r="T64" s="390"/>
      <c r="U64" s="390"/>
      <c r="V64" s="390"/>
      <c r="W64" s="390"/>
    </row>
    <row r="65" spans="1:24" ht="10.5" customHeight="1">
      <c r="A65" s="390"/>
      <c r="B65" s="390"/>
      <c r="C65" s="390"/>
      <c r="D65" s="390"/>
      <c r="E65" s="390"/>
      <c r="F65" s="390"/>
      <c r="G65" s="390"/>
      <c r="H65" s="390"/>
      <c r="I65" s="390"/>
      <c r="J65" s="390"/>
      <c r="K65" s="390"/>
      <c r="L65" s="390"/>
      <c r="M65" s="390"/>
      <c r="N65" s="390"/>
      <c r="O65" s="390"/>
      <c r="P65" s="390"/>
      <c r="Q65" s="390"/>
      <c r="R65" s="390"/>
      <c r="S65" s="390"/>
      <c r="T65" s="390"/>
      <c r="U65" s="390"/>
      <c r="V65" s="390"/>
      <c r="W65" s="390"/>
    </row>
    <row r="66" spans="1:24" ht="12" customHeight="1">
      <c r="A66" s="390"/>
      <c r="B66" s="390"/>
      <c r="C66" s="390"/>
      <c r="D66" s="390"/>
      <c r="E66" s="390"/>
      <c r="F66" s="390"/>
      <c r="G66" s="390"/>
      <c r="H66" s="390"/>
      <c r="I66" s="390"/>
      <c r="J66" s="390"/>
      <c r="K66" s="390"/>
      <c r="L66" s="390"/>
      <c r="M66" s="390"/>
      <c r="N66" s="390"/>
      <c r="O66" s="390"/>
      <c r="P66" s="390"/>
      <c r="Q66" s="390"/>
      <c r="R66" s="390"/>
      <c r="S66" s="390"/>
      <c r="T66" s="390"/>
      <c r="U66" s="390"/>
      <c r="V66" s="390"/>
      <c r="W66" s="390"/>
    </row>
    <row r="67" spans="1:24" ht="11.25" customHeight="1">
      <c r="A67" s="407" t="s">
        <v>286</v>
      </c>
      <c r="B67" s="390"/>
      <c r="C67" s="390"/>
      <c r="D67" s="390"/>
      <c r="E67" s="408"/>
      <c r="F67" s="408"/>
      <c r="G67" s="409"/>
      <c r="H67" s="409"/>
      <c r="I67" s="390"/>
      <c r="J67" s="390"/>
      <c r="K67" s="390"/>
      <c r="L67" s="390"/>
      <c r="M67" s="390"/>
      <c r="N67" s="390"/>
      <c r="O67" s="390"/>
      <c r="P67" s="390"/>
      <c r="Q67" s="390"/>
      <c r="R67" s="390"/>
      <c r="S67" s="390"/>
      <c r="T67" s="390"/>
      <c r="U67" s="390"/>
      <c r="V67" s="390"/>
      <c r="W67" s="390"/>
    </row>
    <row r="68" spans="1:24" ht="11.25" customHeight="1">
      <c r="A68" s="410"/>
      <c r="B68" s="390"/>
      <c r="C68" s="390"/>
      <c r="D68" s="390"/>
      <c r="E68" s="408"/>
      <c r="F68" s="408"/>
      <c r="G68" s="409"/>
      <c r="H68" s="409"/>
      <c r="I68" s="390"/>
      <c r="J68" s="390"/>
      <c r="K68" s="390"/>
      <c r="L68" s="390"/>
      <c r="M68" s="390"/>
      <c r="N68" s="390"/>
      <c r="O68" s="390"/>
      <c r="P68" s="390"/>
      <c r="Q68" s="390"/>
      <c r="R68" s="390"/>
      <c r="S68" s="390"/>
      <c r="T68" s="390"/>
      <c r="U68" s="390"/>
      <c r="V68" s="390"/>
      <c r="W68" s="390"/>
    </row>
    <row r="69" spans="1:24" customFormat="1" ht="11.25" customHeight="1">
      <c r="A69" s="354"/>
      <c r="C69" s="351"/>
    </row>
    <row r="70" spans="1:24" customFormat="1" ht="9.75" customHeight="1">
      <c r="A70" s="356"/>
      <c r="C70" s="337"/>
      <c r="D70" s="357" t="s">
        <v>232</v>
      </c>
      <c r="E70" s="356" t="s">
        <v>233</v>
      </c>
      <c r="F70" s="356"/>
      <c r="L70" s="357"/>
      <c r="M70" s="356"/>
      <c r="P70" s="358"/>
      <c r="Q70" s="356"/>
      <c r="R70" s="356"/>
      <c r="S70" s="356"/>
      <c r="T70" s="356"/>
      <c r="U70" s="356"/>
      <c r="V70" s="356"/>
      <c r="W70" s="356"/>
      <c r="X70" s="356"/>
    </row>
    <row r="71" spans="1:24" customFormat="1" ht="8.25" customHeight="1">
      <c r="A71" s="356"/>
      <c r="C71" s="337"/>
      <c r="D71" s="359"/>
      <c r="E71" s="359"/>
      <c r="M71" s="358"/>
      <c r="P71" s="356"/>
      <c r="Q71" s="356"/>
      <c r="R71" s="356"/>
      <c r="S71" s="356"/>
      <c r="T71" s="356"/>
      <c r="U71" s="356"/>
      <c r="V71" s="356"/>
      <c r="W71" s="356"/>
      <c r="X71" s="356"/>
    </row>
    <row r="72" spans="1:24">
      <c r="L72" s="411"/>
    </row>
  </sheetData>
  <sheetProtection algorithmName="SHA-512" hashValue="NrawLRoQX72f6VvdUgx+iXlEPD0B23WKxhDCYxTQE/NTuGyZ82nFTDVyLp9AfWSfTGskXA3KBD2qyC5PVlYRHw==" saltValue="ZPQdxmYEwMMnbd37s7ZMZA==" spinCount="100000" sheet="1" objects="1" scenarios="1"/>
  <protectedRanges>
    <protectedRange password="E509" sqref="N48 K48:L48" name="Plage5_1"/>
    <protectedRange password="E509" sqref="I57:I59 A57:B59 L57:L59" name="Plage4_1"/>
    <protectedRange password="E509" sqref="T50:T53 F50:F53 I50:I53 L50:L53 Q50:Q53" name="Plage3_1"/>
    <protectedRange password="E509" sqref="O50:O53 O16:O45 Q16:Q45 S16:S45" name="Plage2_1"/>
    <protectedRange password="E509" sqref="A50:A53 D16:D45 A16:A45 D50:D53 F16:F45 H16:H45" name="Plage1_6"/>
    <protectedRange password="E509" sqref="K9:L9" name="Plage1_1_1"/>
    <protectedRange password="E509" sqref="K7:K8 T7:U8 T6 S4:V5 N7:N8 K4:K5 N4:O5 O6:O8" name="Plage1_2_1"/>
    <protectedRange password="E509" sqref="K6" name="Plage1_3_1"/>
    <protectedRange password="E509" sqref="V10" name="Plage1_4_1"/>
    <protectedRange password="E509" sqref="H10 J10:P10" name="Plage1_5_1"/>
  </protectedRanges>
  <mergeCells count="389">
    <mergeCell ref="P2:S2"/>
    <mergeCell ref="U2:V2"/>
    <mergeCell ref="K4:N4"/>
    <mergeCell ref="O4:V4"/>
    <mergeCell ref="K5:N5"/>
    <mergeCell ref="O5:V5"/>
    <mergeCell ref="K8:N8"/>
    <mergeCell ref="O8:V8"/>
    <mergeCell ref="H10:P10"/>
    <mergeCell ref="H11:P11"/>
    <mergeCell ref="A13:K13"/>
    <mergeCell ref="L13:V13"/>
    <mergeCell ref="K6:N6"/>
    <mergeCell ref="O6:Q6"/>
    <mergeCell ref="R6:S6"/>
    <mergeCell ref="T6:V6"/>
    <mergeCell ref="K7:N7"/>
    <mergeCell ref="O7:V7"/>
    <mergeCell ref="O15:P15"/>
    <mergeCell ref="Q15:R15"/>
    <mergeCell ref="S15:T15"/>
    <mergeCell ref="U15:V15"/>
    <mergeCell ref="A16:C16"/>
    <mergeCell ref="D16:E16"/>
    <mergeCell ref="F16:G16"/>
    <mergeCell ref="H16:I16"/>
    <mergeCell ref="J16:K16"/>
    <mergeCell ref="L16:N16"/>
    <mergeCell ref="A15:C15"/>
    <mergeCell ref="D15:E15"/>
    <mergeCell ref="F15:G15"/>
    <mergeCell ref="H15:I15"/>
    <mergeCell ref="J15:K15"/>
    <mergeCell ref="L15:N15"/>
    <mergeCell ref="O16:P16"/>
    <mergeCell ref="Q16:R16"/>
    <mergeCell ref="S16:T16"/>
    <mergeCell ref="U16:V16"/>
    <mergeCell ref="U17:V17"/>
    <mergeCell ref="A18:C18"/>
    <mergeCell ref="D18:E18"/>
    <mergeCell ref="F18:G18"/>
    <mergeCell ref="H18:I18"/>
    <mergeCell ref="J18:K18"/>
    <mergeCell ref="L18:N18"/>
    <mergeCell ref="O18:P18"/>
    <mergeCell ref="Q18:R18"/>
    <mergeCell ref="S18:T18"/>
    <mergeCell ref="U18:V18"/>
    <mergeCell ref="A17:C17"/>
    <mergeCell ref="D17:E17"/>
    <mergeCell ref="F17:G17"/>
    <mergeCell ref="H17:I17"/>
    <mergeCell ref="J17:K17"/>
    <mergeCell ref="L17:N17"/>
    <mergeCell ref="O17:P17"/>
    <mergeCell ref="Q17:R17"/>
    <mergeCell ref="S17:T17"/>
    <mergeCell ref="U19:V19"/>
    <mergeCell ref="A20:C20"/>
    <mergeCell ref="D20:E20"/>
    <mergeCell ref="F20:G20"/>
    <mergeCell ref="H20:I20"/>
    <mergeCell ref="J20:K20"/>
    <mergeCell ref="L20:N20"/>
    <mergeCell ref="O20:P20"/>
    <mergeCell ref="Q20:R20"/>
    <mergeCell ref="S20:T20"/>
    <mergeCell ref="U20:V20"/>
    <mergeCell ref="A19:C19"/>
    <mergeCell ref="D19:E19"/>
    <mergeCell ref="F19:G19"/>
    <mergeCell ref="H19:I19"/>
    <mergeCell ref="J19:K19"/>
    <mergeCell ref="L19:N19"/>
    <mergeCell ref="O19:P19"/>
    <mergeCell ref="Q19:R19"/>
    <mergeCell ref="S19:T19"/>
    <mergeCell ref="U21:V21"/>
    <mergeCell ref="A22:C22"/>
    <mergeCell ref="D22:E22"/>
    <mergeCell ref="F22:G22"/>
    <mergeCell ref="H22:I22"/>
    <mergeCell ref="J22:K22"/>
    <mergeCell ref="L22:N22"/>
    <mergeCell ref="O22:P22"/>
    <mergeCell ref="Q22:R22"/>
    <mergeCell ref="S22:T22"/>
    <mergeCell ref="U22:V22"/>
    <mergeCell ref="A21:C21"/>
    <mergeCell ref="D21:E21"/>
    <mergeCell ref="F21:G21"/>
    <mergeCell ref="H21:I21"/>
    <mergeCell ref="J21:K21"/>
    <mergeCell ref="L21:N21"/>
    <mergeCell ref="O21:P21"/>
    <mergeCell ref="Q21:R21"/>
    <mergeCell ref="S21:T21"/>
    <mergeCell ref="U23:V23"/>
    <mergeCell ref="A24:C24"/>
    <mergeCell ref="D24:E24"/>
    <mergeCell ref="F24:G24"/>
    <mergeCell ref="H24:I24"/>
    <mergeCell ref="J24:K24"/>
    <mergeCell ref="L24:N24"/>
    <mergeCell ref="O24:P24"/>
    <mergeCell ref="Q24:R24"/>
    <mergeCell ref="S24:T24"/>
    <mergeCell ref="U24:V24"/>
    <mergeCell ref="A23:C23"/>
    <mergeCell ref="D23:E23"/>
    <mergeCell ref="F23:G23"/>
    <mergeCell ref="H23:I23"/>
    <mergeCell ref="J23:K23"/>
    <mergeCell ref="L23:N23"/>
    <mergeCell ref="O23:P23"/>
    <mergeCell ref="Q23:R23"/>
    <mergeCell ref="S23:T23"/>
    <mergeCell ref="U25:V25"/>
    <mergeCell ref="A26:C26"/>
    <mergeCell ref="D26:E26"/>
    <mergeCell ref="F26:G26"/>
    <mergeCell ref="H26:I26"/>
    <mergeCell ref="J26:K26"/>
    <mergeCell ref="L26:N26"/>
    <mergeCell ref="O26:P26"/>
    <mergeCell ref="Q26:R26"/>
    <mergeCell ref="S26:T26"/>
    <mergeCell ref="U26:V26"/>
    <mergeCell ref="A25:C25"/>
    <mergeCell ref="D25:E25"/>
    <mergeCell ref="F25:G25"/>
    <mergeCell ref="H25:I25"/>
    <mergeCell ref="J25:K25"/>
    <mergeCell ref="L25:N25"/>
    <mergeCell ref="O25:P25"/>
    <mergeCell ref="Q25:R25"/>
    <mergeCell ref="S25:T25"/>
    <mergeCell ref="U27:V27"/>
    <mergeCell ref="A28:C28"/>
    <mergeCell ref="D28:E28"/>
    <mergeCell ref="F28:G28"/>
    <mergeCell ref="H28:I28"/>
    <mergeCell ref="J28:K28"/>
    <mergeCell ref="L28:N28"/>
    <mergeCell ref="O28:P28"/>
    <mergeCell ref="Q28:R28"/>
    <mergeCell ref="S28:T28"/>
    <mergeCell ref="U28:V28"/>
    <mergeCell ref="A27:C27"/>
    <mergeCell ref="D27:E27"/>
    <mergeCell ref="F27:G27"/>
    <mergeCell ref="H27:I27"/>
    <mergeCell ref="J27:K27"/>
    <mergeCell ref="L27:N27"/>
    <mergeCell ref="O27:P27"/>
    <mergeCell ref="Q27:R27"/>
    <mergeCell ref="S27:T27"/>
    <mergeCell ref="U29:V29"/>
    <mergeCell ref="A30:C30"/>
    <mergeCell ref="D30:E30"/>
    <mergeCell ref="F30:G30"/>
    <mergeCell ref="H30:I30"/>
    <mergeCell ref="J30:K30"/>
    <mergeCell ref="L30:N30"/>
    <mergeCell ref="O30:P30"/>
    <mergeCell ref="Q30:R30"/>
    <mergeCell ref="S30:T30"/>
    <mergeCell ref="U30:V30"/>
    <mergeCell ref="A29:C29"/>
    <mergeCell ref="D29:E29"/>
    <mergeCell ref="F29:G29"/>
    <mergeCell ref="H29:I29"/>
    <mergeCell ref="J29:K29"/>
    <mergeCell ref="L29:N29"/>
    <mergeCell ref="O29:P29"/>
    <mergeCell ref="Q29:R29"/>
    <mergeCell ref="S29:T29"/>
    <mergeCell ref="U31:V31"/>
    <mergeCell ref="A32:C32"/>
    <mergeCell ref="D32:E32"/>
    <mergeCell ref="F32:G32"/>
    <mergeCell ref="H32:I32"/>
    <mergeCell ref="J32:K32"/>
    <mergeCell ref="L32:N32"/>
    <mergeCell ref="O32:P32"/>
    <mergeCell ref="Q32:R32"/>
    <mergeCell ref="S32:T32"/>
    <mergeCell ref="U32:V32"/>
    <mergeCell ref="A31:C31"/>
    <mergeCell ref="D31:E31"/>
    <mergeCell ref="F31:G31"/>
    <mergeCell ref="H31:I31"/>
    <mergeCell ref="J31:K31"/>
    <mergeCell ref="L31:N31"/>
    <mergeCell ref="O31:P31"/>
    <mergeCell ref="Q31:R31"/>
    <mergeCell ref="S31:T31"/>
    <mergeCell ref="U33:V33"/>
    <mergeCell ref="A34:C34"/>
    <mergeCell ref="D34:E34"/>
    <mergeCell ref="F34:G34"/>
    <mergeCell ref="H34:I34"/>
    <mergeCell ref="J34:K34"/>
    <mergeCell ref="L34:N34"/>
    <mergeCell ref="O34:P34"/>
    <mergeCell ref="Q34:R34"/>
    <mergeCell ref="S34:T34"/>
    <mergeCell ref="U34:V34"/>
    <mergeCell ref="A33:C33"/>
    <mergeCell ref="D33:E33"/>
    <mergeCell ref="F33:G33"/>
    <mergeCell ref="H33:I33"/>
    <mergeCell ref="J33:K33"/>
    <mergeCell ref="L33:N33"/>
    <mergeCell ref="O33:P33"/>
    <mergeCell ref="Q33:R33"/>
    <mergeCell ref="S33:T33"/>
    <mergeCell ref="U35:V35"/>
    <mergeCell ref="A36:C36"/>
    <mergeCell ref="D36:E36"/>
    <mergeCell ref="F36:G36"/>
    <mergeCell ref="H36:I36"/>
    <mergeCell ref="J36:K36"/>
    <mergeCell ref="L36:N36"/>
    <mergeCell ref="O36:P36"/>
    <mergeCell ref="Q36:R36"/>
    <mergeCell ref="S36:T36"/>
    <mergeCell ref="U36:V36"/>
    <mergeCell ref="A35:C35"/>
    <mergeCell ref="D35:E35"/>
    <mergeCell ref="F35:G35"/>
    <mergeCell ref="H35:I35"/>
    <mergeCell ref="J35:K35"/>
    <mergeCell ref="L35:N35"/>
    <mergeCell ref="O35:P35"/>
    <mergeCell ref="Q35:R35"/>
    <mergeCell ref="S35:T35"/>
    <mergeCell ref="U37:V37"/>
    <mergeCell ref="A38:C38"/>
    <mergeCell ref="D38:E38"/>
    <mergeCell ref="F38:G38"/>
    <mergeCell ref="H38:I38"/>
    <mergeCell ref="J38:K38"/>
    <mergeCell ref="L38:N38"/>
    <mergeCell ref="O38:P38"/>
    <mergeCell ref="Q38:R38"/>
    <mergeCell ref="S38:T38"/>
    <mergeCell ref="U38:V38"/>
    <mergeCell ref="A37:C37"/>
    <mergeCell ref="D37:E37"/>
    <mergeCell ref="F37:G37"/>
    <mergeCell ref="H37:I37"/>
    <mergeCell ref="J37:K37"/>
    <mergeCell ref="L37:N37"/>
    <mergeCell ref="O37:P37"/>
    <mergeCell ref="Q37:R37"/>
    <mergeCell ref="S37:T37"/>
    <mergeCell ref="S41:T41"/>
    <mergeCell ref="U39:V39"/>
    <mergeCell ref="A40:C40"/>
    <mergeCell ref="D40:E40"/>
    <mergeCell ref="F40:G40"/>
    <mergeCell ref="H40:I40"/>
    <mergeCell ref="J40:K40"/>
    <mergeCell ref="L40:N40"/>
    <mergeCell ref="O40:P40"/>
    <mergeCell ref="Q40:R40"/>
    <mergeCell ref="S40:T40"/>
    <mergeCell ref="U40:V40"/>
    <mergeCell ref="A39:C39"/>
    <mergeCell ref="D39:E39"/>
    <mergeCell ref="F39:G39"/>
    <mergeCell ref="H39:I39"/>
    <mergeCell ref="J39:K39"/>
    <mergeCell ref="L39:N39"/>
    <mergeCell ref="O39:P39"/>
    <mergeCell ref="Q39:R39"/>
    <mergeCell ref="S39:T39"/>
    <mergeCell ref="J43:K43"/>
    <mergeCell ref="L43:N43"/>
    <mergeCell ref="O43:P43"/>
    <mergeCell ref="Q43:R43"/>
    <mergeCell ref="S43:T43"/>
    <mergeCell ref="U41:V41"/>
    <mergeCell ref="A42:C42"/>
    <mergeCell ref="D42:E42"/>
    <mergeCell ref="F42:G42"/>
    <mergeCell ref="H42:I42"/>
    <mergeCell ref="J42:K42"/>
    <mergeCell ref="L42:N42"/>
    <mergeCell ref="O42:P42"/>
    <mergeCell ref="Q42:R42"/>
    <mergeCell ref="S42:T42"/>
    <mergeCell ref="U42:V42"/>
    <mergeCell ref="A41:C41"/>
    <mergeCell ref="D41:E41"/>
    <mergeCell ref="F41:G41"/>
    <mergeCell ref="H41:I41"/>
    <mergeCell ref="J41:K41"/>
    <mergeCell ref="L41:N41"/>
    <mergeCell ref="O41:P41"/>
    <mergeCell ref="Q41:R41"/>
    <mergeCell ref="U43:V43"/>
    <mergeCell ref="A44:C44"/>
    <mergeCell ref="D44:E44"/>
    <mergeCell ref="F44:G44"/>
    <mergeCell ref="H44:I44"/>
    <mergeCell ref="J44:K44"/>
    <mergeCell ref="L44:N44"/>
    <mergeCell ref="U45:V45"/>
    <mergeCell ref="F46:G46"/>
    <mergeCell ref="J46:K46"/>
    <mergeCell ref="Q46:R46"/>
    <mergeCell ref="U46:V46"/>
    <mergeCell ref="O44:P44"/>
    <mergeCell ref="Q44:R44"/>
    <mergeCell ref="S44:T44"/>
    <mergeCell ref="U44:V44"/>
    <mergeCell ref="F45:G45"/>
    <mergeCell ref="H45:I45"/>
    <mergeCell ref="J45:K45"/>
    <mergeCell ref="L45:N45"/>
    <mergeCell ref="A43:C43"/>
    <mergeCell ref="D43:E43"/>
    <mergeCell ref="F43:G43"/>
    <mergeCell ref="H43:I43"/>
    <mergeCell ref="L48:M48"/>
    <mergeCell ref="A49:C49"/>
    <mergeCell ref="D49:E49"/>
    <mergeCell ref="F49:H49"/>
    <mergeCell ref="I49:K49"/>
    <mergeCell ref="L49:N49"/>
    <mergeCell ref="O45:P45"/>
    <mergeCell ref="Q45:R45"/>
    <mergeCell ref="S45:T45"/>
    <mergeCell ref="A45:C45"/>
    <mergeCell ref="D45:E45"/>
    <mergeCell ref="O49:P49"/>
    <mergeCell ref="Q49:S49"/>
    <mergeCell ref="T49:V49"/>
    <mergeCell ref="A50:C50"/>
    <mergeCell ref="D50:E50"/>
    <mergeCell ref="F50:H50"/>
    <mergeCell ref="I50:K50"/>
    <mergeCell ref="L50:N50"/>
    <mergeCell ref="O50:P50"/>
    <mergeCell ref="Q50:S50"/>
    <mergeCell ref="T50:V50"/>
    <mergeCell ref="A51:C51"/>
    <mergeCell ref="D51:E51"/>
    <mergeCell ref="F51:H51"/>
    <mergeCell ref="I51:K51"/>
    <mergeCell ref="L51:N51"/>
    <mergeCell ref="O51:P51"/>
    <mergeCell ref="Q51:S51"/>
    <mergeCell ref="T51:V51"/>
    <mergeCell ref="A54:B54"/>
    <mergeCell ref="I54:K54"/>
    <mergeCell ref="L54:M54"/>
    <mergeCell ref="T54:V54"/>
    <mergeCell ref="A57:H57"/>
    <mergeCell ref="I57:K57"/>
    <mergeCell ref="L57:O57"/>
    <mergeCell ref="Q52:S52"/>
    <mergeCell ref="T52:V52"/>
    <mergeCell ref="A53:C53"/>
    <mergeCell ref="D53:E53"/>
    <mergeCell ref="F53:H53"/>
    <mergeCell ref="I53:K53"/>
    <mergeCell ref="L53:N53"/>
    <mergeCell ref="O53:P53"/>
    <mergeCell ref="Q53:S53"/>
    <mergeCell ref="T53:V53"/>
    <mergeCell ref="A52:C52"/>
    <mergeCell ref="D52:E52"/>
    <mergeCell ref="F52:H52"/>
    <mergeCell ref="I52:K52"/>
    <mergeCell ref="L52:N52"/>
    <mergeCell ref="O52:P52"/>
    <mergeCell ref="A60:H60"/>
    <mergeCell ref="I60:K60"/>
    <mergeCell ref="L60:O60"/>
    <mergeCell ref="A58:H58"/>
    <mergeCell ref="I58:K58"/>
    <mergeCell ref="L58:O58"/>
    <mergeCell ref="A59:H59"/>
    <mergeCell ref="I59:K59"/>
    <mergeCell ref="L59:O59"/>
  </mergeCells>
  <pageMargins left="0.7" right="0.7" top="0.75" bottom="0.75" header="0.3" footer="0.3"/>
  <pageSetup paperSize="9" scale="73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13D35-DFE7-447B-9DA6-54D1C343D954}">
  <sheetPr codeName="Feuil7"/>
  <dimension ref="C1:X30"/>
  <sheetViews>
    <sheetView workbookViewId="0">
      <selection activeCell="K3" sqref="K3"/>
    </sheetView>
  </sheetViews>
  <sheetFormatPr baseColWidth="10" defaultRowHeight="14.5"/>
  <cols>
    <col min="1" max="1" width="4.81640625" customWidth="1"/>
    <col min="2" max="2" width="1.08984375" customWidth="1"/>
    <col min="3" max="3" width="10.81640625" bestFit="1" customWidth="1"/>
    <col min="4" max="4" width="4.81640625" bestFit="1" customWidth="1"/>
    <col min="5" max="5" width="5" customWidth="1"/>
    <col min="6" max="6" width="8.90625" bestFit="1" customWidth="1"/>
    <col min="7" max="7" width="5.81640625" bestFit="1" customWidth="1"/>
    <col min="8" max="8" width="8.54296875" bestFit="1" customWidth="1"/>
    <col min="9" max="9" width="5.453125" customWidth="1"/>
    <col min="10" max="10" width="8.54296875" customWidth="1"/>
    <col min="11" max="11" width="9.54296875" bestFit="1" customWidth="1"/>
    <col min="12" max="12" width="6.1796875" customWidth="1"/>
    <col min="13" max="13" width="6.7265625" customWidth="1"/>
    <col min="14" max="14" width="12.54296875" bestFit="1" customWidth="1"/>
    <col min="15" max="15" width="12" bestFit="1" customWidth="1"/>
    <col min="17" max="17" width="12.54296875" bestFit="1" customWidth="1"/>
    <col min="19" max="19" width="13.26953125" customWidth="1"/>
  </cols>
  <sheetData>
    <row r="1" spans="3:24">
      <c r="C1" t="s">
        <v>52</v>
      </c>
      <c r="Q1" s="5" t="s">
        <v>6</v>
      </c>
    </row>
    <row r="2" spans="3:24">
      <c r="Q2" s="5" t="s">
        <v>7</v>
      </c>
    </row>
    <row r="3" spans="3:24">
      <c r="Q3" s="5" t="s">
        <v>8</v>
      </c>
    </row>
    <row r="4" spans="3:24">
      <c r="C4" t="s">
        <v>53</v>
      </c>
      <c r="D4" s="6">
        <v>2.4500000000000002</v>
      </c>
    </row>
    <row r="5" spans="3:24">
      <c r="D5" s="7"/>
      <c r="F5" t="s">
        <v>54</v>
      </c>
      <c r="G5" s="8"/>
      <c r="H5" s="2" t="s">
        <v>55</v>
      </c>
      <c r="I5" s="8"/>
      <c r="X5" s="9"/>
    </row>
    <row r="6" spans="3:24">
      <c r="C6" t="s">
        <v>56</v>
      </c>
      <c r="D6" s="6"/>
      <c r="X6" s="9"/>
    </row>
    <row r="7" spans="3:24">
      <c r="D7" s="7"/>
      <c r="K7" t="s">
        <v>57</v>
      </c>
      <c r="L7" s="8"/>
      <c r="Q7" t="s">
        <v>58</v>
      </c>
      <c r="R7" t="s">
        <v>59</v>
      </c>
      <c r="X7" s="9" t="s">
        <v>60</v>
      </c>
    </row>
    <row r="8" spans="3:24">
      <c r="D8" s="7"/>
      <c r="G8" s="7"/>
      <c r="L8" s="7"/>
      <c r="S8" s="10" t="s">
        <v>60</v>
      </c>
      <c r="X8" s="9" t="s">
        <v>61</v>
      </c>
    </row>
    <row r="9" spans="3:24">
      <c r="C9" t="s">
        <v>62</v>
      </c>
      <c r="D9" s="6"/>
      <c r="G9" s="7"/>
      <c r="I9" s="7"/>
      <c r="L9" s="7"/>
      <c r="S9" s="11" t="s">
        <v>63</v>
      </c>
      <c r="T9" s="11"/>
      <c r="X9" s="9"/>
    </row>
    <row r="10" spans="3:24">
      <c r="D10" s="7"/>
      <c r="F10" t="s">
        <v>64</v>
      </c>
      <c r="G10" s="8"/>
      <c r="H10" s="2" t="s">
        <v>65</v>
      </c>
      <c r="I10" s="12"/>
      <c r="K10" t="s">
        <v>66</v>
      </c>
      <c r="L10" s="8"/>
      <c r="P10" t="s">
        <v>67</v>
      </c>
      <c r="Q10" t="s">
        <v>4</v>
      </c>
      <c r="R10" t="s">
        <v>68</v>
      </c>
      <c r="T10" t="s">
        <v>69</v>
      </c>
      <c r="X10" s="9"/>
    </row>
    <row r="11" spans="3:24">
      <c r="C11" t="s">
        <v>62</v>
      </c>
      <c r="D11" s="6"/>
      <c r="G11" s="7"/>
      <c r="I11" s="7"/>
      <c r="L11" s="7"/>
      <c r="N11" t="s">
        <v>70</v>
      </c>
      <c r="V11" t="s">
        <v>1</v>
      </c>
    </row>
    <row r="12" spans="3:24">
      <c r="D12" s="7"/>
      <c r="G12" s="7"/>
      <c r="I12" s="7"/>
      <c r="L12" s="7"/>
      <c r="N12" t="s">
        <v>71</v>
      </c>
      <c r="O12" s="8"/>
      <c r="P12" s="8"/>
      <c r="Q12" s="13"/>
      <c r="R12" s="13"/>
      <c r="T12" s="13"/>
      <c r="U12" s="14"/>
      <c r="V12" s="14"/>
    </row>
    <row r="13" spans="3:24">
      <c r="D13" s="7"/>
      <c r="G13" s="7"/>
      <c r="I13" s="7"/>
      <c r="K13" t="s">
        <v>71</v>
      </c>
      <c r="L13" s="8"/>
      <c r="N13" t="s">
        <v>72</v>
      </c>
    </row>
    <row r="14" spans="3:24">
      <c r="C14" t="s">
        <v>73</v>
      </c>
      <c r="D14" s="6"/>
      <c r="G14" s="7"/>
      <c r="I14" s="7"/>
    </row>
    <row r="15" spans="3:24">
      <c r="D15" s="7"/>
      <c r="F15" t="s">
        <v>74</v>
      </c>
      <c r="G15" s="8"/>
      <c r="H15" s="2" t="s">
        <v>75</v>
      </c>
      <c r="I15" s="8"/>
    </row>
    <row r="16" spans="3:24">
      <c r="C16" t="s">
        <v>73</v>
      </c>
      <c r="D16" s="6"/>
      <c r="G16" s="7"/>
      <c r="I16" s="7"/>
      <c r="P16" t="s">
        <v>76</v>
      </c>
      <c r="S16" t="s">
        <v>77</v>
      </c>
    </row>
    <row r="17" spans="6:21">
      <c r="G17" s="14"/>
      <c r="I17" s="14"/>
      <c r="J17" t="s">
        <v>78</v>
      </c>
      <c r="K17" s="15"/>
      <c r="L17" s="16" t="s">
        <v>6</v>
      </c>
      <c r="U17" t="s">
        <v>79</v>
      </c>
    </row>
    <row r="18" spans="6:21">
      <c r="F18" t="s">
        <v>80</v>
      </c>
      <c r="G18" s="8"/>
      <c r="H18" t="s">
        <v>81</v>
      </c>
      <c r="I18" s="8"/>
      <c r="J18" t="s">
        <v>82</v>
      </c>
      <c r="K18" s="15"/>
      <c r="L18" s="16" t="s">
        <v>8</v>
      </c>
      <c r="N18" t="s">
        <v>83</v>
      </c>
      <c r="O18" s="8"/>
      <c r="P18" s="13"/>
      <c r="R18" s="8"/>
      <c r="S18" s="13"/>
      <c r="U18" s="13"/>
    </row>
    <row r="19" spans="6:21">
      <c r="I19" s="7"/>
      <c r="J19" t="s">
        <v>84</v>
      </c>
      <c r="K19" s="15"/>
      <c r="L19" s="16" t="s">
        <v>7</v>
      </c>
    </row>
    <row r="20" spans="6:21">
      <c r="F20" t="s">
        <v>5</v>
      </c>
      <c r="G20" s="17"/>
    </row>
    <row r="22" spans="6:21">
      <c r="F22" t="s">
        <v>85</v>
      </c>
      <c r="G22" s="14"/>
      <c r="T22" s="18"/>
    </row>
    <row r="23" spans="6:21">
      <c r="P23" s="19"/>
      <c r="T23" s="18"/>
    </row>
    <row r="24" spans="6:21">
      <c r="F24" t="s">
        <v>86</v>
      </c>
      <c r="O24" t="s">
        <v>87</v>
      </c>
      <c r="P24" s="8"/>
      <c r="S24" t="s">
        <v>88</v>
      </c>
      <c r="T24" s="12"/>
    </row>
    <row r="25" spans="6:21">
      <c r="F25" t="s">
        <v>89</v>
      </c>
      <c r="J25" t="s">
        <v>90</v>
      </c>
      <c r="L25" s="1"/>
      <c r="P25" s="20"/>
      <c r="T25" s="21"/>
    </row>
    <row r="26" spans="6:21">
      <c r="O26" t="s">
        <v>91</v>
      </c>
      <c r="P26" s="8"/>
      <c r="S26" t="s">
        <v>92</v>
      </c>
      <c r="T26" s="12"/>
    </row>
    <row r="27" spans="6:21">
      <c r="J27" t="s">
        <v>93</v>
      </c>
      <c r="L27" s="22"/>
      <c r="P27" s="19"/>
      <c r="T27" s="18"/>
    </row>
    <row r="28" spans="6:21">
      <c r="O28" t="s">
        <v>94</v>
      </c>
      <c r="P28" s="8"/>
      <c r="T28" s="18"/>
    </row>
    <row r="29" spans="6:21">
      <c r="P29" s="19"/>
    </row>
    <row r="30" spans="6:21">
      <c r="P30" s="19"/>
    </row>
  </sheetData>
  <dataValidations count="2">
    <dataValidation type="list" allowBlank="1" showInputMessage="1" showErrorMessage="1" sqref="L17:L19" xr:uid="{1C2B930D-11F6-4848-B3BD-50F680B3226C}">
      <formula1>$Q$1:$Q$4</formula1>
    </dataValidation>
    <dataValidation type="list" allowBlank="1" showInputMessage="1" showErrorMessage="1" sqref="S8" xr:uid="{1C7D5698-DCC0-42E5-BC5B-9FEC5B3F9894}">
      <formula1>$X$7:$X$8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2]!Draft_Calculation">
                <anchor moveWithCells="1" sizeWithCells="1">
                  <from>
                    <xdr:col>13</xdr:col>
                    <xdr:colOff>31750</xdr:colOff>
                    <xdr:row>2</xdr:row>
                    <xdr:rowOff>12700</xdr:rowOff>
                  </from>
                  <to>
                    <xdr:col>14</xdr:col>
                    <xdr:colOff>203200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3]!Clear_Data">
                <anchor moveWithCells="1" sizeWithCells="1">
                  <from>
                    <xdr:col>15</xdr:col>
                    <xdr:colOff>19050</xdr:colOff>
                    <xdr:row>1</xdr:row>
                    <xdr:rowOff>107950</xdr:rowOff>
                  </from>
                  <to>
                    <xdr:col>16</xdr:col>
                    <xdr:colOff>552450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5ABF2-049C-45AF-B153-BC754FEFB769}">
  <sheetPr codeName="Feuil1"/>
  <dimension ref="A1:AP30"/>
  <sheetViews>
    <sheetView topLeftCell="P4" workbookViewId="0">
      <selection activeCell="AE35" sqref="AE35"/>
    </sheetView>
  </sheetViews>
  <sheetFormatPr baseColWidth="10" defaultRowHeight="14.5"/>
  <cols>
    <col min="1" max="3" width="4.1796875" customWidth="1"/>
    <col min="4" max="5" width="4.7265625" customWidth="1"/>
    <col min="6" max="7" width="5.453125" customWidth="1"/>
    <col min="8" max="9" width="4.7265625" customWidth="1"/>
    <col min="10" max="11" width="5.453125" customWidth="1"/>
    <col min="12" max="14" width="4.1796875" customWidth="1"/>
    <col min="15" max="16" width="4.7265625" customWidth="1"/>
    <col min="17" max="18" width="5.453125" customWidth="1"/>
    <col min="19" max="20" width="4.7265625" customWidth="1"/>
    <col min="21" max="22" width="5.453125" customWidth="1"/>
    <col min="24" max="30" width="4.7265625" customWidth="1"/>
    <col min="31" max="32" width="5.54296875" customWidth="1"/>
    <col min="33" max="38" width="4.7265625" customWidth="1"/>
    <col min="40" max="40" width="11.6328125" bestFit="1" customWidth="1"/>
  </cols>
  <sheetData>
    <row r="1" spans="1:42">
      <c r="A1" s="949" t="s">
        <v>18</v>
      </c>
      <c r="B1" s="950"/>
      <c r="C1" s="951"/>
      <c r="D1" s="952" t="s">
        <v>274</v>
      </c>
      <c r="E1" s="953"/>
      <c r="F1" s="952" t="s">
        <v>275</v>
      </c>
      <c r="G1" s="954"/>
      <c r="H1" s="953"/>
      <c r="I1" s="952" t="s">
        <v>283</v>
      </c>
      <c r="J1" s="954"/>
      <c r="K1" s="955"/>
      <c r="L1" s="956" t="s">
        <v>18</v>
      </c>
      <c r="M1" s="950"/>
      <c r="N1" s="951"/>
      <c r="O1" s="962" t="s">
        <v>274</v>
      </c>
      <c r="P1" s="962"/>
      <c r="Q1" s="962" t="s">
        <v>275</v>
      </c>
      <c r="R1" s="962"/>
      <c r="S1" s="962"/>
      <c r="T1" s="962" t="s">
        <v>283</v>
      </c>
      <c r="U1" s="962"/>
      <c r="V1" s="963"/>
    </row>
    <row r="2" spans="1:42">
      <c r="A2" s="932"/>
      <c r="B2" s="933"/>
      <c r="C2" s="934"/>
      <c r="D2" s="935"/>
      <c r="E2" s="936"/>
      <c r="F2" s="937"/>
      <c r="G2" s="938"/>
      <c r="H2" s="939"/>
      <c r="I2" s="937" t="str">
        <f>IF(F2="","",F2*E$8)</f>
        <v/>
      </c>
      <c r="J2" s="938"/>
      <c r="K2" s="940"/>
      <c r="L2" s="941" t="str">
        <f>IF(A2="","",A2)</f>
        <v/>
      </c>
      <c r="M2" s="942"/>
      <c r="N2" s="943"/>
      <c r="O2" s="944"/>
      <c r="P2" s="945"/>
      <c r="Q2" s="946"/>
      <c r="R2" s="946"/>
      <c r="S2" s="946"/>
      <c r="T2" s="946" t="str">
        <f>IF(Q2="","",Q2*E$8)</f>
        <v/>
      </c>
      <c r="U2" s="946"/>
      <c r="V2" s="947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</row>
    <row r="3" spans="1:42">
      <c r="A3" s="875"/>
      <c r="B3" s="919"/>
      <c r="C3" s="920"/>
      <c r="D3" s="935"/>
      <c r="E3" s="936"/>
      <c r="F3" s="876"/>
      <c r="G3" s="923"/>
      <c r="H3" s="924"/>
      <c r="I3" s="937" t="str">
        <f t="shared" ref="I3:I5" si="0">IF(F3="","",F3*E$8)</f>
        <v/>
      </c>
      <c r="J3" s="938"/>
      <c r="K3" s="940"/>
      <c r="L3" s="927" t="str">
        <f>IF(A3="","",A3)</f>
        <v/>
      </c>
      <c r="M3" s="928"/>
      <c r="N3" s="929"/>
      <c r="O3" s="930"/>
      <c r="P3" s="931"/>
      <c r="Q3" s="901"/>
      <c r="R3" s="901"/>
      <c r="S3" s="901"/>
      <c r="T3" s="946" t="str">
        <f t="shared" ref="T3:T5" si="1">IF(Q3="","",Q3*E$8)</f>
        <v/>
      </c>
      <c r="U3" s="946"/>
      <c r="V3" s="947"/>
      <c r="X3" s="435" t="s">
        <v>332</v>
      </c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</row>
    <row r="4" spans="1:42">
      <c r="A4" s="875"/>
      <c r="B4" s="919"/>
      <c r="C4" s="920"/>
      <c r="D4" s="921"/>
      <c r="E4" s="922"/>
      <c r="F4" s="876"/>
      <c r="G4" s="923"/>
      <c r="H4" s="924"/>
      <c r="I4" s="937" t="str">
        <f t="shared" si="0"/>
        <v/>
      </c>
      <c r="J4" s="938"/>
      <c r="K4" s="940"/>
      <c r="L4" s="927" t="str">
        <f>IF(A4="","",A4)</f>
        <v/>
      </c>
      <c r="M4" s="928"/>
      <c r="N4" s="929"/>
      <c r="O4" s="930"/>
      <c r="P4" s="931"/>
      <c r="Q4" s="901"/>
      <c r="R4" s="901"/>
      <c r="S4" s="901"/>
      <c r="T4" s="946" t="str">
        <f t="shared" si="1"/>
        <v/>
      </c>
      <c r="U4" s="946"/>
      <c r="V4" s="947"/>
      <c r="X4" s="436"/>
      <c r="Y4" s="1010" t="s">
        <v>333</v>
      </c>
      <c r="Z4" s="1010"/>
      <c r="AA4" s="1010"/>
      <c r="AB4" s="1011">
        <v>1.5</v>
      </c>
      <c r="AC4" s="1012"/>
      <c r="AD4" s="1013"/>
      <c r="AE4" s="1013"/>
      <c r="AF4" s="437"/>
      <c r="AG4" s="437"/>
      <c r="AH4" s="438"/>
      <c r="AI4" s="29"/>
      <c r="AJ4" s="29"/>
      <c r="AK4" s="29"/>
      <c r="AL4" s="29"/>
    </row>
    <row r="5" spans="1:42" ht="15" thickBot="1">
      <c r="A5" s="903"/>
      <c r="B5" s="904"/>
      <c r="C5" s="905"/>
      <c r="D5" s="906"/>
      <c r="E5" s="907"/>
      <c r="F5" s="882"/>
      <c r="G5" s="908"/>
      <c r="H5" s="909"/>
      <c r="I5" s="937" t="str">
        <f t="shared" si="0"/>
        <v/>
      </c>
      <c r="J5" s="938"/>
      <c r="K5" s="940"/>
      <c r="L5" s="912" t="str">
        <f>IF(A5="","",A5)</f>
        <v/>
      </c>
      <c r="M5" s="913"/>
      <c r="N5" s="914"/>
      <c r="O5" s="915"/>
      <c r="P5" s="916"/>
      <c r="Q5" s="917"/>
      <c r="R5" s="917"/>
      <c r="S5" s="917"/>
      <c r="T5" s="946" t="str">
        <f t="shared" si="1"/>
        <v/>
      </c>
      <c r="U5" s="946"/>
      <c r="V5" s="947"/>
      <c r="X5" s="439"/>
      <c r="Y5" s="29"/>
      <c r="Z5" s="29"/>
      <c r="AA5" s="29"/>
      <c r="AB5" s="29"/>
      <c r="AC5" s="29"/>
      <c r="AD5" s="1014" t="s">
        <v>334</v>
      </c>
      <c r="AE5" s="1014"/>
      <c r="AF5" s="1014"/>
      <c r="AG5" s="1014"/>
      <c r="AH5" s="440"/>
      <c r="AI5" s="29"/>
      <c r="AJ5" s="29"/>
      <c r="AK5" s="29"/>
      <c r="AL5" s="29"/>
      <c r="AO5" t="s">
        <v>347</v>
      </c>
      <c r="AP5" t="s">
        <v>358</v>
      </c>
    </row>
    <row r="6" spans="1:42" ht="15" thickBot="1">
      <c r="A6" s="887" t="s">
        <v>279</v>
      </c>
      <c r="B6" s="887"/>
      <c r="C6" s="390"/>
      <c r="D6" s="390"/>
      <c r="E6" s="390"/>
      <c r="F6" s="397"/>
      <c r="G6" s="397"/>
      <c r="H6" s="397"/>
      <c r="I6" s="888" t="str">
        <f>IF(I2="","",SUM(I2:I5))</f>
        <v/>
      </c>
      <c r="J6" s="889"/>
      <c r="K6" s="890"/>
      <c r="L6" s="891"/>
      <c r="M6" s="892"/>
      <c r="N6" s="390"/>
      <c r="O6" s="390"/>
      <c r="P6" s="390"/>
      <c r="Q6" s="397"/>
      <c r="R6" s="397"/>
      <c r="S6" s="397"/>
      <c r="T6" s="888" t="str">
        <f>IF(T2="","",SUM(T2:T5))</f>
        <v/>
      </c>
      <c r="U6" s="889"/>
      <c r="V6" s="890"/>
      <c r="X6" s="439"/>
      <c r="Y6" s="29"/>
      <c r="Z6" s="29"/>
      <c r="AA6" s="29"/>
      <c r="AB6" s="29"/>
      <c r="AC6" s="29"/>
      <c r="AD6" s="1015" t="s">
        <v>335</v>
      </c>
      <c r="AE6" s="1015"/>
      <c r="AF6" s="1015" t="s">
        <v>336</v>
      </c>
      <c r="AG6" s="1015"/>
      <c r="AH6" s="440"/>
      <c r="AI6" s="29"/>
      <c r="AJ6" s="1022" t="s">
        <v>337</v>
      </c>
      <c r="AK6" s="1023"/>
      <c r="AL6" s="29"/>
      <c r="AO6" t="s">
        <v>348</v>
      </c>
      <c r="AP6" t="s">
        <v>342</v>
      </c>
    </row>
    <row r="7" spans="1:42">
      <c r="X7" s="439"/>
      <c r="Y7" s="29"/>
      <c r="Z7" s="29"/>
      <c r="AA7" s="29"/>
      <c r="AB7" s="29"/>
      <c r="AC7" s="29"/>
      <c r="AD7" s="1024">
        <v>1</v>
      </c>
      <c r="AE7" s="1024"/>
      <c r="AF7" s="1024">
        <v>2</v>
      </c>
      <c r="AG7" s="1024"/>
      <c r="AH7" s="440"/>
      <c r="AI7" s="29"/>
      <c r="AJ7" s="1025">
        <f>+AB4</f>
        <v>1.5</v>
      </c>
      <c r="AK7" s="1026"/>
      <c r="AL7" s="29"/>
      <c r="AO7" t="s">
        <v>6</v>
      </c>
      <c r="AP7" t="s">
        <v>359</v>
      </c>
    </row>
    <row r="8" spans="1:42">
      <c r="B8" t="s">
        <v>331</v>
      </c>
      <c r="E8">
        <v>1</v>
      </c>
      <c r="X8" s="439"/>
      <c r="Y8" s="1027" t="s">
        <v>338</v>
      </c>
      <c r="Z8" s="1027"/>
      <c r="AA8" s="1027"/>
      <c r="AB8" s="1028">
        <v>10</v>
      </c>
      <c r="AC8" s="1029"/>
      <c r="AD8" s="1009">
        <v>2</v>
      </c>
      <c r="AE8" s="1009"/>
      <c r="AF8" s="1009">
        <v>4</v>
      </c>
      <c r="AG8" s="1009"/>
      <c r="AH8" s="440"/>
      <c r="AI8" s="29"/>
      <c r="AJ8" s="1016">
        <f>(((AF8-AD8)/(AF7-AD7))*(AB4-AD7))+AD8</f>
        <v>3</v>
      </c>
      <c r="AK8" s="1017"/>
      <c r="AL8" s="29"/>
      <c r="AM8">
        <f>AN14</f>
        <v>0</v>
      </c>
      <c r="AO8" t="s">
        <v>349</v>
      </c>
      <c r="AP8" t="s">
        <v>360</v>
      </c>
    </row>
    <row r="9" spans="1:42">
      <c r="X9" s="439"/>
      <c r="Y9" s="1027" t="s">
        <v>339</v>
      </c>
      <c r="Z9" s="1027"/>
      <c r="AA9" s="1027"/>
      <c r="AB9" s="1028">
        <v>4</v>
      </c>
      <c r="AC9" s="1029"/>
      <c r="AD9" s="1009">
        <v>1</v>
      </c>
      <c r="AE9" s="1009"/>
      <c r="AF9" s="1009">
        <v>3</v>
      </c>
      <c r="AG9" s="1009"/>
      <c r="AH9" s="440"/>
      <c r="AI9" s="29"/>
      <c r="AJ9" s="1016">
        <f>(((AF9-AD9)/(AF7-AD7))*(AB4-AD7))+AD9</f>
        <v>2</v>
      </c>
      <c r="AK9" s="1017"/>
      <c r="AL9" s="29"/>
      <c r="AO9" t="s">
        <v>350</v>
      </c>
    </row>
    <row r="10" spans="1:42">
      <c r="X10" s="439"/>
      <c r="Y10" s="29"/>
      <c r="Z10" s="29"/>
      <c r="AA10" s="29"/>
      <c r="AB10" s="29"/>
      <c r="AC10" s="29"/>
      <c r="AD10" s="29"/>
      <c r="AE10" s="29"/>
      <c r="AF10" s="29"/>
      <c r="AG10" s="29"/>
      <c r="AH10" s="440"/>
      <c r="AI10" s="29"/>
      <c r="AJ10" s="29"/>
      <c r="AK10" s="29"/>
      <c r="AL10" s="29"/>
      <c r="AO10" t="s">
        <v>351</v>
      </c>
    </row>
    <row r="11" spans="1:42" ht="15.5">
      <c r="X11" s="439"/>
      <c r="Y11" s="502" t="s">
        <v>340</v>
      </c>
      <c r="Z11" s="502"/>
      <c r="AA11" s="502"/>
      <c r="AB11" s="1018">
        <v>5</v>
      </c>
      <c r="AC11" s="1019"/>
      <c r="AD11" s="29"/>
      <c r="AE11" s="1020">
        <f>((AJ8-AJ9)/(AB8-AB9))*(AB11-AB9)+AJ9</f>
        <v>2.1666666666666665</v>
      </c>
      <c r="AF11" s="1021"/>
      <c r="AG11" s="29" t="s">
        <v>341</v>
      </c>
      <c r="AH11" s="440"/>
      <c r="AI11" s="29"/>
      <c r="AJ11" s="29"/>
      <c r="AK11" s="29"/>
      <c r="AL11" s="29"/>
      <c r="AO11" t="s">
        <v>352</v>
      </c>
    </row>
    <row r="12" spans="1:42">
      <c r="X12" s="441"/>
      <c r="Y12" s="442"/>
      <c r="Z12" s="442"/>
      <c r="AA12" s="442"/>
      <c r="AB12" s="442"/>
      <c r="AC12" s="442"/>
      <c r="AD12" s="442"/>
      <c r="AE12" s="442"/>
      <c r="AF12" s="442"/>
      <c r="AG12" s="442"/>
      <c r="AH12" s="443"/>
      <c r="AI12" s="29"/>
      <c r="AJ12" s="29"/>
      <c r="AK12" s="29"/>
      <c r="AL12" s="29"/>
      <c r="AO12" t="s">
        <v>353</v>
      </c>
    </row>
    <row r="13" spans="1:42">
      <c r="AO13" t="s">
        <v>354</v>
      </c>
    </row>
    <row r="14" spans="1:42">
      <c r="AB14" t="s">
        <v>335</v>
      </c>
      <c r="AD14" t="s">
        <v>347</v>
      </c>
      <c r="AO14" t="s">
        <v>355</v>
      </c>
    </row>
    <row r="15" spans="1:42">
      <c r="AB15" t="s">
        <v>342</v>
      </c>
      <c r="AD15" t="s">
        <v>348</v>
      </c>
      <c r="AO15" t="s">
        <v>356</v>
      </c>
    </row>
    <row r="16" spans="1:42">
      <c r="AB16" t="s">
        <v>343</v>
      </c>
      <c r="AD16" t="s">
        <v>352</v>
      </c>
      <c r="AO16" t="s">
        <v>357</v>
      </c>
    </row>
    <row r="18" spans="28:42">
      <c r="AB18" t="s">
        <v>344</v>
      </c>
      <c r="AD18" t="s">
        <v>361</v>
      </c>
    </row>
    <row r="19" spans="28:42">
      <c r="AB19" t="s">
        <v>345</v>
      </c>
      <c r="AD19" t="s">
        <v>362</v>
      </c>
    </row>
    <row r="20" spans="28:42">
      <c r="AB20" t="s">
        <v>346</v>
      </c>
      <c r="AD20" t="s">
        <v>363</v>
      </c>
    </row>
    <row r="22" spans="28:42">
      <c r="AB22" t="s">
        <v>364</v>
      </c>
      <c r="AH22" t="s">
        <v>350</v>
      </c>
    </row>
    <row r="23" spans="28:42">
      <c r="AB23" t="s">
        <v>365</v>
      </c>
      <c r="AH23" t="s">
        <v>351</v>
      </c>
      <c r="AP23" s="445"/>
    </row>
    <row r="24" spans="28:42">
      <c r="AB24" t="s">
        <v>366</v>
      </c>
      <c r="AH24" t="s">
        <v>6</v>
      </c>
      <c r="AN24" s="444" t="s">
        <v>379</v>
      </c>
    </row>
    <row r="25" spans="28:42">
      <c r="AB25" t="s">
        <v>367</v>
      </c>
      <c r="AH25" t="s">
        <v>349</v>
      </c>
      <c r="AM25" t="s">
        <v>370</v>
      </c>
      <c r="AN25" t="s">
        <v>369</v>
      </c>
      <c r="AO25" t="s">
        <v>373</v>
      </c>
    </row>
    <row r="27" spans="28:42">
      <c r="AH27" s="445" t="s">
        <v>355</v>
      </c>
      <c r="AN27" s="444" t="s">
        <v>378</v>
      </c>
    </row>
    <row r="28" spans="28:42">
      <c r="AH28" s="445"/>
      <c r="AM28" t="s">
        <v>371</v>
      </c>
      <c r="AN28" t="s">
        <v>372</v>
      </c>
      <c r="AO28" t="s">
        <v>374</v>
      </c>
    </row>
    <row r="29" spans="28:42">
      <c r="AH29" s="445" t="s">
        <v>354</v>
      </c>
      <c r="AN29" s="446" t="s">
        <v>368</v>
      </c>
    </row>
    <row r="30" spans="28:42">
      <c r="AM30" t="s">
        <v>375</v>
      </c>
      <c r="AN30" t="s">
        <v>376</v>
      </c>
      <c r="AO30" t="s">
        <v>377</v>
      </c>
    </row>
  </sheetData>
  <protectedRanges>
    <protectedRange password="E509" sqref="F2:F5 L2:L5 Q2:Q5 I2:I5 T2:T5" name="Plage3_1_5"/>
    <protectedRange password="E509" sqref="O2:O5" name="Plage2_1_5"/>
    <protectedRange password="E509" sqref="A2:A5 D2:D5" name="Plage1_6_5"/>
  </protectedRanges>
  <mergeCells count="67">
    <mergeCell ref="AJ9:AK9"/>
    <mergeCell ref="Y11:AA11"/>
    <mergeCell ref="AB11:AC11"/>
    <mergeCell ref="AE11:AF11"/>
    <mergeCell ref="AJ6:AK6"/>
    <mergeCell ref="AD7:AE7"/>
    <mergeCell ref="AF7:AG7"/>
    <mergeCell ref="AJ7:AK7"/>
    <mergeCell ref="Y8:AA8"/>
    <mergeCell ref="AB8:AC8"/>
    <mergeCell ref="AD8:AE8"/>
    <mergeCell ref="AF8:AG8"/>
    <mergeCell ref="AJ8:AK8"/>
    <mergeCell ref="Y9:AA9"/>
    <mergeCell ref="AB9:AC9"/>
    <mergeCell ref="AD9:AE9"/>
    <mergeCell ref="AF9:AG9"/>
    <mergeCell ref="Y4:AA4"/>
    <mergeCell ref="AB4:AC4"/>
    <mergeCell ref="AD4:AE4"/>
    <mergeCell ref="AD5:AG5"/>
    <mergeCell ref="AD6:AE6"/>
    <mergeCell ref="AF6:AG6"/>
    <mergeCell ref="Q5:S5"/>
    <mergeCell ref="T5:V5"/>
    <mergeCell ref="A6:B6"/>
    <mergeCell ref="I6:K6"/>
    <mergeCell ref="L6:M6"/>
    <mergeCell ref="T6:V6"/>
    <mergeCell ref="A5:C5"/>
    <mergeCell ref="D5:E5"/>
    <mergeCell ref="F5:H5"/>
    <mergeCell ref="I5:K5"/>
    <mergeCell ref="L5:N5"/>
    <mergeCell ref="O5:P5"/>
    <mergeCell ref="Q3:S3"/>
    <mergeCell ref="T3:V3"/>
    <mergeCell ref="A4:C4"/>
    <mergeCell ref="D4:E4"/>
    <mergeCell ref="F4:H4"/>
    <mergeCell ref="I4:K4"/>
    <mergeCell ref="L4:N4"/>
    <mergeCell ref="O4:P4"/>
    <mergeCell ref="Q4:S4"/>
    <mergeCell ref="T4:V4"/>
    <mergeCell ref="A3:C3"/>
    <mergeCell ref="D3:E3"/>
    <mergeCell ref="F3:H3"/>
    <mergeCell ref="I3:K3"/>
    <mergeCell ref="L3:N3"/>
    <mergeCell ref="O3:P3"/>
    <mergeCell ref="Q1:S1"/>
    <mergeCell ref="T1:V1"/>
    <mergeCell ref="A2:C2"/>
    <mergeCell ref="D2:E2"/>
    <mergeCell ref="F2:H2"/>
    <mergeCell ref="I2:K2"/>
    <mergeCell ref="L2:N2"/>
    <mergeCell ref="O2:P2"/>
    <mergeCell ref="Q2:S2"/>
    <mergeCell ref="T2:V2"/>
    <mergeCell ref="A1:C1"/>
    <mergeCell ref="D1:E1"/>
    <mergeCell ref="F1:H1"/>
    <mergeCell ref="I1:K1"/>
    <mergeCell ref="L1:N1"/>
    <mergeCell ref="O1:P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DD8B7-A6D0-4AD6-870F-3CF5DE702E17}">
  <sheetPr codeName="Feuil2"/>
  <dimension ref="A1"/>
  <sheetViews>
    <sheetView workbookViewId="0"/>
  </sheetViews>
  <sheetFormatPr baseColWidth="10" defaultRowHeight="14.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42F64C-6FDD-4A64-AEAB-619DD1B4D3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5</vt:i4>
      </vt:variant>
    </vt:vector>
  </HeadingPairs>
  <TitlesOfParts>
    <vt:vector size="14" baseType="lpstr">
      <vt:lpstr>Ships</vt:lpstr>
      <vt:lpstr>Data</vt:lpstr>
      <vt:lpstr>DS_REPORT</vt:lpstr>
      <vt:lpstr>Details</vt:lpstr>
      <vt:lpstr>Feuil1</vt:lpstr>
      <vt:lpstr>Deductibles</vt:lpstr>
      <vt:lpstr>Calcul</vt:lpstr>
      <vt:lpstr>Initial FW</vt:lpstr>
      <vt:lpstr>FinalFW</vt:lpstr>
      <vt:lpstr>TabFinalBallast</vt:lpstr>
      <vt:lpstr>TabInitialBallast</vt:lpstr>
      <vt:lpstr>Deductibles!Zone_d_impression</vt:lpstr>
      <vt:lpstr>Details!Zone_d_impression</vt:lpstr>
      <vt:lpstr>DS_REPORT!Zone_d_impression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Hicham Garroum</dc:creator>
  <cp:lastModifiedBy>Hicham Garoum</cp:lastModifiedBy>
  <cp:lastPrinted>2022-05-04T04:28:22Z</cp:lastPrinted>
  <dcterms:created xsi:type="dcterms:W3CDTF">2015-06-05T18:17:20Z</dcterms:created>
  <dcterms:modified xsi:type="dcterms:W3CDTF">2023-08-29T12:02:54Z</dcterms:modified>
</cp:coreProperties>
</file>