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\\ARCHLINUX\hideki\Dropbox\共有用（岩城先生-共立）\220722_TeX\19560341_UTF-8\Data\"/>
    </mc:Choice>
  </mc:AlternateContent>
  <xr:revisionPtr revIDLastSave="0" documentId="13_ncr:1_{C202CDF0-66AC-4305-AFEA-5719F27B3A54}" xr6:coauthVersionLast="47" xr6:coauthVersionMax="47" xr10:uidLastSave="{00000000-0000-0000-0000-000000000000}"/>
  <bookViews>
    <workbookView xWindow="-98" yWindow="-98" windowWidth="19396" windowHeight="9368" activeTab="10" xr2:uid="{00000000-000D-0000-FFFF-FFFF00000000}"/>
  </bookViews>
  <sheets>
    <sheet name="問6.1" sheetId="14" r:id="rId1"/>
    <sheet name="問6.2" sheetId="2" r:id="rId2"/>
    <sheet name="問6.3" sheetId="3" r:id="rId3"/>
    <sheet name="問6.4" sheetId="5" r:id="rId4"/>
    <sheet name="問6.5" sheetId="6" r:id="rId5"/>
    <sheet name="問6.6" sheetId="7" r:id="rId6"/>
    <sheet name="問6.7" sheetId="8" r:id="rId7"/>
    <sheet name="問6.8" sheetId="9" r:id="rId8"/>
    <sheet name="問6.10" sheetId="10" r:id="rId9"/>
    <sheet name="問6.12" sheetId="12" r:id="rId10"/>
    <sheet name="問6.13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4" l="1"/>
  <c r="B8" i="14"/>
  <c r="B5" i="14"/>
  <c r="C25" i="13"/>
  <c r="C24" i="13"/>
  <c r="E6" i="13"/>
  <c r="E5" i="13"/>
  <c r="D7" i="13"/>
  <c r="C7" i="13"/>
  <c r="B7" i="12"/>
  <c r="D3" i="12"/>
  <c r="C22" i="10"/>
  <c r="C21" i="10"/>
  <c r="F15" i="10"/>
  <c r="C15" i="10"/>
  <c r="F14" i="10"/>
  <c r="C14" i="10"/>
  <c r="F13" i="10"/>
  <c r="C13" i="10"/>
  <c r="F12" i="10"/>
  <c r="C12" i="10"/>
  <c r="F11" i="10"/>
  <c r="C11" i="10"/>
  <c r="F10" i="10"/>
  <c r="C10" i="10"/>
  <c r="F9" i="10"/>
  <c r="C9" i="10"/>
  <c r="F8" i="10"/>
  <c r="C8" i="10"/>
  <c r="F7" i="10"/>
  <c r="C7" i="10"/>
  <c r="F6" i="10"/>
  <c r="C6" i="10"/>
  <c r="F5" i="10"/>
  <c r="C5" i="10"/>
  <c r="F4" i="10"/>
  <c r="C4" i="10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5" i="9"/>
  <c r="C5" i="9"/>
  <c r="D5" i="9"/>
  <c r="D4" i="9"/>
  <c r="C4" i="9"/>
  <c r="B5" i="9"/>
  <c r="B4" i="9"/>
  <c r="B16" i="8"/>
  <c r="B15" i="8"/>
  <c r="D6" i="8"/>
  <c r="E6" i="8"/>
  <c r="F6" i="8"/>
  <c r="G6" i="8"/>
  <c r="C6" i="8"/>
  <c r="D5" i="8"/>
  <c r="D7" i="8" s="1"/>
  <c r="E5" i="8"/>
  <c r="E7" i="8" s="1"/>
  <c r="F5" i="8"/>
  <c r="F7" i="8" s="1"/>
  <c r="G5" i="8"/>
  <c r="G7" i="8" s="1"/>
  <c r="C5" i="8"/>
  <c r="C7" i="8" s="1"/>
  <c r="B10" i="8" s="1"/>
  <c r="D10" i="8" s="1"/>
  <c r="C24" i="7"/>
  <c r="C23" i="7"/>
  <c r="C22" i="7"/>
  <c r="C21" i="7"/>
  <c r="F15" i="7"/>
  <c r="C15" i="7"/>
  <c r="F14" i="7"/>
  <c r="C14" i="7"/>
  <c r="F13" i="7"/>
  <c r="C13" i="7"/>
  <c r="F12" i="7"/>
  <c r="C12" i="7"/>
  <c r="F11" i="7"/>
  <c r="C11" i="7"/>
  <c r="F10" i="7"/>
  <c r="C10" i="7"/>
  <c r="F9" i="7"/>
  <c r="C9" i="7"/>
  <c r="F8" i="7"/>
  <c r="C8" i="7"/>
  <c r="F7" i="7"/>
  <c r="C7" i="7"/>
  <c r="F6" i="7"/>
  <c r="C6" i="7"/>
  <c r="F5" i="7"/>
  <c r="C5" i="7"/>
  <c r="F4" i="7"/>
  <c r="F16" i="7" s="1"/>
  <c r="C4" i="7"/>
  <c r="C16" i="7" s="1"/>
  <c r="C20" i="6"/>
  <c r="F15" i="6"/>
  <c r="F14" i="6"/>
  <c r="F13" i="6"/>
  <c r="F12" i="6"/>
  <c r="F11" i="6"/>
  <c r="F10" i="6"/>
  <c r="F9" i="6"/>
  <c r="F8" i="6"/>
  <c r="F7" i="6"/>
  <c r="F6" i="6"/>
  <c r="F5" i="6"/>
  <c r="F4" i="6"/>
  <c r="F17" i="6" s="1"/>
  <c r="C5" i="6"/>
  <c r="C6" i="6"/>
  <c r="C7" i="6"/>
  <c r="C8" i="6"/>
  <c r="C9" i="6"/>
  <c r="C10" i="6"/>
  <c r="C11" i="6"/>
  <c r="C12" i="6"/>
  <c r="C13" i="6"/>
  <c r="C14" i="6"/>
  <c r="C15" i="6"/>
  <c r="C4" i="6"/>
  <c r="C17" i="6" s="1"/>
  <c r="E7" i="13" l="1"/>
  <c r="C13" i="13"/>
  <c r="C12" i="13"/>
  <c r="D13" i="13"/>
  <c r="D20" i="13" s="1"/>
  <c r="D12" i="13"/>
  <c r="C4" i="12"/>
  <c r="B4" i="12"/>
  <c r="B6" i="12" s="1"/>
  <c r="B8" i="12" s="1"/>
  <c r="C17" i="10"/>
  <c r="F17" i="10"/>
  <c r="C20" i="10" s="1"/>
  <c r="C15" i="9"/>
  <c r="D15" i="9"/>
  <c r="B15" i="9"/>
  <c r="C14" i="9"/>
  <c r="D14" i="9"/>
  <c r="B14" i="9"/>
  <c r="C13" i="9"/>
  <c r="D13" i="9"/>
  <c r="B13" i="9"/>
  <c r="C12" i="9"/>
  <c r="D12" i="9"/>
  <c r="B12" i="9"/>
  <c r="C11" i="9"/>
  <c r="D11" i="9"/>
  <c r="B11" i="9"/>
  <c r="C10" i="9"/>
  <c r="D10" i="9"/>
  <c r="B10" i="9"/>
  <c r="C9" i="9"/>
  <c r="D9" i="9"/>
  <c r="B9" i="9"/>
  <c r="C8" i="9"/>
  <c r="D8" i="9"/>
  <c r="B8" i="9"/>
  <c r="C7" i="9"/>
  <c r="D7" i="9"/>
  <c r="B7" i="9"/>
  <c r="C6" i="9"/>
  <c r="D6" i="9"/>
  <c r="B6" i="9"/>
  <c r="B9" i="8"/>
  <c r="B12" i="8" s="1"/>
  <c r="C17" i="7"/>
  <c r="F17" i="7"/>
  <c r="C19" i="6"/>
  <c r="C21" i="6" s="1"/>
  <c r="B12" i="5"/>
  <c r="B10" i="5"/>
  <c r="B6" i="5"/>
  <c r="B5" i="5"/>
  <c r="B11" i="5" s="1"/>
  <c r="B5" i="2"/>
  <c r="B6" i="3"/>
  <c r="B5" i="3"/>
  <c r="B10" i="3"/>
  <c r="B11" i="3"/>
  <c r="B12" i="3" s="1"/>
  <c r="B10" i="2"/>
  <c r="B11" i="2"/>
  <c r="B12" i="2" s="1"/>
  <c r="D19" i="13" l="1"/>
  <c r="D21" i="13" s="1"/>
  <c r="D14" i="13"/>
  <c r="C19" i="13"/>
  <c r="C14" i="13"/>
  <c r="E14" i="13" s="1"/>
  <c r="E12" i="13"/>
  <c r="C20" i="13"/>
  <c r="E20" i="13" s="1"/>
  <c r="E13" i="13"/>
  <c r="C16" i="9"/>
  <c r="D16" i="9"/>
  <c r="B16" i="9"/>
  <c r="B18" i="8"/>
  <c r="B17" i="8"/>
  <c r="C19" i="7"/>
  <c r="C20" i="7" s="1"/>
  <c r="C21" i="13" l="1"/>
  <c r="E21" i="13" s="1"/>
  <c r="C23" i="13" s="1"/>
  <c r="E19" i="13"/>
  <c r="C17" i="9"/>
  <c r="D17" i="9"/>
  <c r="B17" i="9"/>
  <c r="C18" i="9" l="1"/>
  <c r="D18" i="9"/>
  <c r="B18" i="9"/>
  <c r="C19" i="9" l="1"/>
  <c r="D19" i="9"/>
  <c r="B19" i="9"/>
  <c r="C20" i="9" l="1"/>
  <c r="D20" i="9"/>
  <c r="B20" i="9"/>
  <c r="C21" i="9" l="1"/>
  <c r="D21" i="9"/>
  <c r="B21" i="9"/>
  <c r="C22" i="9" l="1"/>
  <c r="D22" i="9"/>
  <c r="B22" i="9"/>
  <c r="C23" i="9" l="1"/>
  <c r="D23" i="9"/>
  <c r="B23" i="9"/>
  <c r="C24" i="9" l="1"/>
  <c r="D24" i="9"/>
  <c r="B24" i="9"/>
  <c r="C25" i="9" l="1"/>
  <c r="D25" i="9"/>
  <c r="B25" i="9"/>
  <c r="C26" i="9" l="1"/>
  <c r="D26" i="9"/>
  <c r="B26" i="9"/>
  <c r="C27" i="9" l="1"/>
  <c r="D27" i="9"/>
  <c r="B27" i="9"/>
  <c r="C28" i="9" l="1"/>
  <c r="D28" i="9"/>
  <c r="B28" i="9"/>
  <c r="C29" i="9" l="1"/>
  <c r="D29" i="9"/>
  <c r="B29" i="9"/>
  <c r="C30" i="9" l="1"/>
  <c r="D30" i="9"/>
  <c r="B30" i="9"/>
  <c r="C31" i="9" l="1"/>
  <c r="D31" i="9"/>
  <c r="B31" i="9"/>
  <c r="C32" i="9" l="1"/>
  <c r="D32" i="9"/>
  <c r="B32" i="9"/>
  <c r="C33" i="9" l="1"/>
  <c r="D33" i="9"/>
  <c r="B33" i="9"/>
  <c r="C34" i="9" l="1"/>
  <c r="D34" i="9"/>
  <c r="B34" i="9"/>
  <c r="C35" i="9" l="1"/>
  <c r="D35" i="9"/>
  <c r="B35" i="9"/>
  <c r="C36" i="9" l="1"/>
  <c r="D36" i="9"/>
  <c r="B36" i="9"/>
  <c r="C37" i="9" l="1"/>
  <c r="D37" i="9"/>
  <c r="B37" i="9"/>
  <c r="C38" i="9" l="1"/>
  <c r="D38" i="9"/>
  <c r="B38" i="9"/>
  <c r="C39" i="9" l="1"/>
  <c r="D39" i="9"/>
  <c r="B39" i="9"/>
  <c r="C40" i="9" l="1"/>
  <c r="D40" i="9"/>
  <c r="B40" i="9"/>
  <c r="C41" i="9" l="1"/>
  <c r="D41" i="9"/>
  <c r="B41" i="9"/>
  <c r="C42" i="9" l="1"/>
  <c r="D42" i="9"/>
  <c r="B42" i="9"/>
  <c r="C43" i="9" l="1"/>
  <c r="D43" i="9"/>
  <c r="B43" i="9"/>
  <c r="C44" i="9" l="1"/>
  <c r="D44" i="9"/>
  <c r="B44" i="9"/>
  <c r="C45" i="9" l="1"/>
  <c r="D45" i="9"/>
  <c r="B45" i="9"/>
  <c r="C46" i="9" l="1"/>
  <c r="D46" i="9"/>
  <c r="B46" i="9"/>
  <c r="C47" i="9" l="1"/>
  <c r="D47" i="9"/>
  <c r="B47" i="9"/>
  <c r="C48" i="9" l="1"/>
  <c r="D48" i="9"/>
  <c r="B48" i="9"/>
  <c r="C49" i="9" l="1"/>
  <c r="D49" i="9"/>
  <c r="B49" i="9"/>
  <c r="C50" i="9" l="1"/>
  <c r="D50" i="9"/>
  <c r="B50" i="9"/>
  <c r="C51" i="9" l="1"/>
  <c r="D51" i="9"/>
  <c r="B51" i="9"/>
  <c r="C52" i="9" l="1"/>
  <c r="D52" i="9"/>
  <c r="B52" i="9"/>
  <c r="C53" i="9" l="1"/>
  <c r="D53" i="9"/>
  <c r="B53" i="9"/>
  <c r="C54" i="9" l="1"/>
  <c r="D54" i="9"/>
  <c r="B54" i="9"/>
  <c r="C55" i="9" l="1"/>
  <c r="D55" i="9"/>
  <c r="B55" i="9"/>
  <c r="C56" i="9" l="1"/>
  <c r="D56" i="9"/>
  <c r="B56" i="9"/>
  <c r="C57" i="9" l="1"/>
  <c r="D57" i="9"/>
  <c r="B57" i="9"/>
  <c r="C58" i="9" l="1"/>
  <c r="D58" i="9"/>
  <c r="B58" i="9"/>
  <c r="C59" i="9" l="1"/>
  <c r="D59" i="9"/>
  <c r="B59" i="9"/>
  <c r="C60" i="9" l="1"/>
  <c r="D60" i="9"/>
  <c r="B60" i="9"/>
  <c r="C61" i="9" l="1"/>
  <c r="D61" i="9"/>
  <c r="B61" i="9"/>
  <c r="C62" i="9" l="1"/>
  <c r="D62" i="9"/>
  <c r="B62" i="9"/>
  <c r="C63" i="9" l="1"/>
  <c r="D63" i="9"/>
  <c r="B63" i="9"/>
  <c r="C64" i="9" l="1"/>
  <c r="D64" i="9"/>
  <c r="B64" i="9"/>
  <c r="C65" i="9" l="1"/>
  <c r="D65" i="9"/>
  <c r="B65" i="9"/>
  <c r="C66" i="9" l="1"/>
  <c r="D66" i="9"/>
  <c r="B66" i="9"/>
  <c r="C67" i="9" l="1"/>
  <c r="D67" i="9"/>
  <c r="B67" i="9"/>
  <c r="C68" i="9" l="1"/>
  <c r="D68" i="9"/>
  <c r="B68" i="9"/>
  <c r="C69" i="9" l="1"/>
  <c r="D69" i="9"/>
  <c r="B69" i="9"/>
  <c r="C70" i="9" l="1"/>
  <c r="D70" i="9"/>
  <c r="B70" i="9"/>
  <c r="C71" i="9" l="1"/>
  <c r="D71" i="9"/>
  <c r="B71" i="9"/>
  <c r="C72" i="9" l="1"/>
  <c r="D72" i="9"/>
  <c r="B72" i="9"/>
  <c r="C73" i="9" l="1"/>
  <c r="D73" i="9"/>
  <c r="B73" i="9"/>
  <c r="C74" i="9" l="1"/>
  <c r="D74" i="9"/>
  <c r="B74" i="9"/>
  <c r="C75" i="9" l="1"/>
  <c r="D75" i="9"/>
  <c r="B75" i="9"/>
  <c r="C76" i="9" l="1"/>
  <c r="D76" i="9"/>
  <c r="B76" i="9"/>
  <c r="C77" i="9" l="1"/>
  <c r="D77" i="9"/>
  <c r="B77" i="9"/>
  <c r="C78" i="9" l="1"/>
  <c r="D78" i="9"/>
  <c r="B78" i="9"/>
  <c r="C79" i="9" l="1"/>
  <c r="D79" i="9"/>
  <c r="B79" i="9"/>
  <c r="C80" i="9" l="1"/>
  <c r="D80" i="9"/>
  <c r="B80" i="9"/>
  <c r="C81" i="9" l="1"/>
  <c r="D81" i="9"/>
  <c r="B81" i="9"/>
  <c r="C82" i="9" l="1"/>
  <c r="D82" i="9"/>
  <c r="B82" i="9"/>
  <c r="C83" i="9" l="1"/>
  <c r="D83" i="9"/>
  <c r="B83" i="9"/>
  <c r="C84" i="9" l="1"/>
  <c r="D84" i="9"/>
  <c r="B84" i="9"/>
</calcChain>
</file>

<file path=xl/sharedStrings.xml><?xml version="1.0" encoding="utf-8"?>
<sst xmlns="http://schemas.openxmlformats.org/spreadsheetml/2006/main" count="153" uniqueCount="92">
  <si>
    <t>標本平均＝</t>
  </si>
  <si>
    <t>母分散＝</t>
  </si>
  <si>
    <r>
      <t>Z統計量</t>
    </r>
    <r>
      <rPr>
        <sz val="11"/>
        <color theme="1"/>
        <rFont val="Tahoma"/>
        <family val="2"/>
      </rPr>
      <t>₌</t>
    </r>
  </si>
  <si>
    <t>p値＝</t>
  </si>
  <si>
    <t>日付</t>
    <rPh sb="0" eb="2">
      <t>ヒヅケ</t>
    </rPh>
    <phoneticPr fontId="6"/>
  </si>
  <si>
    <t>円・ドル
為替レート
(￥/＄)</t>
    <rPh sb="0" eb="1">
      <t>エン</t>
    </rPh>
    <rPh sb="5" eb="7">
      <t>カワセ</t>
    </rPh>
    <phoneticPr fontId="6"/>
  </si>
  <si>
    <r>
      <rPr>
        <sz val="11"/>
        <color theme="1"/>
        <rFont val="ＭＳ ゴシック"/>
        <family val="3"/>
        <charset val="128"/>
      </rPr>
      <t>帰無仮説</t>
    </r>
    <r>
      <rPr>
        <sz val="11"/>
        <color theme="1"/>
        <rFont val="Arial"/>
        <scheme val="minor"/>
      </rPr>
      <t>:</t>
    </r>
    <r>
      <rPr>
        <sz val="11"/>
        <color theme="1"/>
        <rFont val="Calibri"/>
        <family val="2"/>
      </rPr>
      <t>μ</t>
    </r>
    <r>
      <rPr>
        <sz val="11"/>
        <color theme="1"/>
        <rFont val="Yu Gothic"/>
        <charset val="128"/>
      </rPr>
      <t>＝</t>
    </r>
    <phoneticPr fontId="6"/>
  </si>
  <si>
    <r>
      <rPr>
        <sz val="11"/>
        <color theme="1"/>
        <rFont val="ＭＳ ゴシック"/>
        <family val="3"/>
        <charset val="128"/>
      </rPr>
      <t>標準正規分布
右側</t>
    </r>
    <r>
      <rPr>
        <sz val="11"/>
        <color theme="1"/>
        <rFont val="Arial"/>
        <family val="3"/>
      </rPr>
      <t>2.5</t>
    </r>
    <r>
      <rPr>
        <sz val="11"/>
        <color theme="1"/>
        <rFont val="Arial"/>
        <family val="2"/>
        <scheme val="minor"/>
      </rPr>
      <t>%</t>
    </r>
    <r>
      <rPr>
        <sz val="11"/>
        <color theme="1"/>
        <rFont val="ＭＳ ゴシック"/>
        <family val="3"/>
        <charset val="128"/>
      </rPr>
      <t>点</t>
    </r>
    <r>
      <rPr>
        <sz val="11"/>
        <color theme="1"/>
        <rFont val="Arial"/>
        <family val="2"/>
        <scheme val="minor"/>
      </rPr>
      <t>=</t>
    </r>
    <phoneticPr fontId="6"/>
  </si>
  <si>
    <t>日付</t>
    <phoneticPr fontId="6"/>
  </si>
  <si>
    <t>問6.1</t>
    <rPh sb="0" eb="1">
      <t>トイ</t>
    </rPh>
    <phoneticPr fontId="6"/>
  </si>
  <si>
    <t>問6.2</t>
    <rPh sb="0" eb="1">
      <t>トイ</t>
    </rPh>
    <phoneticPr fontId="6"/>
  </si>
  <si>
    <r>
      <rPr>
        <sz val="11"/>
        <color theme="1"/>
        <rFont val="ＭＳ ゴシック"/>
        <family val="3"/>
        <charset val="128"/>
      </rPr>
      <t>標本平均</t>
    </r>
    <r>
      <rPr>
        <sz val="11"/>
        <color theme="1"/>
        <rFont val="Arial"/>
        <scheme val="minor"/>
      </rPr>
      <t>=</t>
    </r>
    <phoneticPr fontId="6"/>
  </si>
  <si>
    <r>
      <rPr>
        <sz val="11"/>
        <color theme="1"/>
        <rFont val="ＭＳ ゴシック"/>
        <family val="3"/>
        <charset val="128"/>
      </rPr>
      <t>標本分散</t>
    </r>
    <r>
      <rPr>
        <sz val="11"/>
        <color theme="1"/>
        <rFont val="Arial"/>
        <scheme val="minor"/>
      </rPr>
      <t>=</t>
    </r>
    <phoneticPr fontId="6"/>
  </si>
  <si>
    <t>円・ドル
為替レート(￥/＄)</t>
    <rPh sb="0" eb="1">
      <t>エン</t>
    </rPh>
    <rPh sb="5" eb="7">
      <t>カワセ</t>
    </rPh>
    <phoneticPr fontId="6"/>
  </si>
  <si>
    <r>
      <rPr>
        <sz val="11"/>
        <color theme="1"/>
        <rFont val="ＭＳ ゴシック"/>
        <family val="3"/>
        <charset val="128"/>
      </rPr>
      <t>自由度</t>
    </r>
    <r>
      <rPr>
        <sz val="11"/>
        <color theme="1"/>
        <rFont val="Arial"/>
        <family val="2"/>
        <scheme val="minor"/>
      </rPr>
      <t>4</t>
    </r>
    <r>
      <rPr>
        <sz val="11"/>
        <color theme="1"/>
        <rFont val="ＭＳ ゴシック"/>
        <family val="3"/>
        <charset val="128"/>
      </rPr>
      <t xml:space="preserve">の
</t>
    </r>
    <r>
      <rPr>
        <sz val="11"/>
        <color theme="1"/>
        <rFont val="Arial"/>
        <family val="2"/>
        <scheme val="minor"/>
      </rPr>
      <t>t</t>
    </r>
    <r>
      <rPr>
        <sz val="11"/>
        <color theme="1"/>
        <rFont val="ＭＳ ゴシック"/>
        <family val="3"/>
        <charset val="128"/>
      </rPr>
      <t>分布
右側2.5</t>
    </r>
    <r>
      <rPr>
        <sz val="11"/>
        <color theme="1"/>
        <rFont val="Arial"/>
        <family val="2"/>
        <scheme val="minor"/>
      </rPr>
      <t>%</t>
    </r>
    <r>
      <rPr>
        <sz val="11"/>
        <color theme="1"/>
        <rFont val="ＭＳ ゴシック"/>
        <family val="3"/>
        <charset val="128"/>
      </rPr>
      <t>点＝</t>
    </r>
    <phoneticPr fontId="6"/>
  </si>
  <si>
    <r>
      <t>t</t>
    </r>
    <r>
      <rPr>
        <sz val="11"/>
        <color theme="1"/>
        <rFont val="ＭＳ ゴシック"/>
        <family val="3"/>
        <charset val="128"/>
      </rPr>
      <t>統計量=</t>
    </r>
    <phoneticPr fontId="6"/>
  </si>
  <si>
    <t>問6.3</t>
    <rPh sb="0" eb="1">
      <t>トイ</t>
    </rPh>
    <phoneticPr fontId="6"/>
  </si>
  <si>
    <r>
      <rPr>
        <sz val="11"/>
        <color theme="1"/>
        <rFont val="ＭＳ ゴシック"/>
        <family val="3"/>
        <charset val="128"/>
      </rPr>
      <t>自由度</t>
    </r>
    <r>
      <rPr>
        <sz val="11"/>
        <color theme="1"/>
        <rFont val="Arial"/>
        <family val="2"/>
        <scheme val="minor"/>
      </rPr>
      <t>4</t>
    </r>
    <r>
      <rPr>
        <sz val="11"/>
        <color theme="1"/>
        <rFont val="ＭＳ ゴシック"/>
        <family val="3"/>
        <charset val="128"/>
      </rPr>
      <t xml:space="preserve">の
</t>
    </r>
    <r>
      <rPr>
        <sz val="11"/>
        <color theme="1"/>
        <rFont val="Arial"/>
        <family val="2"/>
        <scheme val="minor"/>
      </rPr>
      <t>t</t>
    </r>
    <r>
      <rPr>
        <sz val="11"/>
        <color theme="1"/>
        <rFont val="ＭＳ ゴシック"/>
        <family val="3"/>
        <charset val="128"/>
      </rPr>
      <t>分布
右側5</t>
    </r>
    <r>
      <rPr>
        <sz val="11"/>
        <color theme="1"/>
        <rFont val="Arial"/>
        <family val="2"/>
        <scheme val="minor"/>
      </rPr>
      <t>%</t>
    </r>
    <r>
      <rPr>
        <sz val="11"/>
        <color theme="1"/>
        <rFont val="ＭＳ ゴシック"/>
        <family val="3"/>
        <charset val="128"/>
      </rPr>
      <t>点＝</t>
    </r>
    <phoneticPr fontId="6"/>
  </si>
  <si>
    <r>
      <rPr>
        <sz val="11"/>
        <color theme="1"/>
        <rFont val="ＭＳ ゴシック"/>
        <family val="3"/>
        <charset val="128"/>
      </rPr>
      <t>対立仮説</t>
    </r>
    <r>
      <rPr>
        <sz val="11"/>
        <color theme="1"/>
        <rFont val="Arial"/>
        <scheme val="minor"/>
      </rPr>
      <t>:</t>
    </r>
    <r>
      <rPr>
        <sz val="11"/>
        <color theme="1"/>
        <rFont val="Calibri"/>
        <family val="2"/>
      </rPr>
      <t>μ</t>
    </r>
    <r>
      <rPr>
        <sz val="11"/>
        <color theme="1"/>
        <rFont val="Yu Gothic"/>
        <family val="2"/>
        <charset val="128"/>
      </rPr>
      <t>＞</t>
    </r>
    <rPh sb="0" eb="2">
      <t>タイリツ</t>
    </rPh>
    <phoneticPr fontId="6"/>
  </si>
  <si>
    <t>終値</t>
    <rPh sb="0" eb="2">
      <t>オワリネ</t>
    </rPh>
    <phoneticPr fontId="6"/>
  </si>
  <si>
    <t>収益率</t>
    <rPh sb="0" eb="3">
      <t>シュウエキリツ</t>
    </rPh>
    <phoneticPr fontId="6"/>
  </si>
  <si>
    <t>標本分散＝</t>
    <rPh sb="0" eb="4">
      <t>ヒョウホンブンサン</t>
    </rPh>
    <phoneticPr fontId="14"/>
  </si>
  <si>
    <t>検定統計量＝</t>
    <rPh sb="0" eb="5">
      <t>ケンテイトウケイリョウ</t>
    </rPh>
    <phoneticPr fontId="6"/>
  </si>
  <si>
    <r>
      <t>p</t>
    </r>
    <r>
      <rPr>
        <sz val="11"/>
        <color theme="1"/>
        <rFont val="Yu Gothic"/>
        <family val="2"/>
        <charset val="128"/>
      </rPr>
      <t>値＝</t>
    </r>
    <rPh sb="1" eb="2">
      <t>アタイ</t>
    </rPh>
    <phoneticPr fontId="6"/>
  </si>
  <si>
    <r>
      <rPr>
        <sz val="11"/>
        <color theme="1"/>
        <rFont val="Yu Gothic"/>
        <family val="2"/>
        <charset val="128"/>
      </rPr>
      <t>自由度</t>
    </r>
    <r>
      <rPr>
        <sz val="11"/>
        <color theme="1"/>
        <rFont val="Arial"/>
        <family val="2"/>
      </rPr>
      <t xml:space="preserve">11
</t>
    </r>
    <r>
      <rPr>
        <sz val="11"/>
        <color theme="1"/>
        <rFont val="Arial"/>
        <family val="2"/>
        <charset val="128"/>
        <scheme val="minor"/>
      </rPr>
      <t>χ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Yu Gothic"/>
        <family val="2"/>
        <charset val="128"/>
      </rPr>
      <t>分布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Yu Gothic"/>
        <family val="2"/>
        <charset val="128"/>
      </rPr>
      <t>左側</t>
    </r>
    <r>
      <rPr>
        <sz val="11"/>
        <color theme="1"/>
        <rFont val="Arial"/>
        <family val="2"/>
      </rPr>
      <t>5</t>
    </r>
    <r>
      <rPr>
        <sz val="11"/>
        <color theme="1"/>
        <rFont val="Yu Gothic"/>
        <family val="2"/>
        <charset val="128"/>
      </rPr>
      <t>％点＝</t>
    </r>
    <rPh sb="0" eb="3">
      <t>ジユウド</t>
    </rPh>
    <rPh sb="8" eb="10">
      <t>ブンプ</t>
    </rPh>
    <rPh sb="11" eb="13">
      <t>ヒダリガワ</t>
    </rPh>
    <rPh sb="15" eb="16">
      <t>テン</t>
    </rPh>
    <phoneticPr fontId="6"/>
  </si>
  <si>
    <t>問6.4</t>
    <rPh sb="0" eb="1">
      <t>トイ</t>
    </rPh>
    <phoneticPr fontId="6"/>
  </si>
  <si>
    <r>
      <rPr>
        <sz val="11"/>
        <color theme="1"/>
        <rFont val="ＭＳ ゴシック"/>
        <family val="3"/>
        <charset val="128"/>
      </rPr>
      <t>問</t>
    </r>
    <r>
      <rPr>
        <sz val="11"/>
        <color theme="1"/>
        <rFont val="Arial"/>
        <family val="2"/>
        <scheme val="minor"/>
      </rPr>
      <t>6.5</t>
    </r>
    <rPh sb="0" eb="1">
      <t>トイ</t>
    </rPh>
    <phoneticPr fontId="6"/>
  </si>
  <si>
    <t>標本平均＝</t>
    <rPh sb="0" eb="2">
      <t>ヒョウホン</t>
    </rPh>
    <rPh sb="2" eb="4">
      <t>ヘイキン</t>
    </rPh>
    <phoneticPr fontId="14"/>
  </si>
  <si>
    <r>
      <t>S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Yu Gothic"/>
        <family val="3"/>
        <charset val="128"/>
      </rPr>
      <t>＝</t>
    </r>
    <phoneticPr fontId="6"/>
  </si>
  <si>
    <t>標本数＝</t>
    <rPh sb="0" eb="3">
      <t>ヒョウホンスウ</t>
    </rPh>
    <phoneticPr fontId="6"/>
  </si>
  <si>
    <r>
      <rPr>
        <sz val="11"/>
        <color theme="1"/>
        <rFont val="Yu Gothic"/>
        <family val="2"/>
        <charset val="128"/>
      </rPr>
      <t>自由度22</t>
    </r>
    <r>
      <rPr>
        <sz val="11"/>
        <color theme="1"/>
        <rFont val="Arial"/>
        <family val="2"/>
      </rPr>
      <t xml:space="preserve">
t</t>
    </r>
    <r>
      <rPr>
        <sz val="11"/>
        <color theme="1"/>
        <rFont val="Yu Gothic"/>
        <family val="2"/>
        <charset val="128"/>
      </rPr>
      <t>分布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Yu Gothic"/>
        <family val="2"/>
        <charset val="128"/>
      </rPr>
      <t>左側</t>
    </r>
    <r>
      <rPr>
        <sz val="11"/>
        <color theme="1"/>
        <rFont val="Arial"/>
        <family val="2"/>
      </rPr>
      <t>5</t>
    </r>
    <r>
      <rPr>
        <sz val="11"/>
        <color theme="1"/>
        <rFont val="Yu Gothic"/>
        <family val="2"/>
        <charset val="128"/>
      </rPr>
      <t>％点＝</t>
    </r>
    <rPh sb="0" eb="3">
      <t>ジユウド</t>
    </rPh>
    <rPh sb="7" eb="9">
      <t>ブンプ</t>
    </rPh>
    <rPh sb="10" eb="12">
      <t>ヒダリガワ</t>
    </rPh>
    <rPh sb="14" eb="15">
      <t>テン</t>
    </rPh>
    <phoneticPr fontId="6"/>
  </si>
  <si>
    <r>
      <rPr>
        <sz val="11"/>
        <color theme="1"/>
        <rFont val="Yu Gothic"/>
        <family val="2"/>
        <charset val="128"/>
      </rPr>
      <t>自由度</t>
    </r>
    <r>
      <rPr>
        <sz val="11"/>
        <color theme="1"/>
        <rFont val="Arial"/>
        <family val="2"/>
      </rPr>
      <t>22
t</t>
    </r>
    <r>
      <rPr>
        <sz val="11"/>
        <color theme="1"/>
        <rFont val="Yu Gothic"/>
        <family val="2"/>
        <charset val="128"/>
      </rPr>
      <t>分布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Yu Gothic"/>
        <family val="2"/>
        <charset val="128"/>
      </rPr>
      <t>左側2.5</t>
    </r>
    <r>
      <rPr>
        <sz val="11"/>
        <color theme="1"/>
        <rFont val="ＭＳ ゴシック"/>
        <family val="3"/>
        <charset val="128"/>
      </rPr>
      <t>％点＝</t>
    </r>
    <rPh sb="0" eb="3">
      <t>ジユウド</t>
    </rPh>
    <rPh sb="7" eb="9">
      <t>ブンプ</t>
    </rPh>
    <rPh sb="10" eb="12">
      <t>ヒダリガワ</t>
    </rPh>
    <rPh sb="16" eb="17">
      <t>テン</t>
    </rPh>
    <phoneticPr fontId="6"/>
  </si>
  <si>
    <r>
      <rPr>
        <sz val="11"/>
        <color theme="1"/>
        <rFont val="Yu Gothic"/>
        <family val="2"/>
        <charset val="128"/>
      </rPr>
      <t>両側</t>
    </r>
    <r>
      <rPr>
        <sz val="11"/>
        <color theme="1"/>
        <rFont val="Arial"/>
        <family val="2"/>
        <charset val="128"/>
        <scheme val="minor"/>
      </rPr>
      <t>p</t>
    </r>
    <r>
      <rPr>
        <sz val="11"/>
        <color theme="1"/>
        <rFont val="Yu Gothic"/>
        <family val="2"/>
        <charset val="128"/>
      </rPr>
      <t>値＝</t>
    </r>
    <rPh sb="0" eb="2">
      <t>リョウガワ</t>
    </rPh>
    <rPh sb="3" eb="4">
      <t>アタイ</t>
    </rPh>
    <phoneticPr fontId="6"/>
  </si>
  <si>
    <r>
      <rPr>
        <sz val="11"/>
        <color theme="1"/>
        <rFont val="Yu Gothic"/>
        <family val="2"/>
        <charset val="128"/>
      </rPr>
      <t>片側</t>
    </r>
    <r>
      <rPr>
        <sz val="11"/>
        <color theme="1"/>
        <rFont val="Arial"/>
        <family val="2"/>
        <charset val="128"/>
        <scheme val="minor"/>
      </rPr>
      <t>p</t>
    </r>
    <r>
      <rPr>
        <sz val="11"/>
        <color theme="1"/>
        <rFont val="Yu Gothic"/>
        <family val="2"/>
        <charset val="128"/>
      </rPr>
      <t>値＝</t>
    </r>
    <rPh sb="0" eb="2">
      <t>カタガワ</t>
    </rPh>
    <rPh sb="3" eb="4">
      <t>アタイ</t>
    </rPh>
    <phoneticPr fontId="6"/>
  </si>
  <si>
    <t>日経平均終値</t>
    <rPh sb="0" eb="4">
      <t>ニッケイヘイキン</t>
    </rPh>
    <rPh sb="4" eb="6">
      <t>オワリネ</t>
    </rPh>
    <phoneticPr fontId="6"/>
  </si>
  <si>
    <t>S＆P500終値</t>
    <rPh sb="6" eb="8">
      <t>オワリネ</t>
    </rPh>
    <phoneticPr fontId="6"/>
  </si>
  <si>
    <t>日経平均収益率</t>
    <rPh sb="0" eb="4">
      <t>ニッケイヘイキン</t>
    </rPh>
    <rPh sb="4" eb="7">
      <t>シュウエキリツ</t>
    </rPh>
    <phoneticPr fontId="6"/>
  </si>
  <si>
    <r>
      <t>S</t>
    </r>
    <r>
      <rPr>
        <sz val="11"/>
        <color theme="1"/>
        <rFont val="ＭＳ ゴシック"/>
        <family val="3"/>
        <charset val="128"/>
      </rPr>
      <t>＆</t>
    </r>
    <r>
      <rPr>
        <sz val="11"/>
        <color theme="1"/>
        <rFont val="Arial"/>
        <family val="2"/>
        <scheme val="minor"/>
      </rPr>
      <t>P500</t>
    </r>
    <r>
      <rPr>
        <sz val="11"/>
        <color theme="1"/>
        <rFont val="Yu Gothic"/>
        <family val="2"/>
        <charset val="128"/>
      </rPr>
      <t>収益率</t>
    </r>
    <rPh sb="6" eb="9">
      <t>シュウエキリツ</t>
    </rPh>
    <phoneticPr fontId="6"/>
  </si>
  <si>
    <t>収益率の差</t>
    <rPh sb="0" eb="3">
      <t>シュウエキリツ</t>
    </rPh>
    <rPh sb="4" eb="5">
      <t>サ</t>
    </rPh>
    <phoneticPr fontId="6"/>
  </si>
  <si>
    <r>
      <rPr>
        <sz val="11"/>
        <color theme="1"/>
        <rFont val="ＭＳ ゴシック"/>
        <family val="3"/>
        <charset val="128"/>
      </rPr>
      <t>問</t>
    </r>
    <r>
      <rPr>
        <sz val="11"/>
        <color theme="1"/>
        <rFont val="Arial"/>
        <family val="2"/>
        <scheme val="minor"/>
      </rPr>
      <t>6.6</t>
    </r>
    <rPh sb="0" eb="1">
      <t>トイ</t>
    </rPh>
    <phoneticPr fontId="6"/>
  </si>
  <si>
    <t>t値＝</t>
    <rPh sb="1" eb="2">
      <t>アタイ</t>
    </rPh>
    <phoneticPr fontId="6"/>
  </si>
  <si>
    <r>
      <t>"%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charset val="128"/>
        <scheme val="minor"/>
      </rPr>
      <t>"</t>
    </r>
    <phoneticPr fontId="6"/>
  </si>
  <si>
    <t>=</t>
    <phoneticPr fontId="6"/>
  </si>
  <si>
    <r>
      <rPr>
        <sz val="11"/>
        <color theme="1"/>
        <rFont val="ＭＳ ゴシック"/>
        <family val="3"/>
        <charset val="128"/>
      </rPr>
      <t>差の平均</t>
    </r>
    <r>
      <rPr>
        <sz val="11"/>
        <color theme="1"/>
        <rFont val="Arial"/>
        <family val="3"/>
        <charset val="128"/>
        <scheme val="minor"/>
      </rPr>
      <t>=</t>
    </r>
    <rPh sb="0" eb="1">
      <t>サ</t>
    </rPh>
    <rPh sb="2" eb="4">
      <t>ヘイキン</t>
    </rPh>
    <phoneticPr fontId="6"/>
  </si>
  <si>
    <t>差の標本分散=</t>
    <rPh sb="0" eb="1">
      <t>サ</t>
    </rPh>
    <rPh sb="2" eb="6">
      <t>ヒョウホンブンサン</t>
    </rPh>
    <phoneticPr fontId="6"/>
  </si>
  <si>
    <t>標本サイズ=</t>
    <rPh sb="0" eb="2">
      <t>ヒョウホン</t>
    </rPh>
    <phoneticPr fontId="6"/>
  </si>
  <si>
    <t>ｘ</t>
    <phoneticPr fontId="6"/>
  </si>
  <si>
    <t>自由度(10,15)</t>
    <rPh sb="0" eb="3">
      <t>ジユウド</t>
    </rPh>
    <phoneticPr fontId="6"/>
  </si>
  <si>
    <t>自由度(20,25)</t>
    <rPh sb="0" eb="3">
      <t>ジユウド</t>
    </rPh>
    <phoneticPr fontId="6"/>
  </si>
  <si>
    <t>自由度(5,8)</t>
    <rPh sb="0" eb="3">
      <t>ジユウド</t>
    </rPh>
    <phoneticPr fontId="6"/>
  </si>
  <si>
    <t>x</t>
    <phoneticPr fontId="6"/>
  </si>
  <si>
    <t>F分布確率密度関数</t>
    <rPh sb="1" eb="3">
      <t>ブンプ</t>
    </rPh>
    <rPh sb="3" eb="5">
      <t>カクリツ</t>
    </rPh>
    <rPh sb="5" eb="9">
      <t>ミツドカンスウ</t>
    </rPh>
    <phoneticPr fontId="6"/>
  </si>
  <si>
    <r>
      <rPr>
        <sz val="11"/>
        <color theme="1"/>
        <rFont val="Yu Gothic"/>
        <family val="2"/>
        <charset val="128"/>
      </rPr>
      <t>自由度(11,11)</t>
    </r>
    <r>
      <rPr>
        <sz val="11"/>
        <color theme="1"/>
        <rFont val="Arial"/>
        <family val="2"/>
      </rPr>
      <t xml:space="preserve">
F</t>
    </r>
    <r>
      <rPr>
        <sz val="11"/>
        <color theme="1"/>
        <rFont val="Yu Gothic"/>
        <family val="2"/>
        <charset val="128"/>
      </rPr>
      <t>分布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Yu Gothic"/>
        <family val="2"/>
        <charset val="128"/>
      </rPr>
      <t>左側</t>
    </r>
    <r>
      <rPr>
        <sz val="11"/>
        <color theme="1"/>
        <rFont val="Arial"/>
        <family val="2"/>
      </rPr>
      <t>5</t>
    </r>
    <r>
      <rPr>
        <sz val="11"/>
        <color theme="1"/>
        <rFont val="Yu Gothic"/>
        <family val="2"/>
        <charset val="128"/>
      </rPr>
      <t>％点＝</t>
    </r>
    <rPh sb="0" eb="3">
      <t>ジユウド</t>
    </rPh>
    <rPh sb="12" eb="14">
      <t>ブンプ</t>
    </rPh>
    <rPh sb="15" eb="17">
      <t>ヒダリガワ</t>
    </rPh>
    <rPh sb="19" eb="20">
      <t>テン</t>
    </rPh>
    <phoneticPr fontId="6"/>
  </si>
  <si>
    <t>表</t>
    <rPh sb="0" eb="1">
      <t>オモテ</t>
    </rPh>
    <phoneticPr fontId="6"/>
  </si>
  <si>
    <t>裏</t>
    <rPh sb="0" eb="1">
      <t>ウラ</t>
    </rPh>
    <phoneticPr fontId="6"/>
  </si>
  <si>
    <t>計</t>
    <rPh sb="0" eb="1">
      <t>ケイ</t>
    </rPh>
    <phoneticPr fontId="6"/>
  </si>
  <si>
    <t>観測度数</t>
    <rPh sb="0" eb="2">
      <t>カンソク</t>
    </rPh>
    <rPh sb="2" eb="4">
      <t>ドスウ</t>
    </rPh>
    <phoneticPr fontId="6"/>
  </si>
  <si>
    <t>理論度数</t>
    <rPh sb="0" eb="4">
      <t>リロンドスウ</t>
    </rPh>
    <phoneticPr fontId="6"/>
  </si>
  <si>
    <r>
      <rPr>
        <sz val="11"/>
        <color theme="1"/>
        <rFont val="ＭＳ ゴシック"/>
        <family val="3"/>
        <charset val="128"/>
      </rPr>
      <t>検定統計量</t>
    </r>
    <r>
      <rPr>
        <sz val="11"/>
        <color theme="1"/>
        <rFont val="Yu Gothic"/>
        <family val="2"/>
        <charset val="128"/>
      </rPr>
      <t>＝</t>
    </r>
    <rPh sb="0" eb="5">
      <t>ケンテイトウケイリョウ</t>
    </rPh>
    <phoneticPr fontId="6"/>
  </si>
  <si>
    <r>
      <rPr>
        <sz val="11"/>
        <color theme="1"/>
        <rFont val="ＭＳ ゴシック"/>
        <family val="3"/>
        <charset val="128"/>
      </rPr>
      <t>自由度１</t>
    </r>
    <r>
      <rPr>
        <sz val="11"/>
        <color theme="1"/>
        <rFont val="Calibri"/>
        <family val="2"/>
      </rPr>
      <t>χ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分布
右側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ＭＳ ゴシック"/>
        <family val="3"/>
        <charset val="128"/>
      </rPr>
      <t>％点＝</t>
    </r>
    <rPh sb="0" eb="3">
      <t>ジユウド</t>
    </rPh>
    <rPh sb="6" eb="8">
      <t>ブンプ</t>
    </rPh>
    <rPh sb="9" eb="11">
      <t>ミギガワ</t>
    </rPh>
    <rPh sb="13" eb="14">
      <t>テン</t>
    </rPh>
    <phoneticPr fontId="6"/>
  </si>
  <si>
    <t>p値＝</t>
    <rPh sb="1" eb="2">
      <t>アタイ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</si>
  <si>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</si>
  <si>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</si>
  <si>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好き</t>
    <rPh sb="0" eb="1">
      <t>ス</t>
    </rPh>
    <phoneticPr fontId="6"/>
  </si>
  <si>
    <t>嫌い</t>
    <rPh sb="0" eb="1">
      <t>キラ</t>
    </rPh>
    <phoneticPr fontId="6"/>
  </si>
  <si>
    <t>観測度数</t>
    <rPh sb="0" eb="4">
      <t>カンソクドスウ</t>
    </rPh>
    <phoneticPr fontId="6"/>
  </si>
  <si>
    <t>期待度数</t>
    <rPh sb="0" eb="4">
      <t>キタイドスウ</t>
    </rPh>
    <phoneticPr fontId="6"/>
  </si>
  <si>
    <t>データ分析</t>
    <rPh sb="3" eb="5">
      <t>ブンセキ</t>
    </rPh>
    <phoneticPr fontId="6"/>
  </si>
  <si>
    <r>
      <rPr>
        <sz val="11"/>
        <color theme="1"/>
        <rFont val="ＭＳ ゴシック"/>
        <family val="3"/>
        <charset val="128"/>
      </rPr>
      <t>自由度</t>
    </r>
    <r>
      <rPr>
        <sz val="11"/>
        <color theme="1"/>
        <rFont val="Yu Gothic"/>
        <family val="2"/>
        <charset val="128"/>
      </rPr>
      <t>＝</t>
    </r>
    <rPh sb="0" eb="3">
      <t>ジユウド</t>
    </rPh>
    <phoneticPr fontId="6"/>
  </si>
  <si>
    <r>
      <rPr>
        <sz val="11"/>
        <color theme="1"/>
        <rFont val="ＭＳ ゴシック"/>
        <family val="3"/>
        <charset val="128"/>
      </rPr>
      <t>検定統計量</t>
    </r>
    <r>
      <rPr>
        <sz val="11"/>
        <color theme="1"/>
        <rFont val="Yu Gothic"/>
        <family val="2"/>
        <charset val="128"/>
      </rPr>
      <t>＝</t>
    </r>
    <rPh sb="0" eb="2">
      <t>ケンテイ</t>
    </rPh>
    <rPh sb="2" eb="5">
      <t>トウケイリョウ</t>
    </rPh>
    <phoneticPr fontId="6"/>
  </si>
  <si>
    <r>
      <t>χ</t>
    </r>
    <r>
      <rPr>
        <vertAlign val="superscript"/>
        <sz val="11"/>
        <color theme="1"/>
        <rFont val="ＭＳ Ｐゴシック"/>
        <family val="3"/>
        <charset val="128"/>
      </rPr>
      <t>2</t>
    </r>
    <r>
      <rPr>
        <sz val="11"/>
        <color theme="1"/>
        <rFont val="ＭＳ Ｐゴシック"/>
        <family val="3"/>
        <charset val="128"/>
      </rPr>
      <t>値</t>
    </r>
    <rPh sb="2" eb="3">
      <t>アタイ</t>
    </rPh>
    <phoneticPr fontId="6"/>
  </si>
  <si>
    <t>性別</t>
    <rPh sb="0" eb="2">
      <t>セイベツ</t>
    </rPh>
    <phoneticPr fontId="6"/>
  </si>
  <si>
    <r>
      <t>自由度1
χ</t>
    </r>
    <r>
      <rPr>
        <vertAlign val="superscript"/>
        <sz val="11"/>
        <color theme="1"/>
        <rFont val="ＭＳ Ｐゴシック"/>
        <family val="3"/>
        <charset val="128"/>
      </rPr>
      <t>2</t>
    </r>
    <r>
      <rPr>
        <sz val="11"/>
        <color theme="1"/>
        <rFont val="ＭＳ Ｐゴシック"/>
        <family val="3"/>
        <charset val="128"/>
      </rPr>
      <t>分布
右側5％点＝</t>
    </r>
    <rPh sb="0" eb="3">
      <t>ジユウド</t>
    </rPh>
    <rPh sb="7" eb="9">
      <t>ブンプ</t>
    </rPh>
    <rPh sb="10" eb="12">
      <t>ミギガワ</t>
    </rPh>
    <rPh sb="14" eb="15">
      <t>テン</t>
    </rPh>
    <phoneticPr fontId="6"/>
  </si>
  <si>
    <t>問6.12</t>
    <rPh sb="0" eb="1">
      <t>トイ</t>
    </rPh>
    <phoneticPr fontId="6"/>
  </si>
  <si>
    <r>
      <rPr>
        <sz val="11"/>
        <color theme="1"/>
        <rFont val="ＭＳ ゴシック"/>
        <family val="3"/>
        <charset val="128"/>
      </rPr>
      <t>標本平均</t>
    </r>
    <r>
      <rPr>
        <sz val="11"/>
        <color theme="1"/>
        <rFont val="Yu Gothic"/>
        <family val="2"/>
        <charset val="128"/>
      </rPr>
      <t>＝</t>
    </r>
    <rPh sb="0" eb="4">
      <t>ヒョウホンヘイキン</t>
    </rPh>
    <phoneticPr fontId="6"/>
  </si>
  <si>
    <t>標本分散＝</t>
    <rPh sb="0" eb="2">
      <t>ヒョウホン</t>
    </rPh>
    <rPh sb="2" eb="4">
      <t>ブンサン</t>
    </rPh>
    <phoneticPr fontId="6"/>
  </si>
  <si>
    <r>
      <rPr>
        <sz val="11"/>
        <color theme="1"/>
        <rFont val="Cambria Math"/>
        <family val="1"/>
      </rPr>
      <t>∴</t>
    </r>
    <r>
      <rPr>
        <sz val="11"/>
        <color theme="1"/>
        <rFont val="Yu Gothic"/>
        <charset val="128"/>
      </rPr>
      <t>検定統計量＜左側</t>
    </r>
    <r>
      <rPr>
        <sz val="11"/>
        <color theme="1"/>
        <rFont val="Arial"/>
        <family val="2"/>
      </rPr>
      <t>2.5</t>
    </r>
    <r>
      <rPr>
        <sz val="11"/>
        <color theme="1"/>
        <rFont val="Yu Gothic"/>
        <charset val="128"/>
      </rPr>
      <t>％点なので、有意水準５％で帰無仮説を棄却</t>
    </r>
    <rPh sb="1" eb="6">
      <t>ケンテイトウケイリョウ</t>
    </rPh>
    <rPh sb="7" eb="9">
      <t>ヒダリガワ</t>
    </rPh>
    <rPh sb="13" eb="14">
      <t>テン</t>
    </rPh>
    <rPh sb="18" eb="22">
      <t>ユウイスイジュン</t>
    </rPh>
    <rPh sb="25" eb="29">
      <t>キムカセツ</t>
    </rPh>
    <rPh sb="30" eb="32">
      <t>キキャク</t>
    </rPh>
    <phoneticPr fontId="6"/>
  </si>
  <si>
    <r>
      <rPr>
        <sz val="11"/>
        <color theme="1"/>
        <rFont val="ＭＳ ゴシック"/>
        <family val="3"/>
        <charset val="128"/>
      </rPr>
      <t>自由度</t>
    </r>
    <r>
      <rPr>
        <sz val="11"/>
        <color theme="1"/>
        <rFont val="Arial"/>
        <family val="2"/>
        <scheme val="minor"/>
      </rPr>
      <t>9</t>
    </r>
    <r>
      <rPr>
        <sz val="11"/>
        <color theme="1"/>
        <rFont val="Yu Gothic"/>
        <family val="2"/>
        <charset val="128"/>
      </rPr>
      <t>の</t>
    </r>
    <r>
      <rPr>
        <sz val="11"/>
        <color theme="1"/>
        <rFont val="Arial"/>
        <family val="2"/>
        <scheme val="minor"/>
      </rPr>
      <t>t</t>
    </r>
    <r>
      <rPr>
        <sz val="11"/>
        <color theme="1"/>
        <rFont val="ＭＳ ゴシック"/>
        <family val="3"/>
        <charset val="128"/>
      </rPr>
      <t>分布</t>
    </r>
    <r>
      <rPr>
        <sz val="11"/>
        <color theme="1"/>
        <rFont val="Arial"/>
        <family val="3"/>
      </rPr>
      <t xml:space="preserve">
</t>
    </r>
    <r>
      <rPr>
        <sz val="11"/>
        <color theme="1"/>
        <rFont val="Yu Gothic"/>
        <family val="3"/>
        <charset val="128"/>
      </rPr>
      <t>左</t>
    </r>
    <r>
      <rPr>
        <sz val="11"/>
        <color theme="1"/>
        <rFont val="ＭＳ ゴシック"/>
        <family val="3"/>
        <charset val="128"/>
      </rPr>
      <t>側</t>
    </r>
    <r>
      <rPr>
        <sz val="11"/>
        <color theme="1"/>
        <rFont val="Arial"/>
        <family val="2"/>
        <scheme val="minor"/>
      </rPr>
      <t>2.5%</t>
    </r>
    <r>
      <rPr>
        <sz val="11"/>
        <color theme="1"/>
        <rFont val="ＭＳ ゴシック"/>
        <family val="3"/>
        <charset val="128"/>
      </rPr>
      <t>点</t>
    </r>
    <r>
      <rPr>
        <sz val="11"/>
        <color theme="1"/>
        <rFont val="Yu Gothic"/>
        <family val="3"/>
        <charset val="128"/>
      </rPr>
      <t>＝</t>
    </r>
    <rPh sb="9" eb="10">
      <t>ヒダリ</t>
    </rPh>
    <phoneticPr fontId="6"/>
  </si>
  <si>
    <r>
      <rPr>
        <sz val="11"/>
        <color theme="1"/>
        <rFont val="ＭＳ ゴシック"/>
        <family val="3"/>
        <charset val="128"/>
      </rPr>
      <t>自由度</t>
    </r>
    <r>
      <rPr>
        <sz val="11"/>
        <color theme="1"/>
        <rFont val="Arial"/>
        <family val="2"/>
        <scheme val="minor"/>
      </rPr>
      <t>9</t>
    </r>
    <r>
      <rPr>
        <sz val="11"/>
        <color theme="1"/>
        <rFont val="Yu Gothic"/>
        <family val="2"/>
        <charset val="128"/>
      </rPr>
      <t>の</t>
    </r>
    <r>
      <rPr>
        <sz val="11"/>
        <color theme="1"/>
        <rFont val="Arial"/>
        <family val="2"/>
        <scheme val="minor"/>
      </rPr>
      <t>t</t>
    </r>
    <r>
      <rPr>
        <sz val="11"/>
        <color theme="1"/>
        <rFont val="ＭＳ ゴシック"/>
        <family val="3"/>
        <charset val="128"/>
      </rPr>
      <t>分布
右側</t>
    </r>
    <r>
      <rPr>
        <sz val="11"/>
        <color theme="1"/>
        <rFont val="Arial"/>
        <family val="2"/>
        <scheme val="minor"/>
      </rPr>
      <t>2.5%</t>
    </r>
    <r>
      <rPr>
        <sz val="11"/>
        <color theme="1"/>
        <rFont val="ＭＳ ゴシック"/>
        <family val="3"/>
        <charset val="128"/>
      </rPr>
      <t>点＝</t>
    </r>
    <phoneticPr fontId="6"/>
  </si>
  <si>
    <r>
      <rPr>
        <sz val="11"/>
        <color theme="1"/>
        <rFont val="ＭＳ ゴシック"/>
        <family val="3"/>
        <charset val="128"/>
      </rPr>
      <t>問</t>
    </r>
    <r>
      <rPr>
        <sz val="11"/>
        <color theme="1"/>
        <rFont val="Arial"/>
        <family val="2"/>
        <scheme val="minor"/>
      </rPr>
      <t>6.13</t>
    </r>
    <rPh sb="0" eb="1">
      <t>トイ</t>
    </rPh>
    <phoneticPr fontId="6"/>
  </si>
  <si>
    <r>
      <rPr>
        <sz val="11"/>
        <color theme="1"/>
        <rFont val="ＭＳ ゴシック"/>
        <family val="3"/>
        <charset val="128"/>
      </rPr>
      <t>問</t>
    </r>
    <r>
      <rPr>
        <sz val="11"/>
        <color theme="1"/>
        <rFont val="Arial"/>
        <family val="2"/>
        <scheme val="minor"/>
      </rPr>
      <t>6.10</t>
    </r>
    <rPh sb="0" eb="1">
      <t>トイ</t>
    </rPh>
    <phoneticPr fontId="6"/>
  </si>
  <si>
    <t>問6.8</t>
    <rPh sb="0" eb="1">
      <t>トイ</t>
    </rPh>
    <phoneticPr fontId="6"/>
  </si>
  <si>
    <r>
      <rPr>
        <sz val="11"/>
        <color theme="1"/>
        <rFont val="ＭＳ ゴシック"/>
        <family val="3"/>
        <charset val="128"/>
      </rPr>
      <t>問</t>
    </r>
    <r>
      <rPr>
        <sz val="11"/>
        <color theme="1"/>
        <rFont val="Arial"/>
        <family val="2"/>
        <scheme val="minor"/>
      </rPr>
      <t>6.7</t>
    </r>
    <rPh sb="0" eb="1">
      <t>トイ</t>
    </rPh>
    <phoneticPr fontId="6"/>
  </si>
  <si>
    <t>"%"</t>
    <phoneticPr fontId="6"/>
  </si>
  <si>
    <r>
      <t>"%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scheme val="minor"/>
      </rPr>
      <t>"</t>
    </r>
    <phoneticPr fontId="6"/>
  </si>
  <si>
    <t>2020年</t>
    <rPh sb="4" eb="5">
      <t>ネン</t>
    </rPh>
    <phoneticPr fontId="6"/>
  </si>
  <si>
    <t>２０２１年</t>
    <rPh sb="4" eb="5">
      <t>ネン</t>
    </rPh>
    <phoneticPr fontId="6"/>
  </si>
  <si>
    <t>２０２０年</t>
    <rPh sb="4" eb="5">
      <t>ネン</t>
    </rPh>
    <phoneticPr fontId="6"/>
  </si>
  <si>
    <r>
      <rPr>
        <sz val="11"/>
        <color theme="1"/>
        <rFont val="Yu Gothic"/>
        <family val="2"/>
        <charset val="128"/>
      </rPr>
      <t>自由度4</t>
    </r>
    <r>
      <rPr>
        <sz val="11"/>
        <color theme="1"/>
        <rFont val="Arial"/>
        <family val="2"/>
      </rPr>
      <t>t</t>
    </r>
    <r>
      <rPr>
        <sz val="11"/>
        <color theme="1"/>
        <rFont val="Yu Gothic"/>
        <family val="2"/>
        <charset val="128"/>
      </rPr>
      <t>分布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Yu Gothic"/>
        <family val="2"/>
        <charset val="128"/>
      </rPr>
      <t>右側</t>
    </r>
    <r>
      <rPr>
        <sz val="11"/>
        <color theme="1"/>
        <rFont val="Arial"/>
        <family val="2"/>
      </rPr>
      <t>5</t>
    </r>
    <r>
      <rPr>
        <sz val="11"/>
        <color theme="1"/>
        <rFont val="Yu Gothic"/>
        <family val="2"/>
        <charset val="128"/>
      </rPr>
      <t>％点＝</t>
    </r>
    <rPh sb="0" eb="3">
      <t>ジユウド</t>
    </rPh>
    <rPh sb="5" eb="7">
      <t>ブンプ</t>
    </rPh>
    <rPh sb="8" eb="10">
      <t>ミギガワ</t>
    </rPh>
    <rPh sb="12" eb="13">
      <t>テン</t>
    </rPh>
    <phoneticPr fontId="6"/>
  </si>
  <si>
    <r>
      <rPr>
        <sz val="11"/>
        <color theme="1"/>
        <rFont val="Yu Gothic"/>
        <family val="2"/>
        <charset val="128"/>
      </rPr>
      <t>自由度4</t>
    </r>
    <r>
      <rPr>
        <sz val="11"/>
        <color theme="1"/>
        <rFont val="Arial"/>
        <family val="2"/>
      </rPr>
      <t>t</t>
    </r>
    <r>
      <rPr>
        <sz val="11"/>
        <color theme="1"/>
        <rFont val="Yu Gothic"/>
        <family val="2"/>
        <charset val="128"/>
      </rPr>
      <t>分布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Yu Gothic"/>
        <family val="2"/>
        <charset val="128"/>
      </rPr>
      <t>右側</t>
    </r>
    <r>
      <rPr>
        <sz val="11"/>
        <color theme="1"/>
        <rFont val="Arial"/>
        <family val="2"/>
      </rPr>
      <t>2.5</t>
    </r>
    <r>
      <rPr>
        <sz val="11"/>
        <color theme="1"/>
        <rFont val="ＭＳ ゴシック"/>
        <family val="3"/>
        <charset val="128"/>
      </rPr>
      <t>％点＝</t>
    </r>
    <rPh sb="0" eb="3">
      <t>ジユウド</t>
    </rPh>
    <rPh sb="5" eb="7">
      <t>ブンプ</t>
    </rPh>
    <rPh sb="8" eb="10">
      <t>ミギガワ</t>
    </rPh>
    <rPh sb="14" eb="15">
      <t>テン</t>
    </rPh>
    <phoneticPr fontId="6"/>
  </si>
  <si>
    <t>２０２０年</t>
    <rPh sb="4" eb="5">
      <t>ネン</t>
    </rPh>
    <phoneticPr fontId="6"/>
  </si>
  <si>
    <t>２０２１年</t>
    <rPh sb="4" eb="5">
      <t>ネン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</si>
</sst>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_ "/>
    <numFmt numFmtId="178" formatCode="0_ "/>
    <numFmt numFmtId="179" formatCode="0.000_ "/>
    <numFmt numFmtId="180" formatCode="#,##0.000_ "/>
    <numFmt numFmtId="181" formatCode="#,##0.00000000_ "/>
  </numFmts>
  <fonts count="24">
    <font>
      <sz val="11"/>
      <color theme="1"/>
      <name val="Arial"/>
      <scheme val="minor"/>
    </font>
    <font>
      <sz val="11"/>
      <color theme="1"/>
      <name val="Arial"/>
      <family val="2"/>
      <charset val="128"/>
      <scheme val="minor"/>
    </font>
    <font>
      <sz val="11"/>
      <color theme="1"/>
      <name val="Arial"/>
      <family val="2"/>
      <charset val="128"/>
      <scheme val="minor"/>
    </font>
    <font>
      <sz val="11"/>
      <color theme="1"/>
      <name val="Arial"/>
      <family val="2"/>
      <charset val="128"/>
      <scheme val="minor"/>
    </font>
    <font>
      <sz val="11"/>
      <color theme="1"/>
      <name val="Arial"/>
      <family val="2"/>
      <scheme val="minor"/>
    </font>
    <font>
      <sz val="11"/>
      <color theme="1"/>
      <name val="Tahoma"/>
      <family val="2"/>
    </font>
    <font>
      <sz val="6"/>
      <name val="Arial"/>
      <family val="3"/>
      <charset val="128"/>
      <scheme val="minor"/>
    </font>
    <font>
      <sz val="11"/>
      <color theme="1"/>
      <name val="Arial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Yu Gothic"/>
      <charset val="128"/>
    </font>
    <font>
      <sz val="11"/>
      <color theme="1"/>
      <name val="Arial"/>
      <family val="3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</font>
    <font>
      <sz val="11"/>
      <color theme="1"/>
      <name val="Yu Gothic"/>
      <family val="2"/>
      <charset val="128"/>
    </font>
    <font>
      <sz val="6"/>
      <name val="Arial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  <scheme val="minor"/>
    </font>
    <font>
      <sz val="11"/>
      <color theme="1"/>
      <name val="Yu Gothic"/>
      <family val="3"/>
      <charset val="128"/>
    </font>
    <font>
      <sz val="11"/>
      <color theme="1"/>
      <name val="Arial"/>
      <family val="2"/>
      <charset val="128"/>
    </font>
    <font>
      <sz val="11"/>
      <color theme="1"/>
      <name val="Arial"/>
      <family val="3"/>
      <charset val="128"/>
    </font>
    <font>
      <vertAlign val="superscript"/>
      <sz val="11"/>
      <color theme="1"/>
      <name val="ＭＳ Ｐゴシック"/>
      <family val="3"/>
      <charset val="128"/>
    </font>
    <font>
      <sz val="11"/>
      <color theme="1"/>
      <name val="Cambria Math"/>
      <family val="1"/>
    </font>
    <font>
      <sz val="11"/>
      <color theme="1"/>
      <name val="Arial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3"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1">
      <alignment vertical="center"/>
    </xf>
    <xf numFmtId="14" fontId="3" fillId="0" borderId="0" xfId="1" applyNumberFormat="1">
      <alignment vertical="center"/>
    </xf>
    <xf numFmtId="3" fontId="3" fillId="0" borderId="0" xfId="1" applyNumberFormat="1">
      <alignment vertical="center"/>
    </xf>
    <xf numFmtId="0" fontId="15" fillId="0" borderId="0" xfId="1" applyFont="1">
      <alignment vertical="center"/>
    </xf>
    <xf numFmtId="10" fontId="3" fillId="0" borderId="0" xfId="1" applyNumberFormat="1">
      <alignment vertical="center"/>
    </xf>
    <xf numFmtId="176" fontId="3" fillId="0" borderId="0" xfId="1" applyNumberFormat="1">
      <alignment vertical="center"/>
    </xf>
    <xf numFmtId="0" fontId="11" fillId="0" borderId="0" xfId="1" applyFont="1" applyAlignment="1">
      <alignment horizontal="right" vertical="center"/>
    </xf>
    <xf numFmtId="0" fontId="3" fillId="0" borderId="0" xfId="1" applyAlignment="1">
      <alignment horizontal="right" vertical="center"/>
    </xf>
    <xf numFmtId="0" fontId="3" fillId="0" borderId="0" xfId="1" applyAlignment="1">
      <alignment horizontal="right" vertical="center" wrapText="1"/>
    </xf>
    <xf numFmtId="0" fontId="7" fillId="0" borderId="0" xfId="1" applyFont="1">
      <alignment vertical="center"/>
    </xf>
    <xf numFmtId="178" fontId="3" fillId="0" borderId="0" xfId="1" applyNumberFormat="1">
      <alignment vertical="center"/>
    </xf>
    <xf numFmtId="0" fontId="2" fillId="0" borderId="0" xfId="1" applyFont="1">
      <alignment vertical="center"/>
    </xf>
    <xf numFmtId="179" fontId="3" fillId="0" borderId="0" xfId="1" applyNumberFormat="1">
      <alignment vertical="center"/>
    </xf>
    <xf numFmtId="0" fontId="19" fillId="0" borderId="0" xfId="1" applyFont="1" applyAlignment="1">
      <alignment horizontal="right" vertical="center" wrapText="1"/>
    </xf>
    <xf numFmtId="0" fontId="2" fillId="0" borderId="0" xfId="1" applyFont="1" applyAlignment="1">
      <alignment horizontal="right" vertical="center"/>
    </xf>
    <xf numFmtId="9" fontId="15" fillId="0" borderId="0" xfId="1" applyNumberFormat="1" applyFont="1">
      <alignment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3" fontId="2" fillId="0" borderId="0" xfId="1" applyNumberFormat="1" applyFont="1" applyAlignment="1">
      <alignment horizontal="right" vertical="center"/>
    </xf>
    <xf numFmtId="177" fontId="3" fillId="0" borderId="0" xfId="1" applyNumberFormat="1">
      <alignment vertical="center"/>
    </xf>
    <xf numFmtId="181" fontId="3" fillId="0" borderId="0" xfId="1" applyNumberFormat="1">
      <alignment vertical="center"/>
    </xf>
    <xf numFmtId="0" fontId="4" fillId="0" borderId="0" xfId="0" applyFont="1" applyAlignment="1">
      <alignment vertical="center"/>
    </xf>
    <xf numFmtId="0" fontId="7" fillId="0" borderId="1" xfId="1" applyFont="1" applyBorder="1" applyAlignment="1">
      <alignment horizontal="center" vertical="center"/>
    </xf>
    <xf numFmtId="10" fontId="3" fillId="0" borderId="1" xfId="1" applyNumberFormat="1" applyBorder="1">
      <alignment vertical="center"/>
    </xf>
    <xf numFmtId="0" fontId="8" fillId="0" borderId="0" xfId="1" applyFont="1" applyBorder="1" applyAlignment="1">
      <alignment horizontal="center" vertical="center"/>
    </xf>
    <xf numFmtId="3" fontId="3" fillId="0" borderId="0" xfId="1" applyNumberFormat="1" applyBorder="1">
      <alignment vertical="center"/>
    </xf>
    <xf numFmtId="3" fontId="3" fillId="0" borderId="1" xfId="1" applyNumberFormat="1" applyBorder="1">
      <alignment vertical="center"/>
    </xf>
    <xf numFmtId="0" fontId="8" fillId="0" borderId="1" xfId="1" applyFont="1" applyBorder="1" applyAlignment="1">
      <alignment horizontal="center" vertical="center"/>
    </xf>
    <xf numFmtId="14" fontId="2" fillId="0" borderId="1" xfId="1" applyNumberFormat="1" applyFont="1" applyBorder="1" applyAlignment="1">
      <alignment vertical="center" wrapText="1"/>
    </xf>
    <xf numFmtId="14" fontId="2" fillId="0" borderId="3" xfId="1" applyNumberFormat="1" applyFont="1" applyBorder="1" applyAlignment="1">
      <alignment vertical="center" wrapText="1"/>
    </xf>
    <xf numFmtId="3" fontId="3" fillId="0" borderId="2" xfId="1" applyNumberFormat="1" applyBorder="1">
      <alignment vertical="center"/>
    </xf>
    <xf numFmtId="3" fontId="3" fillId="0" borderId="3" xfId="1" applyNumberFormat="1" applyBorder="1">
      <alignment vertical="center"/>
    </xf>
    <xf numFmtId="0" fontId="3" fillId="0" borderId="2" xfId="1" applyBorder="1">
      <alignment vertical="center"/>
    </xf>
    <xf numFmtId="0" fontId="3" fillId="0" borderId="3" xfId="1" applyBorder="1">
      <alignment vertical="center"/>
    </xf>
    <xf numFmtId="9" fontId="0" fillId="0" borderId="0" xfId="0" applyNumberFormat="1" applyAlignment="1">
      <alignment vertical="center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8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4" fontId="0" fillId="0" borderId="4" xfId="0" applyNumberForma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15" fillId="0" borderId="4" xfId="1" applyFont="1" applyBorder="1">
      <alignment vertical="center"/>
    </xf>
    <xf numFmtId="14" fontId="3" fillId="0" borderId="4" xfId="1" applyNumberFormat="1" applyBorder="1">
      <alignment vertical="center"/>
    </xf>
    <xf numFmtId="0" fontId="3" fillId="0" borderId="4" xfId="1" applyBorder="1">
      <alignment vertical="center"/>
    </xf>
    <xf numFmtId="10" fontId="3" fillId="0" borderId="4" xfId="1" applyNumberFormat="1" applyBorder="1">
      <alignment vertical="center"/>
    </xf>
    <xf numFmtId="3" fontId="3" fillId="0" borderId="4" xfId="1" applyNumberFormat="1" applyBorder="1">
      <alignment vertical="center"/>
    </xf>
    <xf numFmtId="0" fontId="15" fillId="0" borderId="4" xfId="1" applyFont="1" applyBorder="1" applyAlignment="1">
      <alignment horizontal="center" vertical="center"/>
    </xf>
    <xf numFmtId="0" fontId="1" fillId="0" borderId="0" xfId="1" applyFont="1">
      <alignment vertical="center"/>
    </xf>
    <xf numFmtId="180" fontId="2" fillId="0" borderId="0" xfId="1" applyNumberFormat="1" applyFont="1" applyAlignment="1">
      <alignment horizontal="right" vertical="center"/>
    </xf>
  </cellXfs>
  <cellStyles count="2">
    <cellStyle name="標準" xfId="0" builtinId="0"/>
    <cellStyle name="標準 2" xfId="1" xr:uid="{5834F2DF-B5D4-450F-B8DE-7FA8FA9C8C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</a:t>
            </a:r>
            <a:r>
              <a:rPr lang="ja-JP" altLang="en-US"/>
              <a:t>分布確率密度関数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'問6.8'!$B$3</c:f>
              <c:strCache>
                <c:ptCount val="1"/>
                <c:pt idx="0">
                  <c:v>自由度(5,8)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'問6.8'!$A$4:$A$84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</c:numCache>
            </c:numRef>
          </c:xVal>
          <c:yVal>
            <c:numRef>
              <c:f>'問6.8'!$B$4:$B$84</c:f>
              <c:numCache>
                <c:formatCode>General</c:formatCode>
                <c:ptCount val="81"/>
                <c:pt idx="0">
                  <c:v>0</c:v>
                </c:pt>
                <c:pt idx="1">
                  <c:v>0.1020284539176448</c:v>
                </c:pt>
                <c:pt idx="2">
                  <c:v>0.23768071626680554</c:v>
                </c:pt>
                <c:pt idx="3">
                  <c:v>0.36166085831254646</c:v>
                </c:pt>
                <c:pt idx="4">
                  <c:v>0.46364507066635824</c:v>
                </c:pt>
                <c:pt idx="5">
                  <c:v>0.54225768408827346</c:v>
                </c:pt>
                <c:pt idx="6">
                  <c:v>0.59937056696341673</c:v>
                </c:pt>
                <c:pt idx="7">
                  <c:v>0.6379535069890282</c:v>
                </c:pt>
                <c:pt idx="8">
                  <c:v>0.66116057958713803</c:v>
                </c:pt>
                <c:pt idx="9">
                  <c:v>0.67194017839664877</c:v>
                </c:pt>
                <c:pt idx="10">
                  <c:v>0.67288605385201561</c:v>
                </c:pt>
                <c:pt idx="11">
                  <c:v>0.66620207543009824</c:v>
                </c:pt>
                <c:pt idx="12">
                  <c:v>0.65371942007194073</c:v>
                </c:pt>
                <c:pt idx="13">
                  <c:v>0.63693571784341707</c:v>
                </c:pt>
                <c:pt idx="14">
                  <c:v>0.61706094856076921</c:v>
                </c:pt>
                <c:pt idx="15">
                  <c:v>0.59506269778882637</c:v>
                </c:pt>
                <c:pt idx="16">
                  <c:v>0.57170744248458349</c:v>
                </c:pt>
                <c:pt idx="17">
                  <c:v>0.54759664258825902</c:v>
                </c:pt>
                <c:pt idx="18">
                  <c:v>0.52319748096000029</c:v>
                </c:pt>
                <c:pt idx="19">
                  <c:v>0.49886860274930656</c:v>
                </c:pt>
                <c:pt idx="20">
                  <c:v>0.47488141652354043</c:v>
                </c:pt>
                <c:pt idx="21">
                  <c:v>0.45143757519887528</c:v>
                </c:pt>
                <c:pt idx="22">
                  <c:v>0.428683232866442</c:v>
                </c:pt>
                <c:pt idx="23">
                  <c:v>0.40672061649557062</c:v>
                </c:pt>
                <c:pt idx="24">
                  <c:v>0.38561738204373036</c:v>
                </c:pt>
                <c:pt idx="25">
                  <c:v>0.36541415452730791</c:v>
                </c:pt>
                <c:pt idx="26">
                  <c:v>0.34613058680737613</c:v>
                </c:pt>
                <c:pt idx="27">
                  <c:v>0.32777021456092259</c:v>
                </c:pt>
                <c:pt idx="28">
                  <c:v>0.31032433569057188</c:v>
                </c:pt>
                <c:pt idx="29">
                  <c:v>0.29377510091889336</c:v>
                </c:pt>
                <c:pt idx="30">
                  <c:v>0.27809796775035539</c:v>
                </c:pt>
                <c:pt idx="31">
                  <c:v>0.26326364145769543</c:v>
                </c:pt>
                <c:pt idx="32">
                  <c:v>0.24923960335402279</c:v>
                </c:pt>
                <c:pt idx="33">
                  <c:v>0.23599130751159339</c:v>
                </c:pt>
                <c:pt idx="34">
                  <c:v>0.22348311154548464</c:v>
                </c:pt>
                <c:pt idx="35">
                  <c:v>0.21167899446256663</c:v>
                </c:pt>
                <c:pt idx="36">
                  <c:v>0.20054310435011674</c:v>
                </c:pt>
                <c:pt idx="37">
                  <c:v>0.19004017040070248</c:v>
                </c:pt>
                <c:pt idx="38">
                  <c:v>0.18013580707491339</c:v>
                </c:pt>
                <c:pt idx="39">
                  <c:v>0.17079673279167015</c:v>
                </c:pt>
                <c:pt idx="40">
                  <c:v>0.16199092116291697</c:v>
                </c:pt>
                <c:pt idx="41">
                  <c:v>0.15368769925700396</c:v>
                </c:pt>
                <c:pt idx="42">
                  <c:v>0.14585780452203989</c:v>
                </c:pt>
                <c:pt idx="43">
                  <c:v>0.13847340969664451</c:v>
                </c:pt>
                <c:pt idx="44">
                  <c:v>0.13150812317547217</c:v>
                </c:pt>
                <c:pt idx="45">
                  <c:v>0.12493697079549559</c:v>
                </c:pt>
                <c:pt idx="46">
                  <c:v>0.11873636379753559</c:v>
                </c:pt>
                <c:pt idx="47">
                  <c:v>0.11288405674034813</c:v>
                </c:pt>
                <c:pt idx="48">
                  <c:v>0.1073590983568696</c:v>
                </c:pt>
                <c:pt idx="49">
                  <c:v>0.10214177770770815</c:v>
                </c:pt>
                <c:pt idx="50">
                  <c:v>9.7213567476367155E-2</c:v>
                </c:pt>
                <c:pt idx="51">
                  <c:v>9.2557065840302974E-2</c:v>
                </c:pt>
                <c:pt idx="52">
                  <c:v>8.815593802259479E-2</c:v>
                </c:pt>
                <c:pt idx="53">
                  <c:v>8.3994858365243286E-2</c:v>
                </c:pt>
                <c:pt idx="54">
                  <c:v>8.0059453554367374E-2</c:v>
                </c:pt>
                <c:pt idx="55">
                  <c:v>7.6336247459679818E-2</c:v>
                </c:pt>
                <c:pt idx="56">
                  <c:v>7.2812607917347713E-2</c:v>
                </c:pt>
                <c:pt idx="57">
                  <c:v>6.9476695680035006E-2</c:v>
                </c:pt>
                <c:pt idx="58">
                  <c:v>6.631741567515613E-2</c:v>
                </c:pt>
                <c:pt idx="59">
                  <c:v>6.3324370647774492E-2</c:v>
                </c:pt>
                <c:pt idx="60">
                  <c:v>6.0487817214590643E-2</c:v>
                </c:pt>
                <c:pt idx="61">
                  <c:v>5.7798624317223227E-2</c:v>
                </c:pt>
                <c:pt idx="62">
                  <c:v>5.5248234034127583E-2</c:v>
                </c:pt>
                <c:pt idx="63">
                  <c:v>5.282862468916362E-2</c:v>
                </c:pt>
                <c:pt idx="64">
                  <c:v>5.0532276179458525E-2</c:v>
                </c:pt>
                <c:pt idx="65">
                  <c:v>4.8352137434582866E-2</c:v>
                </c:pt>
                <c:pt idx="66">
                  <c:v>4.6281595912170945E-2</c:v>
                </c:pt>
                <c:pt idx="67">
                  <c:v>4.4314449031150741E-2</c:v>
                </c:pt>
                <c:pt idx="68">
                  <c:v>4.2444877442057792E-2</c:v>
                </c:pt>
                <c:pt idx="69">
                  <c:v>4.0667420033964473E-2</c:v>
                </c:pt>
                <c:pt idx="70">
                  <c:v>3.8976950578938782E-2</c:v>
                </c:pt>
                <c:pt idx="71">
                  <c:v>3.736865591731988E-2</c:v>
                </c:pt>
                <c:pt idx="72">
                  <c:v>3.5838015590183597E-2</c:v>
                </c:pt>
                <c:pt idx="73">
                  <c:v>3.4380782828970079E-2</c:v>
                </c:pt>
                <c:pt idx="74">
                  <c:v>3.2992966816170394E-2</c:v>
                </c:pt>
                <c:pt idx="75">
                  <c:v>3.1670816135101101E-2</c:v>
                </c:pt>
                <c:pt idx="76">
                  <c:v>3.0410803331023362E-2</c:v>
                </c:pt>
                <c:pt idx="77">
                  <c:v>2.9209610510107935E-2</c:v>
                </c:pt>
                <c:pt idx="78">
                  <c:v>2.8064115906948052E-2</c:v>
                </c:pt>
                <c:pt idx="79">
                  <c:v>2.6971381355434868E-2</c:v>
                </c:pt>
                <c:pt idx="80">
                  <c:v>2.5928640601796518E-2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C-43A4-B6FA-A96FAEDC47AA}"/>
            </c:ext>
          </c:extLst>
        </c:ser>
        <c:ser>
          <c:idx val="1"/>
          <c:order val="1"/>
          <c:tx>
            <c:strRef>
              <c:f>'問6.8'!$C$3</c:f>
              <c:strCache>
                <c:ptCount val="1"/>
                <c:pt idx="0">
                  <c:v>自由度(10,15)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'問6.8'!$A$4:$A$84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</c:numCache>
            </c:numRef>
          </c:xVal>
          <c:yVal>
            <c:numRef>
              <c:f>'問6.8'!$C$4:$C$84</c:f>
              <c:numCache>
                <c:formatCode>General</c:formatCode>
                <c:ptCount val="81"/>
                <c:pt idx="0">
                  <c:v>0</c:v>
                </c:pt>
                <c:pt idx="1">
                  <c:v>1.6645541399660246E-3</c:v>
                </c:pt>
                <c:pt idx="2">
                  <c:v>1.7908711977074498E-2</c:v>
                </c:pt>
                <c:pt idx="3">
                  <c:v>6.1713456093774974E-2</c:v>
                </c:pt>
                <c:pt idx="4">
                  <c:v>0.13429894481984472</c:v>
                </c:pt>
                <c:pt idx="5">
                  <c:v>0.22821729901956153</c:v>
                </c:pt>
                <c:pt idx="6">
                  <c:v>0.33276898351893458</c:v>
                </c:pt>
                <c:pt idx="7">
                  <c:v>0.43771326417583722</c:v>
                </c:pt>
                <c:pt idx="8">
                  <c:v>0.53503733524810126</c:v>
                </c:pt>
                <c:pt idx="9">
                  <c:v>0.61941475739148388</c:v>
                </c:pt>
                <c:pt idx="10">
                  <c:v>0.68796953428063301</c:v>
                </c:pt>
                <c:pt idx="11">
                  <c:v>0.73976133745201145</c:v>
                </c:pt>
                <c:pt idx="12">
                  <c:v>0.77522532609335704</c:v>
                </c:pt>
                <c:pt idx="13">
                  <c:v>0.7956770150456951</c:v>
                </c:pt>
                <c:pt idx="14">
                  <c:v>0.8029209408076915</c:v>
                </c:pt>
                <c:pt idx="15">
                  <c:v>0.79896492175019485</c:v>
                </c:pt>
                <c:pt idx="16">
                  <c:v>0.78582552756229218</c:v>
                </c:pt>
                <c:pt idx="17">
                  <c:v>0.76540546626873063</c:v>
                </c:pt>
                <c:pt idx="18">
                  <c:v>0.73942418510889596</c:v>
                </c:pt>
                <c:pt idx="19">
                  <c:v>0.70938581765768549</c:v>
                </c:pt>
                <c:pt idx="20">
                  <c:v>0.67657200953522179</c:v>
                </c:pt>
                <c:pt idx="21">
                  <c:v>0.64205033347725893</c:v>
                </c:pt>
                <c:pt idx="22">
                  <c:v>0.60669166160236787</c:v>
                </c:pt>
                <c:pt idx="23">
                  <c:v>0.57119194220798408</c:v>
                </c:pt>
                <c:pt idx="24">
                  <c:v>0.53609538330730144</c:v>
                </c:pt>
                <c:pt idx="25">
                  <c:v>0.50181716685490474</c:v>
                </c:pt>
                <c:pt idx="26">
                  <c:v>0.46866460173812446</c:v>
                </c:pt>
                <c:pt idx="27">
                  <c:v>0.43685615489875651</c:v>
                </c:pt>
                <c:pt idx="28">
                  <c:v>0.406538147633907</c:v>
                </c:pt>
                <c:pt idx="29">
                  <c:v>0.37779912195190407</c:v>
                </c:pt>
                <c:pt idx="30">
                  <c:v>0.35068201009792349</c:v>
                </c:pt>
                <c:pt idx="31">
                  <c:v>0.32519430837748903</c:v>
                </c:pt>
                <c:pt idx="32">
                  <c:v>0.30131648512566178</c:v>
                </c:pt>
                <c:pt idx="33">
                  <c:v>0.27900885671167835</c:v>
                </c:pt>
                <c:pt idx="34">
                  <c:v>0.2582171548326091</c:v>
                </c:pt>
                <c:pt idx="35">
                  <c:v>0.23887698972567648</c:v>
                </c:pt>
                <c:pt idx="36">
                  <c:v>0.22091739167773025</c:v>
                </c:pt>
                <c:pt idx="37">
                  <c:v>0.20426359007914943</c:v>
                </c:pt>
                <c:pt idx="38">
                  <c:v>0.18883916690739694</c:v>
                </c:pt>
                <c:pt idx="39">
                  <c:v>0.17456770084937237</c:v>
                </c:pt>
                <c:pt idx="40">
                  <c:v>0.16137399972080979</c:v>
                </c:pt>
                <c:pt idx="41">
                  <c:v>0.14918500255260278</c:v>
                </c:pt>
                <c:pt idx="42">
                  <c:v>0.13793041864265621</c:v>
                </c:pt>
                <c:pt idx="43">
                  <c:v>0.12754315886876041</c:v>
                </c:pt>
                <c:pt idx="44">
                  <c:v>0.11795960442250031</c:v>
                </c:pt>
                <c:pt idx="45">
                  <c:v>0.1091197496369206</c:v>
                </c:pt>
                <c:pt idx="46">
                  <c:v>0.10096724852351487</c:v>
                </c:pt>
                <c:pt idx="47">
                  <c:v>9.3449388801588346E-2</c:v>
                </c:pt>
                <c:pt idx="48">
                  <c:v>8.6517012408600422E-2</c:v>
                </c:pt>
                <c:pt idx="49">
                  <c:v>8.0124397558091587E-2</c:v>
                </c:pt>
                <c:pt idx="50">
                  <c:v>7.4229114218076861E-2</c:v>
                </c:pt>
                <c:pt idx="51">
                  <c:v>6.8791862293363842E-2</c:v>
                </c:pt>
                <c:pt idx="52">
                  <c:v>6.3776299704805986E-2</c:v>
                </c:pt>
                <c:pt idx="53">
                  <c:v>5.91488658781587E-2</c:v>
                </c:pt>
                <c:pt idx="54">
                  <c:v>5.487860481063548E-2</c:v>
                </c:pt>
                <c:pt idx="55">
                  <c:v>5.0936990812545491E-2</c:v>
                </c:pt>
                <c:pt idx="56">
                  <c:v>4.7297759173291404E-2</c:v>
                </c:pt>
                <c:pt idx="57">
                  <c:v>4.3936743333216254E-2</c:v>
                </c:pt>
                <c:pt idx="58">
                  <c:v>4.0831719620596528E-2</c:v>
                </c:pt>
                <c:pt idx="59">
                  <c:v>3.7962260208019197E-2</c:v>
                </c:pt>
                <c:pt idx="60">
                  <c:v>3.530959463123403E-2</c:v>
                </c:pt>
                <c:pt idx="61">
                  <c:v>3.2856479977438811E-2</c:v>
                </c:pt>
                <c:pt idx="62">
                  <c:v>3.0587079673458962E-2</c:v>
                </c:pt>
                <c:pt idx="63">
                  <c:v>2.8486850675024919E-2</c:v>
                </c:pt>
                <c:pt idx="64">
                  <c:v>2.654243876626072E-2</c:v>
                </c:pt>
                <c:pt idx="65">
                  <c:v>2.4741581615506228E-2</c:v>
                </c:pt>
                <c:pt idx="66">
                  <c:v>2.3073019193208946E-2</c:v>
                </c:pt>
                <c:pt idx="67">
                  <c:v>2.1526411134630021E-2</c:v>
                </c:pt>
                <c:pt idx="68">
                  <c:v>2.0092260620377712E-2</c:v>
                </c:pt>
                <c:pt idx="69">
                  <c:v>1.8761844347997381E-2</c:v>
                </c:pt>
                <c:pt idx="70">
                  <c:v>1.7527148175414873E-2</c:v>
                </c:pt>
                <c:pt idx="71">
                  <c:v>1.6380808029877653E-2</c:v>
                </c:pt>
                <c:pt idx="72">
                  <c:v>1.5316055692567058E-2</c:v>
                </c:pt>
                <c:pt idx="73">
                  <c:v>1.4326669088001488E-2</c:v>
                </c:pt>
                <c:pt idx="74">
                  <c:v>1.3406926727756585E-2</c:v>
                </c:pt>
                <c:pt idx="75">
                  <c:v>1.2551565979145151E-2</c:v>
                </c:pt>
                <c:pt idx="76">
                  <c:v>1.1755744850778623E-2</c:v>
                </c:pt>
                <c:pt idx="77">
                  <c:v>1.101500700795088E-2</c:v>
                </c:pt>
                <c:pt idx="78">
                  <c:v>1.0325249751250933E-2</c:v>
                </c:pt>
                <c:pt idx="79">
                  <c:v>9.6826947115049213E-3</c:v>
                </c:pt>
                <c:pt idx="80">
                  <c:v>9.0838610329325217E-3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C-43A4-B6FA-A96FAEDC47AA}"/>
            </c:ext>
          </c:extLst>
        </c:ser>
        <c:ser>
          <c:idx val="2"/>
          <c:order val="2"/>
          <c:tx>
            <c:strRef>
              <c:f>'問6.8'!$D$3</c:f>
              <c:strCache>
                <c:ptCount val="1"/>
                <c:pt idx="0">
                  <c:v>自由度(20,25)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'問6.8'!$A$4:$A$84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</c:numCache>
            </c:numRef>
          </c:xVal>
          <c:yVal>
            <c:numRef>
              <c:f>'問6.8'!$D$4:$D$84</c:f>
              <c:numCache>
                <c:formatCode>General</c:formatCode>
                <c:ptCount val="81"/>
                <c:pt idx="0">
                  <c:v>0</c:v>
                </c:pt>
                <c:pt idx="1">
                  <c:v>4.1637138719083368E-7</c:v>
                </c:pt>
                <c:pt idx="2">
                  <c:v>9.1194043833443028E-5</c:v>
                </c:pt>
                <c:pt idx="3">
                  <c:v>1.5467381377435513E-3</c:v>
                </c:pt>
                <c:pt idx="4">
                  <c:v>9.3533282503278792E-3</c:v>
                </c:pt>
                <c:pt idx="5">
                  <c:v>3.2499974076457376E-2</c:v>
                </c:pt>
                <c:pt idx="6">
                  <c:v>8.0187070752678183E-2</c:v>
                </c:pt>
                <c:pt idx="7">
                  <c:v>0.15717702150579987</c:v>
                </c:pt>
                <c:pt idx="8">
                  <c:v>0.26159379746406836</c:v>
                </c:pt>
                <c:pt idx="9">
                  <c:v>0.38573421084216658</c:v>
                </c:pt>
                <c:pt idx="10">
                  <c:v>0.51862113208898453</c:v>
                </c:pt>
                <c:pt idx="11">
                  <c:v>0.64879740759576976</c:v>
                </c:pt>
                <c:pt idx="12">
                  <c:v>0.76643200102550035</c:v>
                </c:pt>
                <c:pt idx="13">
                  <c:v>0.86445114447971094</c:v>
                </c:pt>
                <c:pt idx="14">
                  <c:v>0.93881467527005291</c:v>
                </c:pt>
                <c:pt idx="15">
                  <c:v>0.98821793908013367</c:v>
                </c:pt>
                <c:pt idx="16">
                  <c:v>1.0135012168073632</c:v>
                </c:pt>
                <c:pt idx="17">
                  <c:v>1.0169801242117624</c:v>
                </c:pt>
                <c:pt idx="18">
                  <c:v>1.0018287763331875</c:v>
                </c:pt>
                <c:pt idx="19">
                  <c:v>0.97157961545177629</c:v>
                </c:pt>
                <c:pt idx="20">
                  <c:v>0.92975732323078997</c:v>
                </c:pt>
                <c:pt idx="21">
                  <c:v>0.87963731958532709</c:v>
                </c:pt>
                <c:pt idx="22">
                  <c:v>0.82410686244004627</c:v>
                </c:pt>
                <c:pt idx="23">
                  <c:v>0.76560346432912418</c:v>
                </c:pt>
                <c:pt idx="24">
                  <c:v>0.7061071050255</c:v>
                </c:pt>
                <c:pt idx="25">
                  <c:v>0.6471667367913263</c:v>
                </c:pt>
                <c:pt idx="26">
                  <c:v>0.58994615680069251</c:v>
                </c:pt>
                <c:pt idx="27">
                  <c:v>0.53527856473520374</c:v>
                </c:pt>
                <c:pt idx="28">
                  <c:v>0.48372264930131303</c:v>
                </c:pt>
                <c:pt idx="29">
                  <c:v>0.435615768266084</c:v>
                </c:pt>
                <c:pt idx="30">
                  <c:v>0.39112176635584772</c:v>
                </c:pt>
                <c:pt idx="31">
                  <c:v>0.35027233993336249</c:v>
                </c:pt>
                <c:pt idx="32">
                  <c:v>0.3130017451549903</c:v>
                </c:pt>
                <c:pt idx="33">
                  <c:v>0.2791751836278431</c:v>
                </c:pt>
                <c:pt idx="34">
                  <c:v>0.24861149099750071</c:v>
                </c:pt>
                <c:pt idx="35">
                  <c:v>0.22110088058193145</c:v>
                </c:pt>
                <c:pt idx="36">
                  <c:v>0.19641851618122955</c:v>
                </c:pt>
                <c:pt idx="37">
                  <c:v>0.17433464817182259</c:v>
                </c:pt>
                <c:pt idx="38">
                  <c:v>0.15462197404848455</c:v>
                </c:pt>
                <c:pt idx="39">
                  <c:v>0.13706079777321242</c:v>
                </c:pt>
                <c:pt idx="40">
                  <c:v>0.1214424735036666</c:v>
                </c:pt>
                <c:pt idx="41">
                  <c:v>0.10757153540917791</c:v>
                </c:pt>
                <c:pt idx="42">
                  <c:v>9.5266839919300725E-2</c:v>
                </c:pt>
                <c:pt idx="43">
                  <c:v>8.4361981331633654E-2</c:v>
                </c:pt>
                <c:pt idx="44">
                  <c:v>7.4705186366979884E-2</c:v>
                </c:pt>
                <c:pt idx="45">
                  <c:v>6.6158847389466119E-2</c:v>
                </c:pt>
                <c:pt idx="46">
                  <c:v>5.8598816618280189E-2</c:v>
                </c:pt>
                <c:pt idx="47">
                  <c:v>5.1913553613913067E-2</c:v>
                </c:pt>
                <c:pt idx="48">
                  <c:v>4.6003194489956864E-2</c:v>
                </c:pt>
                <c:pt idx="49">
                  <c:v>4.0778592622275754E-2</c:v>
                </c:pt>
                <c:pt idx="50">
                  <c:v>3.6160366155911408E-2</c:v>
                </c:pt>
                <c:pt idx="51">
                  <c:v>3.2077976529844732E-2</c:v>
                </c:pt>
                <c:pt idx="52">
                  <c:v>2.846885386114233E-2</c:v>
                </c:pt>
                <c:pt idx="53">
                  <c:v>2.5277578781227203E-2</c:v>
                </c:pt>
                <c:pt idx="54">
                  <c:v>2.2455125730619006E-2</c:v>
                </c:pt>
                <c:pt idx="55">
                  <c:v>1.9958169417141604E-2</c:v>
                </c:pt>
                <c:pt idx="56">
                  <c:v>1.7748453824812133E-2</c:v>
                </c:pt>
                <c:pt idx="57">
                  <c:v>1.579222158784966E-2</c:v>
                </c:pt>
                <c:pt idx="58">
                  <c:v>1.4059700529285143E-2</c:v>
                </c:pt>
                <c:pt idx="59">
                  <c:v>1.2524643560925239E-2</c:v>
                </c:pt>
                <c:pt idx="60">
                  <c:v>1.1163917838534165E-2</c:v>
                </c:pt>
                <c:pt idx="61">
                  <c:v>9.9571389770861732E-3</c:v>
                </c:pt>
                <c:pt idx="62">
                  <c:v>8.8863461905836615E-3</c:v>
                </c:pt>
                <c:pt idx="63">
                  <c:v>7.9357143802550687E-3</c:v>
                </c:pt>
                <c:pt idx="64">
                  <c:v>7.0912994175671793E-3</c:v>
                </c:pt>
                <c:pt idx="65">
                  <c:v>6.3408131277221114E-3</c:v>
                </c:pt>
                <c:pt idx="66">
                  <c:v>5.6734247559282209E-3</c:v>
                </c:pt>
                <c:pt idx="67">
                  <c:v>5.0795859791146741E-3</c:v>
                </c:pt>
                <c:pt idx="68">
                  <c:v>4.5508768005531287E-3</c:v>
                </c:pt>
                <c:pt idx="69">
                  <c:v>4.079869927853268E-3</c:v>
                </c:pt>
                <c:pt idx="70">
                  <c:v>3.6600114821637771E-3</c:v>
                </c:pt>
                <c:pt idx="71">
                  <c:v>3.2855161159730953E-3</c:v>
                </c:pt>
                <c:pt idx="72">
                  <c:v>2.9512748277320693E-3</c:v>
                </c:pt>
                <c:pt idx="73">
                  <c:v>2.6527739535270353E-3</c:v>
                </c:pt>
                <c:pt idx="74">
                  <c:v>2.3860239897115182E-3</c:v>
                </c:pt>
                <c:pt idx="75">
                  <c:v>2.1474970566341769E-3</c:v>
                </c:pt>
                <c:pt idx="76">
                  <c:v>1.9340719534819615E-3</c:v>
                </c:pt>
                <c:pt idx="77">
                  <c:v>1.7429858790183961E-3</c:v>
                </c:pt>
                <c:pt idx="78">
                  <c:v>1.571792003910802E-3</c:v>
                </c:pt>
                <c:pt idx="79">
                  <c:v>1.4183221786742775E-3</c:v>
                </c:pt>
                <c:pt idx="80">
                  <c:v>1.2806541482392542E-3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CC-43A4-B6FA-A96FAEDC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71928"/>
        <c:axId val="771066680"/>
      </c:scatterChart>
      <c:valAx>
        <c:axId val="77107192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066680"/>
        <c:crosses val="autoZero"/>
        <c:crossBetween val="midCat"/>
      </c:valAx>
      <c:valAx>
        <c:axId val="77106668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0719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539115</xdr:colOff>
      <xdr:row>17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6258DF-2B82-4289-B9CA-0A698843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D901-7463-4CD1-8419-89268E75295B}">
  <dimension ref="A1:F10"/>
  <sheetViews>
    <sheetView workbookViewId="0">
      <selection activeCell="F5" sqref="F5"/>
    </sheetView>
  </sheetViews>
  <sheetFormatPr defaultRowHeight="13.5"/>
  <cols>
    <col min="1" max="1" width="13.4375" customWidth="1"/>
  </cols>
  <sheetData>
    <row r="1" spans="1:6">
      <c r="A1" s="57" t="s">
        <v>9</v>
      </c>
    </row>
    <row r="2" spans="1:6" ht="17.649999999999999">
      <c r="A2" s="47" t="s">
        <v>74</v>
      </c>
      <c r="B2">
        <v>0.16600000000000001</v>
      </c>
      <c r="C2" s="33" t="s">
        <v>83</v>
      </c>
    </row>
    <row r="3" spans="1:6" ht="15.4">
      <c r="A3" s="59" t="s">
        <v>75</v>
      </c>
      <c r="B3">
        <v>3.0310000000000001</v>
      </c>
      <c r="C3" s="33" t="s">
        <v>84</v>
      </c>
    </row>
    <row r="4" spans="1:6">
      <c r="A4" s="59" t="s">
        <v>29</v>
      </c>
      <c r="B4">
        <v>10</v>
      </c>
    </row>
    <row r="5" spans="1:6" ht="31.15">
      <c r="A5" s="7" t="s">
        <v>78</v>
      </c>
      <c r="B5" s="2">
        <f>_xlfn.T.INV(97.5%,9)</f>
        <v>2.2621571627982049</v>
      </c>
    </row>
    <row r="6" spans="1:6" ht="35.25">
      <c r="A6" s="7" t="s">
        <v>77</v>
      </c>
      <c r="B6" s="2">
        <f>_xlfn.T.INV(2.5%,9)</f>
        <v>-2.2621571627982053</v>
      </c>
    </row>
    <row r="7" spans="1:6">
      <c r="A7" s="6"/>
    </row>
    <row r="8" spans="1:6">
      <c r="A8" s="59" t="s">
        <v>22</v>
      </c>
      <c r="B8" s="2">
        <f>(B2-2)/SQRT(B3/B4)</f>
        <v>-3.3312433786856448</v>
      </c>
    </row>
    <row r="10" spans="1:6" ht="83.65">
      <c r="A10" s="58" t="s">
        <v>76</v>
      </c>
      <c r="B10" s="58"/>
      <c r="C10" s="58"/>
      <c r="D10" s="58"/>
      <c r="E10" s="58"/>
      <c r="F10" s="58"/>
    </row>
  </sheetData>
  <mergeCells count="1">
    <mergeCell ref="A10:F10"/>
  </mergeCells>
  <phoneticPr fontId="6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044-BC45-49F9-A882-BCBF4D7FEFCB}">
  <dimension ref="A1:D8"/>
  <sheetViews>
    <sheetView workbookViewId="0"/>
  </sheetViews>
  <sheetFormatPr defaultRowHeight="13.5"/>
  <cols>
    <col min="1" max="1" width="14.1875" customWidth="1"/>
    <col min="2" max="2" width="5" bestFit="1" customWidth="1"/>
    <col min="3" max="3" width="3" bestFit="1" customWidth="1"/>
    <col min="4" max="4" width="4" bestFit="1" customWidth="1"/>
  </cols>
  <sheetData>
    <row r="1" spans="1:4">
      <c r="A1" s="4" t="s">
        <v>73</v>
      </c>
    </row>
    <row r="2" spans="1:4">
      <c r="B2" s="50" t="s">
        <v>53</v>
      </c>
      <c r="C2" s="50" t="s">
        <v>54</v>
      </c>
      <c r="D2" s="51" t="s">
        <v>55</v>
      </c>
    </row>
    <row r="3" spans="1:4">
      <c r="A3" s="61" t="s">
        <v>56</v>
      </c>
      <c r="B3" s="52">
        <v>43</v>
      </c>
      <c r="C3" s="52">
        <v>57</v>
      </c>
      <c r="D3" s="52">
        <f>SUM(B3:C3)</f>
        <v>100</v>
      </c>
    </row>
    <row r="4" spans="1:4">
      <c r="A4" s="50" t="s">
        <v>57</v>
      </c>
      <c r="B4" s="52">
        <f>$D$3/2</f>
        <v>50</v>
      </c>
      <c r="C4" s="52">
        <f>$D$3/2</f>
        <v>50</v>
      </c>
      <c r="D4" s="52"/>
    </row>
    <row r="6" spans="1:4" ht="17.649999999999999">
      <c r="A6" s="47" t="s">
        <v>58</v>
      </c>
      <c r="B6">
        <f>(B3-B4)^2/B4+(C3-C4)^2/C4</f>
        <v>1.96</v>
      </c>
    </row>
    <row r="7" spans="1:4" ht="29.65">
      <c r="A7" s="7" t="s">
        <v>59</v>
      </c>
      <c r="B7">
        <f>_xlfn.CHISQ.INV(95%,1)</f>
        <v>3.8414588206941236</v>
      </c>
    </row>
    <row r="8" spans="1:4">
      <c r="A8" s="9" t="s">
        <v>60</v>
      </c>
      <c r="B8" s="46">
        <f>1-_xlfn.CHISQ.DIST(B6,1,TRUE)</f>
        <v>0.16151331846754213</v>
      </c>
    </row>
  </sheetData>
  <phoneticPr fontId="6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732A-A788-40B7-8977-193A245AF422}">
  <dimension ref="A1:E25"/>
  <sheetViews>
    <sheetView tabSelected="1" topLeftCell="A13" workbookViewId="0">
      <selection activeCell="C25" sqref="C25"/>
    </sheetView>
  </sheetViews>
  <sheetFormatPr defaultRowHeight="13.5"/>
  <sheetData>
    <row r="1" spans="1:5">
      <c r="A1" s="60" t="s">
        <v>79</v>
      </c>
    </row>
    <row r="2" spans="1:5">
      <c r="A2" s="33" t="s">
        <v>65</v>
      </c>
    </row>
    <row r="3" spans="1:5">
      <c r="C3" s="54" t="s">
        <v>67</v>
      </c>
      <c r="D3" s="54"/>
    </row>
    <row r="4" spans="1:5">
      <c r="C4" s="50" t="s">
        <v>63</v>
      </c>
      <c r="D4" s="51" t="s">
        <v>64</v>
      </c>
      <c r="E4" s="50" t="s">
        <v>55</v>
      </c>
    </row>
    <row r="5" spans="1:5">
      <c r="A5" s="55" t="s">
        <v>71</v>
      </c>
      <c r="B5" s="50" t="s">
        <v>61</v>
      </c>
      <c r="C5" s="52">
        <v>42</v>
      </c>
      <c r="D5" s="52">
        <v>58</v>
      </c>
      <c r="E5" s="52">
        <f>SUM(C5:D5)</f>
        <v>100</v>
      </c>
    </row>
    <row r="6" spans="1:5">
      <c r="A6" s="56"/>
      <c r="B6" s="50" t="s">
        <v>62</v>
      </c>
      <c r="C6" s="52">
        <v>29</v>
      </c>
      <c r="D6" s="52">
        <v>71</v>
      </c>
      <c r="E6" s="52">
        <f>SUM(C6:D6)</f>
        <v>100</v>
      </c>
    </row>
    <row r="7" spans="1:5">
      <c r="B7" s="50" t="s">
        <v>55</v>
      </c>
      <c r="C7" s="52">
        <f>SUM(C5:C6)</f>
        <v>71</v>
      </c>
      <c r="D7" s="52">
        <f>SUM(D5:D6)</f>
        <v>129</v>
      </c>
      <c r="E7" s="52">
        <f>SUM(C7:D7)</f>
        <v>200</v>
      </c>
    </row>
    <row r="8" spans="1:5">
      <c r="B8" s="48"/>
    </row>
    <row r="9" spans="1:5">
      <c r="A9" s="4" t="s">
        <v>66</v>
      </c>
      <c r="B9" s="48"/>
    </row>
    <row r="10" spans="1:5">
      <c r="B10" s="48"/>
      <c r="C10" s="54" t="s">
        <v>67</v>
      </c>
      <c r="D10" s="54"/>
    </row>
    <row r="11" spans="1:5">
      <c r="B11" s="48"/>
      <c r="C11" s="50" t="s">
        <v>63</v>
      </c>
      <c r="D11" s="51" t="s">
        <v>64</v>
      </c>
      <c r="E11" s="50" t="s">
        <v>55</v>
      </c>
    </row>
    <row r="12" spans="1:5">
      <c r="A12" s="55" t="s">
        <v>71</v>
      </c>
      <c r="B12" s="50" t="s">
        <v>61</v>
      </c>
      <c r="C12" s="52">
        <f>C7*E5/$E$7</f>
        <v>35.5</v>
      </c>
      <c r="D12" s="52">
        <f>D7*E5/$E$7</f>
        <v>64.5</v>
      </c>
      <c r="E12" s="52">
        <f>SUM(C12:D12)</f>
        <v>100</v>
      </c>
    </row>
    <row r="13" spans="1:5">
      <c r="A13" s="56"/>
      <c r="B13" s="50" t="s">
        <v>62</v>
      </c>
      <c r="C13" s="52">
        <f>C7*E6/$E$7</f>
        <v>35.5</v>
      </c>
      <c r="D13" s="52">
        <f>D7*E6/$E$7</f>
        <v>64.5</v>
      </c>
      <c r="E13" s="52">
        <f>SUM(C13:D13)</f>
        <v>100</v>
      </c>
    </row>
    <row r="14" spans="1:5">
      <c r="B14" s="50" t="s">
        <v>55</v>
      </c>
      <c r="C14" s="52">
        <f>SUM(C12:C13)</f>
        <v>71</v>
      </c>
      <c r="D14" s="52">
        <f>SUM(D12:D13)</f>
        <v>129</v>
      </c>
      <c r="E14" s="52">
        <f>SUM(C14:D14)</f>
        <v>200</v>
      </c>
    </row>
    <row r="15" spans="1:5">
      <c r="B15" s="48"/>
    </row>
    <row r="16" spans="1:5" ht="14.65">
      <c r="A16" s="4" t="s">
        <v>70</v>
      </c>
      <c r="B16" s="48"/>
    </row>
    <row r="17" spans="1:5">
      <c r="B17" s="48"/>
      <c r="C17" s="54" t="s">
        <v>67</v>
      </c>
      <c r="D17" s="54"/>
    </row>
    <row r="18" spans="1:5">
      <c r="B18" s="48"/>
      <c r="C18" s="50" t="s">
        <v>63</v>
      </c>
      <c r="D18" s="51" t="s">
        <v>64</v>
      </c>
      <c r="E18" s="50" t="s">
        <v>55</v>
      </c>
    </row>
    <row r="19" spans="1:5">
      <c r="A19" s="55" t="s">
        <v>71</v>
      </c>
      <c r="B19" s="50" t="s">
        <v>61</v>
      </c>
      <c r="C19" s="53">
        <f>(C5-C12)^2/C12</f>
        <v>1.1901408450704225</v>
      </c>
      <c r="D19" s="53">
        <f>(D5-D12)^2/D12</f>
        <v>0.65503875968992253</v>
      </c>
      <c r="E19" s="53">
        <f>SUM(C19:D19)</f>
        <v>1.845179604760345</v>
      </c>
    </row>
    <row r="20" spans="1:5">
      <c r="A20" s="56"/>
      <c r="B20" s="50" t="s">
        <v>62</v>
      </c>
      <c r="C20" s="53">
        <f>(C6-C13)^2/C13</f>
        <v>1.1901408450704225</v>
      </c>
      <c r="D20" s="53">
        <f>(D6-D13)^2/D13</f>
        <v>0.65503875968992253</v>
      </c>
      <c r="E20" s="53">
        <f>SUM(C20:D20)</f>
        <v>1.845179604760345</v>
      </c>
    </row>
    <row r="21" spans="1:5">
      <c r="B21" s="50" t="s">
        <v>55</v>
      </c>
      <c r="C21" s="53">
        <f>SUM(C19:C20)</f>
        <v>2.380281690140845</v>
      </c>
      <c r="D21" s="53">
        <f>SUM(D19:D20)</f>
        <v>1.3100775193798451</v>
      </c>
      <c r="E21" s="53">
        <f>SUM(C21:D21)</f>
        <v>3.6903592095206901</v>
      </c>
    </row>
    <row r="22" spans="1:5">
      <c r="B22" s="4"/>
    </row>
    <row r="23" spans="1:5" ht="17.649999999999999">
      <c r="B23" s="47" t="s">
        <v>69</v>
      </c>
      <c r="C23" s="2">
        <f>E21</f>
        <v>3.6903592095206901</v>
      </c>
    </row>
    <row r="24" spans="1:5" ht="17.649999999999999">
      <c r="B24" s="47" t="s">
        <v>68</v>
      </c>
      <c r="C24">
        <f>(2-1)*(2-1)</f>
        <v>1</v>
      </c>
    </row>
    <row r="25" spans="1:5" ht="52.9">
      <c r="B25" s="49" t="s">
        <v>72</v>
      </c>
      <c r="C25" s="2">
        <f>_xlfn.CHISQ.INV(0.95,1)</f>
        <v>3.8414588206941236</v>
      </c>
    </row>
  </sheetData>
  <mergeCells count="6">
    <mergeCell ref="A19:A20"/>
    <mergeCell ref="C3:D3"/>
    <mergeCell ref="C10:D10"/>
    <mergeCell ref="C17:D17"/>
    <mergeCell ref="A5:A6"/>
    <mergeCell ref="A12:A13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/>
  </sheetViews>
  <sheetFormatPr defaultRowHeight="13.5"/>
  <cols>
    <col min="1" max="1" width="12" customWidth="1"/>
  </cols>
  <sheetData>
    <row r="1" spans="1:6">
      <c r="A1" s="4" t="s">
        <v>10</v>
      </c>
    </row>
    <row r="2" spans="1:6">
      <c r="A2" s="62" t="s">
        <v>8</v>
      </c>
      <c r="B2" s="63">
        <v>44774</v>
      </c>
      <c r="C2" s="63">
        <v>44775</v>
      </c>
      <c r="D2" s="63">
        <v>44776</v>
      </c>
      <c r="E2" s="63">
        <v>44777</v>
      </c>
      <c r="F2" s="63">
        <v>44778</v>
      </c>
    </row>
    <row r="3" spans="1:6" ht="38.25">
      <c r="A3" s="64" t="s">
        <v>5</v>
      </c>
      <c r="B3" s="53">
        <v>133.40699799999999</v>
      </c>
      <c r="C3" s="53">
        <v>131.57200599999999</v>
      </c>
      <c r="D3" s="53">
        <v>133.378998</v>
      </c>
      <c r="E3" s="53">
        <v>133.962006</v>
      </c>
      <c r="F3" s="53">
        <v>132.621002</v>
      </c>
    </row>
    <row r="4" spans="1:6">
      <c r="A4" s="1"/>
      <c r="B4" s="2"/>
    </row>
    <row r="5" spans="1:6">
      <c r="A5" s="6" t="s">
        <v>0</v>
      </c>
      <c r="B5" s="2">
        <f>AVERAGE(B3:F3)</f>
        <v>132.98820199999997</v>
      </c>
    </row>
    <row r="6" spans="1:6">
      <c r="A6" s="6" t="s">
        <v>1</v>
      </c>
      <c r="B6">
        <v>0.85419999999999996</v>
      </c>
    </row>
    <row r="8" spans="1:6" ht="17.649999999999999">
      <c r="A8" s="8" t="s">
        <v>6</v>
      </c>
      <c r="B8">
        <v>132</v>
      </c>
    </row>
    <row r="10" spans="1:6" ht="26.25">
      <c r="A10" s="7" t="s">
        <v>7</v>
      </c>
      <c r="B10" s="2">
        <f>_xlfn.NORM.S.INV(0.975)</f>
        <v>1.9599639845400536</v>
      </c>
    </row>
    <row r="11" spans="1:6">
      <c r="A11" s="6" t="s">
        <v>2</v>
      </c>
      <c r="B11" s="2">
        <f>(B5-B8)/SQRT(B6/5)</f>
        <v>2.3908423888909107</v>
      </c>
    </row>
    <row r="12" spans="1:6">
      <c r="A12" s="6" t="s">
        <v>3</v>
      </c>
      <c r="B12" s="3">
        <f>2*(1-_xlfn.NORM.S.DIST(B11,1))</f>
        <v>1.6809767334855064E-2</v>
      </c>
    </row>
    <row r="13" spans="1:6">
      <c r="A13" s="6"/>
    </row>
  </sheetData>
  <phoneticPr fontId="6"/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/>
  </sheetViews>
  <sheetFormatPr defaultRowHeight="13.5"/>
  <cols>
    <col min="1" max="1" width="11.875" bestFit="1" customWidth="1"/>
    <col min="2" max="2" width="12.125" bestFit="1" customWidth="1"/>
    <col min="3" max="3" width="8" bestFit="1" customWidth="1"/>
    <col min="4" max="4" width="12.125" bestFit="1" customWidth="1"/>
    <col min="5" max="6" width="8" bestFit="1" customWidth="1"/>
  </cols>
  <sheetData>
    <row r="1" spans="1:6">
      <c r="A1" s="4" t="s">
        <v>16</v>
      </c>
    </row>
    <row r="2" spans="1:6">
      <c r="A2" s="62" t="s">
        <v>4</v>
      </c>
      <c r="B2" s="63">
        <v>44774</v>
      </c>
      <c r="C2" s="63">
        <v>44775</v>
      </c>
      <c r="D2" s="63">
        <v>44776</v>
      </c>
      <c r="E2" s="63">
        <v>44777</v>
      </c>
      <c r="F2" s="63">
        <v>44778</v>
      </c>
    </row>
    <row r="3" spans="1:6" ht="38.25">
      <c r="A3" s="64" t="s">
        <v>13</v>
      </c>
      <c r="B3" s="53">
        <v>133.40699799999999</v>
      </c>
      <c r="C3" s="53">
        <v>131.57200599999999</v>
      </c>
      <c r="D3" s="53">
        <v>133.378998</v>
      </c>
      <c r="E3" s="53">
        <v>133.962006</v>
      </c>
      <c r="F3" s="53">
        <v>132.621002</v>
      </c>
    </row>
    <row r="5" spans="1:6">
      <c r="A5" s="8" t="s">
        <v>11</v>
      </c>
      <c r="B5" s="2">
        <f>AVERAGE(B3:F3)</f>
        <v>132.98820199999997</v>
      </c>
    </row>
    <row r="6" spans="1:6">
      <c r="A6" s="8" t="s">
        <v>12</v>
      </c>
      <c r="B6" s="5">
        <f>_xlfn.VAR.S(B3:F3)</f>
        <v>0.85421319601600554</v>
      </c>
    </row>
    <row r="8" spans="1:6" ht="17.649999999999999">
      <c r="A8" s="8" t="s">
        <v>6</v>
      </c>
      <c r="B8">
        <v>132</v>
      </c>
    </row>
    <row r="10" spans="1:6" ht="53.25">
      <c r="A10" s="7" t="s">
        <v>14</v>
      </c>
      <c r="B10" s="2">
        <f>_xlfn.T.INV(0.975,4)</f>
        <v>2.776445105197793</v>
      </c>
    </row>
    <row r="11" spans="1:6">
      <c r="A11" s="9" t="s">
        <v>15</v>
      </c>
      <c r="B11" s="2">
        <f>(B5-B8)/SQRT(B6/5)</f>
        <v>2.3908239217702758</v>
      </c>
    </row>
    <row r="12" spans="1:6">
      <c r="A12" s="6" t="s">
        <v>3</v>
      </c>
      <c r="B12" s="3">
        <f>2*(1-_xlfn.T.DIST(B11,4,1))</f>
        <v>7.5100538821579965E-2</v>
      </c>
    </row>
  </sheetData>
  <phoneticPr fontId="6"/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389A-BA23-4C7C-950D-6F41FD5F914B}">
  <dimension ref="A1:F12"/>
  <sheetViews>
    <sheetView workbookViewId="0">
      <selection activeCell="B12" sqref="B12"/>
    </sheetView>
  </sheetViews>
  <sheetFormatPr defaultRowHeight="13.5"/>
  <cols>
    <col min="1" max="1" width="11.875" bestFit="1" customWidth="1"/>
    <col min="2" max="2" width="12.125" bestFit="1" customWidth="1"/>
    <col min="3" max="3" width="8" bestFit="1" customWidth="1"/>
    <col min="4" max="4" width="12.125" bestFit="1" customWidth="1"/>
    <col min="5" max="6" width="8" bestFit="1" customWidth="1"/>
  </cols>
  <sheetData>
    <row r="1" spans="1:6">
      <c r="A1" s="4" t="s">
        <v>25</v>
      </c>
    </row>
    <row r="2" spans="1:6">
      <c r="A2" s="62" t="s">
        <v>4</v>
      </c>
      <c r="B2" s="63">
        <v>44774</v>
      </c>
      <c r="C2" s="63">
        <v>44775</v>
      </c>
      <c r="D2" s="63">
        <v>44776</v>
      </c>
      <c r="E2" s="63">
        <v>44777</v>
      </c>
      <c r="F2" s="63">
        <v>44778</v>
      </c>
    </row>
    <row r="3" spans="1:6" ht="38.25">
      <c r="A3" s="64" t="s">
        <v>13</v>
      </c>
      <c r="B3" s="53">
        <v>133.40699799999999</v>
      </c>
      <c r="C3" s="53">
        <v>131.57200599999999</v>
      </c>
      <c r="D3" s="53">
        <v>133.378998</v>
      </c>
      <c r="E3" s="53">
        <v>133.962006</v>
      </c>
      <c r="F3" s="53">
        <v>132.621002</v>
      </c>
    </row>
    <row r="5" spans="1:6">
      <c r="A5" s="8" t="s">
        <v>11</v>
      </c>
      <c r="B5" s="2">
        <f>AVERAGE(B3:F3)</f>
        <v>132.98820199999997</v>
      </c>
    </row>
    <row r="6" spans="1:6">
      <c r="A6" s="8" t="s">
        <v>12</v>
      </c>
      <c r="B6" s="5">
        <f>_xlfn.VAR.S(B3:F3)</f>
        <v>0.85421319601600554</v>
      </c>
    </row>
    <row r="8" spans="1:6" ht="17.649999999999999">
      <c r="A8" s="8" t="s">
        <v>6</v>
      </c>
      <c r="B8">
        <v>132</v>
      </c>
    </row>
    <row r="9" spans="1:6" ht="17.649999999999999">
      <c r="A9" s="8" t="s">
        <v>18</v>
      </c>
      <c r="B9">
        <v>132</v>
      </c>
    </row>
    <row r="10" spans="1:6" ht="40.5">
      <c r="A10" s="7" t="s">
        <v>17</v>
      </c>
      <c r="B10" s="2">
        <f>_xlfn.T.INV(0.95,4)</f>
        <v>2.131846786326649</v>
      </c>
    </row>
    <row r="11" spans="1:6">
      <c r="A11" s="9" t="s">
        <v>15</v>
      </c>
      <c r="B11" s="2">
        <f>(B5-B8)/SQRT(B6/5)</f>
        <v>2.3908239217702758</v>
      </c>
    </row>
    <row r="12" spans="1:6">
      <c r="A12" s="6" t="s">
        <v>3</v>
      </c>
      <c r="B12" s="3">
        <f>1-_xlfn.T.DIST(B11,4,1)</f>
        <v>3.7550269410789983E-2</v>
      </c>
    </row>
  </sheetData>
  <phoneticPr fontId="6"/>
  <pageMargins left="0.7" right="0.7" top="0.75" bottom="0.75" header="0.3" footer="0.3"/>
  <pageSetup paperSize="9" firstPageNumber="42949672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A3F2-1FA9-4B6C-8019-F27FCC0E9A4D}">
  <dimension ref="A1:F21"/>
  <sheetViews>
    <sheetView topLeftCell="A7" workbookViewId="0">
      <selection activeCell="C20" sqref="C20"/>
    </sheetView>
  </sheetViews>
  <sheetFormatPr defaultColWidth="9" defaultRowHeight="13.5"/>
  <cols>
    <col min="1" max="1" width="9" style="10"/>
    <col min="2" max="2" width="12.375" style="10" bestFit="1" customWidth="1"/>
    <col min="3" max="3" width="7.6875" style="10" bestFit="1" customWidth="1"/>
    <col min="4" max="4" width="9" style="10" bestFit="1" customWidth="1"/>
    <col min="5" max="5" width="12.125" style="10" bestFit="1" customWidth="1"/>
    <col min="6" max="6" width="6.6875" style="10" bestFit="1" customWidth="1"/>
    <col min="7" max="16384" width="9" style="10"/>
  </cols>
  <sheetData>
    <row r="1" spans="1:6">
      <c r="A1" s="19" t="s">
        <v>26</v>
      </c>
    </row>
    <row r="2" spans="1:6">
      <c r="A2" s="70" t="s">
        <v>4</v>
      </c>
      <c r="B2" s="70" t="s">
        <v>19</v>
      </c>
      <c r="C2" s="70" t="s">
        <v>20</v>
      </c>
      <c r="D2" s="70" t="s">
        <v>4</v>
      </c>
      <c r="E2" s="70" t="s">
        <v>19</v>
      </c>
      <c r="F2" s="70" t="s">
        <v>20</v>
      </c>
    </row>
    <row r="3" spans="1:6">
      <c r="A3" s="66">
        <v>43800</v>
      </c>
      <c r="B3" s="67">
        <v>23656.619140999999</v>
      </c>
      <c r="C3" s="67"/>
      <c r="D3" s="66">
        <v>44166</v>
      </c>
      <c r="E3" s="67">
        <v>27444.169922000001</v>
      </c>
      <c r="F3" s="68"/>
    </row>
    <row r="4" spans="1:6">
      <c r="A4" s="66">
        <v>43831</v>
      </c>
      <c r="B4" s="67">
        <v>23205.179688</v>
      </c>
      <c r="C4" s="68">
        <f>(B4-B3)/B3</f>
        <v>-1.9083008028716823E-2</v>
      </c>
      <c r="D4" s="66">
        <v>44197</v>
      </c>
      <c r="E4" s="67">
        <v>27663.390625</v>
      </c>
      <c r="F4" s="68">
        <f>(E4-E3)/E3</f>
        <v>7.9878787962271609E-3</v>
      </c>
    </row>
    <row r="5" spans="1:6">
      <c r="A5" s="66">
        <v>43862</v>
      </c>
      <c r="B5" s="67">
        <v>21142.960938</v>
      </c>
      <c r="C5" s="68">
        <f t="shared" ref="C5:C15" si="0">(B5-B4)/B4</f>
        <v>-8.8868898139428193E-2</v>
      </c>
      <c r="D5" s="66">
        <v>44228</v>
      </c>
      <c r="E5" s="69">
        <v>28966.009765999999</v>
      </c>
      <c r="F5" s="68">
        <f t="shared" ref="F5:F15" si="1">(E5-E4)/E4</f>
        <v>4.7088195321320962E-2</v>
      </c>
    </row>
    <row r="6" spans="1:6">
      <c r="A6" s="66">
        <v>43891</v>
      </c>
      <c r="B6" s="67">
        <v>18917.009765999999</v>
      </c>
      <c r="C6" s="68">
        <f t="shared" si="0"/>
        <v>-0.10528095750294485</v>
      </c>
      <c r="D6" s="66">
        <v>44256</v>
      </c>
      <c r="E6" s="69">
        <v>29178.800781000002</v>
      </c>
      <c r="F6" s="68">
        <f t="shared" si="1"/>
        <v>7.3462315561936458E-3</v>
      </c>
    </row>
    <row r="7" spans="1:6">
      <c r="A7" s="66">
        <v>43922</v>
      </c>
      <c r="B7" s="67">
        <v>20193.689452999999</v>
      </c>
      <c r="C7" s="68">
        <f t="shared" si="0"/>
        <v>6.7488451018014872E-2</v>
      </c>
      <c r="D7" s="66">
        <v>44287</v>
      </c>
      <c r="E7" s="69">
        <v>28812.630859000001</v>
      </c>
      <c r="F7" s="68">
        <f t="shared" si="1"/>
        <v>-1.254917653224581E-2</v>
      </c>
    </row>
    <row r="8" spans="1:6">
      <c r="A8" s="66">
        <v>43952</v>
      </c>
      <c r="B8" s="67">
        <v>21877.890625</v>
      </c>
      <c r="C8" s="68">
        <f t="shared" si="0"/>
        <v>8.3402350814590451E-2</v>
      </c>
      <c r="D8" s="66">
        <v>44317</v>
      </c>
      <c r="E8" s="69">
        <v>28860.080077999999</v>
      </c>
      <c r="F8" s="68">
        <f t="shared" si="1"/>
        <v>1.646820078048405E-3</v>
      </c>
    </row>
    <row r="9" spans="1:6">
      <c r="A9" s="66">
        <v>43983</v>
      </c>
      <c r="B9" s="67">
        <v>22288.140625</v>
      </c>
      <c r="C9" s="68">
        <f t="shared" si="0"/>
        <v>1.8751807796826846E-2</v>
      </c>
      <c r="D9" s="66">
        <v>44348</v>
      </c>
      <c r="E9" s="69">
        <v>28791.529297000001</v>
      </c>
      <c r="F9" s="68">
        <f t="shared" si="1"/>
        <v>-2.3752803462334902E-3</v>
      </c>
    </row>
    <row r="10" spans="1:6">
      <c r="A10" s="66">
        <v>44013</v>
      </c>
      <c r="B10" s="67">
        <v>21710</v>
      </c>
      <c r="C10" s="68">
        <f t="shared" si="0"/>
        <v>-2.59393834024681E-2</v>
      </c>
      <c r="D10" s="66">
        <v>44378</v>
      </c>
      <c r="E10" s="69">
        <v>27283.589843999998</v>
      </c>
      <c r="F10" s="68">
        <f t="shared" si="1"/>
        <v>-5.2374413232614422E-2</v>
      </c>
    </row>
    <row r="11" spans="1:6">
      <c r="A11" s="66">
        <v>44044</v>
      </c>
      <c r="B11" s="67">
        <v>23139.759765999999</v>
      </c>
      <c r="C11" s="68">
        <f t="shared" si="0"/>
        <v>6.585719788116072E-2</v>
      </c>
      <c r="D11" s="66">
        <v>44409</v>
      </c>
      <c r="E11" s="69">
        <v>28089.539063</v>
      </c>
      <c r="F11" s="68">
        <f t="shared" si="1"/>
        <v>2.9539705867453515E-2</v>
      </c>
    </row>
    <row r="12" spans="1:6">
      <c r="A12" s="66">
        <v>44075</v>
      </c>
      <c r="B12" s="67">
        <v>23185.119140999999</v>
      </c>
      <c r="C12" s="68">
        <f t="shared" si="0"/>
        <v>1.9602353463776235E-3</v>
      </c>
      <c r="D12" s="66">
        <v>44440</v>
      </c>
      <c r="E12" s="69">
        <v>29452.660156000002</v>
      </c>
      <c r="F12" s="68">
        <f t="shared" si="1"/>
        <v>4.8527713108526119E-2</v>
      </c>
    </row>
    <row r="13" spans="1:6">
      <c r="A13" s="66">
        <v>44105</v>
      </c>
      <c r="B13" s="67">
        <v>22977.130859000001</v>
      </c>
      <c r="C13" s="68">
        <f t="shared" si="0"/>
        <v>-8.9707661511299729E-3</v>
      </c>
      <c r="D13" s="66">
        <v>44470</v>
      </c>
      <c r="E13" s="69">
        <v>28892.689452999999</v>
      </c>
      <c r="F13" s="68">
        <f t="shared" si="1"/>
        <v>-1.9012567966154571E-2</v>
      </c>
    </row>
    <row r="14" spans="1:6">
      <c r="A14" s="66">
        <v>44136</v>
      </c>
      <c r="B14" s="67">
        <v>26433.619140999999</v>
      </c>
      <c r="C14" s="68">
        <f t="shared" si="0"/>
        <v>0.15043167500811414</v>
      </c>
      <c r="D14" s="66">
        <v>44501</v>
      </c>
      <c r="E14" s="69">
        <v>27821.759765999999</v>
      </c>
      <c r="F14" s="68">
        <f t="shared" si="1"/>
        <v>-3.7065766713828802E-2</v>
      </c>
    </row>
    <row r="15" spans="1:6">
      <c r="A15" s="66">
        <v>44166</v>
      </c>
      <c r="B15" s="67">
        <v>27444.169922000001</v>
      </c>
      <c r="C15" s="68">
        <f t="shared" si="0"/>
        <v>3.8229754904525418E-2</v>
      </c>
      <c r="D15" s="66">
        <v>44531</v>
      </c>
      <c r="E15" s="69">
        <v>28791.710938</v>
      </c>
      <c r="F15" s="68">
        <f t="shared" si="1"/>
        <v>3.4863041739916986E-2</v>
      </c>
    </row>
    <row r="16" spans="1:6">
      <c r="B16" s="12"/>
      <c r="C16" s="12"/>
      <c r="D16" s="11"/>
      <c r="E16" s="12"/>
    </row>
    <row r="17" spans="1:6">
      <c r="A17" s="71" t="s">
        <v>85</v>
      </c>
      <c r="B17" s="16" t="s">
        <v>21</v>
      </c>
      <c r="C17" s="15">
        <f>_xlfn.VAR.S(C4:C15)*10000</f>
        <v>52.503676056232301</v>
      </c>
      <c r="D17" s="13" t="s">
        <v>86</v>
      </c>
      <c r="E17" s="16" t="s">
        <v>21</v>
      </c>
      <c r="F17" s="15">
        <f>_xlfn.VAR.S(F4:F15)*10000</f>
        <v>10.166078869894546</v>
      </c>
    </row>
    <row r="18" spans="1:6">
      <c r="B18" s="17"/>
    </row>
    <row r="19" spans="1:6">
      <c r="B19" s="17" t="s">
        <v>22</v>
      </c>
      <c r="C19" s="15">
        <f>(12-1)*F17/C17</f>
        <v>2.1298864378385924</v>
      </c>
    </row>
    <row r="20" spans="1:6" ht="53.25">
      <c r="B20" s="18" t="s">
        <v>24</v>
      </c>
      <c r="C20" s="15">
        <f>_xlfn.CHISQ.INV(5%,11)</f>
        <v>4.5748130793222241</v>
      </c>
    </row>
    <row r="21" spans="1:6" ht="17.649999999999999">
      <c r="B21" s="17" t="s">
        <v>23</v>
      </c>
      <c r="C21" s="14">
        <f>_xlfn.CHISQ.DIST(C19,11,1)</f>
        <v>2.0149408903475897E-3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B75-06B0-4F66-A07B-B51C20C1EE26}">
  <dimension ref="A1:F25"/>
  <sheetViews>
    <sheetView topLeftCell="A19" workbookViewId="0">
      <selection activeCell="C24" sqref="C24"/>
    </sheetView>
  </sheetViews>
  <sheetFormatPr defaultColWidth="9" defaultRowHeight="13.5"/>
  <cols>
    <col min="1" max="1" width="9" style="10"/>
    <col min="2" max="2" width="12.375" style="10" bestFit="1" customWidth="1"/>
    <col min="3" max="3" width="8.125" style="10" bestFit="1" customWidth="1"/>
    <col min="4" max="4" width="9" style="10" bestFit="1" customWidth="1"/>
    <col min="5" max="5" width="12.125" style="10" bestFit="1" customWidth="1"/>
    <col min="6" max="6" width="7.125" style="10" bestFit="1" customWidth="1"/>
    <col min="7" max="7" width="12.625" style="10" bestFit="1" customWidth="1"/>
    <col min="8" max="16384" width="9" style="10"/>
  </cols>
  <sheetData>
    <row r="1" spans="1:6">
      <c r="A1" s="19" t="s">
        <v>39</v>
      </c>
    </row>
    <row r="2" spans="1:6">
      <c r="A2" s="70" t="s">
        <v>4</v>
      </c>
      <c r="B2" s="70" t="s">
        <v>19</v>
      </c>
      <c r="C2" s="70" t="s">
        <v>20</v>
      </c>
      <c r="D2" s="70" t="s">
        <v>4</v>
      </c>
      <c r="E2" s="70" t="s">
        <v>19</v>
      </c>
      <c r="F2" s="70" t="s">
        <v>20</v>
      </c>
    </row>
    <row r="3" spans="1:6">
      <c r="A3" s="66">
        <v>43800</v>
      </c>
      <c r="B3" s="67">
        <v>23656.619140999999</v>
      </c>
      <c r="C3" s="67"/>
      <c r="D3" s="66">
        <v>44166</v>
      </c>
      <c r="E3" s="67">
        <v>27444.169922000001</v>
      </c>
      <c r="F3" s="68"/>
    </row>
    <row r="4" spans="1:6">
      <c r="A4" s="66">
        <v>43831</v>
      </c>
      <c r="B4" s="67">
        <v>23205.179688</v>
      </c>
      <c r="C4" s="68">
        <f>(B4-B3)/B3</f>
        <v>-1.9083008028716823E-2</v>
      </c>
      <c r="D4" s="66">
        <v>44197</v>
      </c>
      <c r="E4" s="67">
        <v>27663.390625</v>
      </c>
      <c r="F4" s="68">
        <f>(E4-E3)/E3</f>
        <v>7.9878787962271609E-3</v>
      </c>
    </row>
    <row r="5" spans="1:6">
      <c r="A5" s="66">
        <v>43862</v>
      </c>
      <c r="B5" s="67">
        <v>21142.960938</v>
      </c>
      <c r="C5" s="68">
        <f t="shared" ref="C5:C15" si="0">(B5-B4)/B4</f>
        <v>-8.8868898139428193E-2</v>
      </c>
      <c r="D5" s="66">
        <v>44228</v>
      </c>
      <c r="E5" s="69">
        <v>28966.009765999999</v>
      </c>
      <c r="F5" s="68">
        <f t="shared" ref="F5:F15" si="1">(E5-E4)/E4</f>
        <v>4.7088195321320962E-2</v>
      </c>
    </row>
    <row r="6" spans="1:6">
      <c r="A6" s="66">
        <v>43891</v>
      </c>
      <c r="B6" s="67">
        <v>18917.009765999999</v>
      </c>
      <c r="C6" s="68">
        <f t="shared" si="0"/>
        <v>-0.10528095750294485</v>
      </c>
      <c r="D6" s="66">
        <v>44256</v>
      </c>
      <c r="E6" s="69">
        <v>29178.800781000002</v>
      </c>
      <c r="F6" s="68">
        <f t="shared" si="1"/>
        <v>7.3462315561936458E-3</v>
      </c>
    </row>
    <row r="7" spans="1:6">
      <c r="A7" s="66">
        <v>43922</v>
      </c>
      <c r="B7" s="67">
        <v>20193.689452999999</v>
      </c>
      <c r="C7" s="68">
        <f t="shared" si="0"/>
        <v>6.7488451018014872E-2</v>
      </c>
      <c r="D7" s="66">
        <v>44287</v>
      </c>
      <c r="E7" s="69">
        <v>28812.630859000001</v>
      </c>
      <c r="F7" s="68">
        <f t="shared" si="1"/>
        <v>-1.254917653224581E-2</v>
      </c>
    </row>
    <row r="8" spans="1:6">
      <c r="A8" s="66">
        <v>43952</v>
      </c>
      <c r="B8" s="67">
        <v>21877.890625</v>
      </c>
      <c r="C8" s="68">
        <f t="shared" si="0"/>
        <v>8.3402350814590451E-2</v>
      </c>
      <c r="D8" s="66">
        <v>44317</v>
      </c>
      <c r="E8" s="69">
        <v>28860.080077999999</v>
      </c>
      <c r="F8" s="68">
        <f t="shared" si="1"/>
        <v>1.646820078048405E-3</v>
      </c>
    </row>
    <row r="9" spans="1:6">
      <c r="A9" s="66">
        <v>43983</v>
      </c>
      <c r="B9" s="67">
        <v>22288.140625</v>
      </c>
      <c r="C9" s="68">
        <f t="shared" si="0"/>
        <v>1.8751807796826846E-2</v>
      </c>
      <c r="D9" s="66">
        <v>44348</v>
      </c>
      <c r="E9" s="69">
        <v>28791.529297000001</v>
      </c>
      <c r="F9" s="68">
        <f t="shared" si="1"/>
        <v>-2.3752803462334902E-3</v>
      </c>
    </row>
    <row r="10" spans="1:6">
      <c r="A10" s="66">
        <v>44013</v>
      </c>
      <c r="B10" s="67">
        <v>21710</v>
      </c>
      <c r="C10" s="68">
        <f t="shared" si="0"/>
        <v>-2.59393834024681E-2</v>
      </c>
      <c r="D10" s="66">
        <v>44378</v>
      </c>
      <c r="E10" s="69">
        <v>27283.589843999998</v>
      </c>
      <c r="F10" s="68">
        <f t="shared" si="1"/>
        <v>-5.2374413232614422E-2</v>
      </c>
    </row>
    <row r="11" spans="1:6">
      <c r="A11" s="66">
        <v>44044</v>
      </c>
      <c r="B11" s="67">
        <v>23139.759765999999</v>
      </c>
      <c r="C11" s="68">
        <f t="shared" si="0"/>
        <v>6.585719788116072E-2</v>
      </c>
      <c r="D11" s="66">
        <v>44409</v>
      </c>
      <c r="E11" s="69">
        <v>28089.539063</v>
      </c>
      <c r="F11" s="68">
        <f t="shared" si="1"/>
        <v>2.9539705867453515E-2</v>
      </c>
    </row>
    <row r="12" spans="1:6">
      <c r="A12" s="66">
        <v>44075</v>
      </c>
      <c r="B12" s="67">
        <v>23185.119140999999</v>
      </c>
      <c r="C12" s="68">
        <f t="shared" si="0"/>
        <v>1.9602353463776235E-3</v>
      </c>
      <c r="D12" s="66">
        <v>44440</v>
      </c>
      <c r="E12" s="69">
        <v>29452.660156000002</v>
      </c>
      <c r="F12" s="68">
        <f t="shared" si="1"/>
        <v>4.8527713108526119E-2</v>
      </c>
    </row>
    <row r="13" spans="1:6">
      <c r="A13" s="66">
        <v>44105</v>
      </c>
      <c r="B13" s="67">
        <v>22977.130859000001</v>
      </c>
      <c r="C13" s="68">
        <f t="shared" si="0"/>
        <v>-8.9707661511299729E-3</v>
      </c>
      <c r="D13" s="66">
        <v>44470</v>
      </c>
      <c r="E13" s="69">
        <v>28892.689452999999</v>
      </c>
      <c r="F13" s="68">
        <f t="shared" si="1"/>
        <v>-1.9012567966154571E-2</v>
      </c>
    </row>
    <row r="14" spans="1:6">
      <c r="A14" s="66">
        <v>44136</v>
      </c>
      <c r="B14" s="67">
        <v>26433.619140999999</v>
      </c>
      <c r="C14" s="68">
        <f t="shared" si="0"/>
        <v>0.15043167500811414</v>
      </c>
      <c r="D14" s="66">
        <v>44501</v>
      </c>
      <c r="E14" s="69">
        <v>27821.759765999999</v>
      </c>
      <c r="F14" s="68">
        <f t="shared" si="1"/>
        <v>-3.7065766713828802E-2</v>
      </c>
    </row>
    <row r="15" spans="1:6">
      <c r="A15" s="66">
        <v>44166</v>
      </c>
      <c r="B15" s="67">
        <v>27444.169922000001</v>
      </c>
      <c r="C15" s="68">
        <f t="shared" si="0"/>
        <v>3.8229754904525418E-2</v>
      </c>
      <c r="D15" s="66">
        <v>44531</v>
      </c>
      <c r="E15" s="69">
        <v>28791.710938</v>
      </c>
      <c r="F15" s="68">
        <f t="shared" si="1"/>
        <v>3.4863041739916986E-2</v>
      </c>
    </row>
    <row r="16" spans="1:6">
      <c r="A16" s="13" t="s">
        <v>87</v>
      </c>
      <c r="B16" s="16" t="s">
        <v>27</v>
      </c>
      <c r="C16" s="15">
        <f>AVERAGE(C4:C15)*100</f>
        <v>1.4831538295410178</v>
      </c>
      <c r="D16" s="13" t="s">
        <v>86</v>
      </c>
      <c r="E16" s="16" t="s">
        <v>27</v>
      </c>
      <c r="F16" s="15">
        <f>AVERAGE(F4:F15)*100</f>
        <v>0.44685318063841423</v>
      </c>
    </row>
    <row r="17" spans="2:6">
      <c r="B17" s="16" t="s">
        <v>21</v>
      </c>
      <c r="C17" s="15">
        <f>_xlfn.VAR.S(C4:C15)*10000</f>
        <v>52.503676056232301</v>
      </c>
      <c r="D17" s="25"/>
      <c r="E17" s="16" t="s">
        <v>21</v>
      </c>
      <c r="F17" s="15">
        <f>_xlfn.VAR.S(F4:F15)*10000</f>
        <v>10.166078869894546</v>
      </c>
    </row>
    <row r="18" spans="2:6">
      <c r="B18" s="16" t="s">
        <v>29</v>
      </c>
      <c r="C18" s="20">
        <v>12</v>
      </c>
      <c r="E18" s="16" t="s">
        <v>29</v>
      </c>
      <c r="F18" s="20">
        <v>12</v>
      </c>
    </row>
    <row r="19" spans="2:6" ht="17.649999999999999">
      <c r="B19" s="17" t="s">
        <v>28</v>
      </c>
      <c r="C19" s="22">
        <f>(C17*(C18-1)+F17*(F18-1))/(C18+F18-2)</f>
        <v>31.334877463063425</v>
      </c>
    </row>
    <row r="20" spans="2:6">
      <c r="B20" s="17" t="s">
        <v>22</v>
      </c>
      <c r="C20" s="22">
        <f>(C16-F16)/SQRT(C19*(1/C18+1/F18))</f>
        <v>0.45346878252428752</v>
      </c>
    </row>
    <row r="21" spans="2:6" ht="52.9">
      <c r="B21" s="23" t="s">
        <v>30</v>
      </c>
      <c r="C21" s="15">
        <f>_xlfn.T.INV(5%,22)</f>
        <v>-1.7171443743802424</v>
      </c>
    </row>
    <row r="22" spans="2:6" ht="52.9">
      <c r="B22" s="23" t="s">
        <v>31</v>
      </c>
      <c r="C22" s="15">
        <f>_xlfn.T.INV(2.5%,22)</f>
        <v>-2.0738730679040258</v>
      </c>
    </row>
    <row r="23" spans="2:6" ht="17.649999999999999">
      <c r="B23" s="24" t="s">
        <v>32</v>
      </c>
      <c r="C23" s="14">
        <f>2*(1-_xlfn.T.DIST(C20,22,1))</f>
        <v>0.65465249566946704</v>
      </c>
    </row>
    <row r="24" spans="2:6" ht="17.649999999999999">
      <c r="B24" s="24" t="s">
        <v>33</v>
      </c>
      <c r="C24" s="14">
        <f>1-_xlfn.T.DIST(C20,22,1)</f>
        <v>0.32732624783473352</v>
      </c>
    </row>
    <row r="25" spans="2:6">
      <c r="B25" s="13"/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516E-7548-46CB-BDC4-7B69535A8A58}">
  <dimension ref="A1:G19"/>
  <sheetViews>
    <sheetView topLeftCell="A7" workbookViewId="0">
      <selection activeCell="A17" sqref="A17"/>
    </sheetView>
  </sheetViews>
  <sheetFormatPr defaultColWidth="9" defaultRowHeight="13.5"/>
  <cols>
    <col min="1" max="1" width="13.375" style="10" customWidth="1"/>
    <col min="2" max="2" width="12.5" style="10" bestFit="1" customWidth="1"/>
    <col min="3" max="3" width="8.375" style="10" bestFit="1" customWidth="1"/>
    <col min="4" max="4" width="11.5" style="10" bestFit="1" customWidth="1"/>
    <col min="5" max="5" width="12.625" style="10" bestFit="1" customWidth="1"/>
    <col min="6" max="6" width="8.375" style="10" bestFit="1" customWidth="1"/>
    <col min="7" max="7" width="11.625" style="10" bestFit="1" customWidth="1"/>
    <col min="8" max="16384" width="9" style="10"/>
  </cols>
  <sheetData>
    <row r="1" spans="1:7">
      <c r="A1" s="19" t="s">
        <v>82</v>
      </c>
    </row>
    <row r="2" spans="1:7">
      <c r="A2" s="39" t="s">
        <v>4</v>
      </c>
      <c r="B2" s="41">
        <v>44771</v>
      </c>
      <c r="C2" s="40">
        <v>44774</v>
      </c>
      <c r="D2" s="40">
        <v>44775</v>
      </c>
      <c r="E2" s="40">
        <v>44776</v>
      </c>
      <c r="F2" s="40">
        <v>44777</v>
      </c>
      <c r="G2" s="40">
        <v>44778</v>
      </c>
    </row>
    <row r="3" spans="1:7">
      <c r="A3" s="36" t="s">
        <v>34</v>
      </c>
      <c r="B3" s="42">
        <v>27802</v>
      </c>
      <c r="C3" s="37">
        <v>27993</v>
      </c>
      <c r="D3" s="37">
        <v>27595</v>
      </c>
      <c r="E3" s="37">
        <v>27742</v>
      </c>
      <c r="F3" s="37">
        <v>27932</v>
      </c>
      <c r="G3" s="37">
        <v>28176</v>
      </c>
    </row>
    <row r="4" spans="1:7">
      <c r="A4" s="34" t="s">
        <v>35</v>
      </c>
      <c r="B4" s="43">
        <v>4130</v>
      </c>
      <c r="C4" s="38">
        <v>4119</v>
      </c>
      <c r="D4" s="38">
        <v>4091</v>
      </c>
      <c r="E4" s="38">
        <v>4155</v>
      </c>
      <c r="F4" s="38">
        <v>4152</v>
      </c>
      <c r="G4" s="38">
        <v>4145</v>
      </c>
    </row>
    <row r="5" spans="1:7">
      <c r="A5" s="27" t="s">
        <v>36</v>
      </c>
      <c r="B5" s="44"/>
      <c r="C5" s="14">
        <f>(C3-B3)/B3</f>
        <v>6.8700093518451908E-3</v>
      </c>
      <c r="D5" s="14">
        <f t="shared" ref="D5:G5" si="0">(D3-C3)/C3</f>
        <v>-1.4217840174329296E-2</v>
      </c>
      <c r="E5" s="14">
        <f t="shared" si="0"/>
        <v>5.3270520021743073E-3</v>
      </c>
      <c r="F5" s="14">
        <f t="shared" si="0"/>
        <v>6.8488212818109727E-3</v>
      </c>
      <c r="G5" s="14">
        <f t="shared" si="0"/>
        <v>8.7355005012172415E-3</v>
      </c>
    </row>
    <row r="6" spans="1:7" ht="17.649999999999999">
      <c r="A6" s="34" t="s">
        <v>37</v>
      </c>
      <c r="B6" s="45"/>
      <c r="C6" s="35">
        <f>(C4-B4)/B4</f>
        <v>-2.6634382566585956E-3</v>
      </c>
      <c r="D6" s="35">
        <f t="shared" ref="D6:G6" si="1">(D4-C4)/C4</f>
        <v>-6.7977664481670306E-3</v>
      </c>
      <c r="E6" s="35">
        <f t="shared" si="1"/>
        <v>1.5644096797848936E-2</v>
      </c>
      <c r="F6" s="35">
        <f t="shared" si="1"/>
        <v>-7.2202166064981946E-4</v>
      </c>
      <c r="G6" s="35">
        <f t="shared" si="1"/>
        <v>-1.6859344894026974E-3</v>
      </c>
    </row>
    <row r="7" spans="1:7">
      <c r="A7" s="27" t="s">
        <v>38</v>
      </c>
      <c r="B7" s="44"/>
      <c r="C7" s="14">
        <f>C5-C6</f>
        <v>9.533447608503786E-3</v>
      </c>
      <c r="D7" s="14">
        <f t="shared" ref="D7:G7" si="2">D5-D6</f>
        <v>-7.4200737261622659E-3</v>
      </c>
      <c r="E7" s="14">
        <f t="shared" si="2"/>
        <v>-1.0317044795674628E-2</v>
      </c>
      <c r="F7" s="14">
        <f t="shared" si="2"/>
        <v>7.5708429424607921E-3</v>
      </c>
      <c r="G7" s="14">
        <f t="shared" si="2"/>
        <v>1.0421434990619939E-2</v>
      </c>
    </row>
    <row r="8" spans="1:7">
      <c r="A8" s="26"/>
      <c r="C8" s="14"/>
      <c r="D8" s="14"/>
      <c r="E8" s="14"/>
      <c r="F8" s="14"/>
      <c r="G8" s="14"/>
    </row>
    <row r="9" spans="1:7">
      <c r="A9" s="28" t="s">
        <v>43</v>
      </c>
      <c r="B9" s="14">
        <f>AVERAGE(C7:G7)</f>
        <v>1.9577214039495248E-3</v>
      </c>
    </row>
    <row r="10" spans="1:7" ht="15.4">
      <c r="A10" s="29" t="s">
        <v>44</v>
      </c>
      <c r="B10" s="32">
        <f>_xlfn.VAR.S(C7:G7)</f>
        <v>9.9786533841860633E-5</v>
      </c>
      <c r="C10" s="72" t="s">
        <v>42</v>
      </c>
      <c r="D10" s="31">
        <f>B10*10000</f>
        <v>0.99786533841860636</v>
      </c>
      <c r="E10" s="21" t="s">
        <v>41</v>
      </c>
    </row>
    <row r="11" spans="1:7">
      <c r="A11" s="29" t="s">
        <v>45</v>
      </c>
      <c r="B11" s="12">
        <v>5</v>
      </c>
    </row>
    <row r="12" spans="1:7">
      <c r="A12" s="30" t="s">
        <v>40</v>
      </c>
      <c r="B12" s="15">
        <f>B9/SQRT(B10/B11)</f>
        <v>0.43822779792604988</v>
      </c>
    </row>
    <row r="13" spans="1:7">
      <c r="A13" s="12"/>
      <c r="E13" s="21"/>
    </row>
    <row r="14" spans="1:7">
      <c r="A14" s="12"/>
    </row>
    <row r="15" spans="1:7" ht="35.25">
      <c r="A15" s="23" t="s">
        <v>88</v>
      </c>
      <c r="B15" s="15">
        <f>-_xlfn.T.INV(5%,4)</f>
        <v>2.1318467863266499</v>
      </c>
    </row>
    <row r="16" spans="1:7" ht="35.25">
      <c r="A16" s="23" t="s">
        <v>89</v>
      </c>
      <c r="B16" s="15">
        <f>-_xlfn.T.INV(2.5%,4)</f>
        <v>2.7764451051977934</v>
      </c>
    </row>
    <row r="17" spans="1:2" ht="17.649999999999999">
      <c r="A17" s="24" t="s">
        <v>32</v>
      </c>
      <c r="B17" s="14">
        <f>2*(1-_xlfn.T.DIST(B12,4,1))</f>
        <v>0.68384850374935247</v>
      </c>
    </row>
    <row r="18" spans="1:2" ht="17.649999999999999">
      <c r="A18" s="24" t="s">
        <v>33</v>
      </c>
      <c r="B18" s="14">
        <f>1-_xlfn.T.DIST(B12,4,1)</f>
        <v>0.34192425187467623</v>
      </c>
    </row>
    <row r="19" spans="1:2">
      <c r="B19" s="1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8F09-CDB3-4CAB-A5C4-2BCEE9B3C86C}">
  <dimension ref="A1:D84"/>
  <sheetViews>
    <sheetView workbookViewId="0">
      <selection activeCell="A2" sqref="A2"/>
    </sheetView>
  </sheetViews>
  <sheetFormatPr defaultRowHeight="13.5"/>
  <cols>
    <col min="2" max="3" width="10.875" bestFit="1" customWidth="1"/>
    <col min="4" max="4" width="11.875" bestFit="1" customWidth="1"/>
  </cols>
  <sheetData>
    <row r="1" spans="1:4">
      <c r="A1" s="4" t="s">
        <v>81</v>
      </c>
    </row>
    <row r="2" spans="1:4">
      <c r="A2" s="4" t="s">
        <v>46</v>
      </c>
      <c r="B2" s="54" t="s">
        <v>51</v>
      </c>
      <c r="C2" s="54"/>
      <c r="D2" s="54"/>
    </row>
    <row r="3" spans="1:4">
      <c r="A3" s="33" t="s">
        <v>50</v>
      </c>
      <c r="B3" s="4" t="s">
        <v>49</v>
      </c>
      <c r="C3" s="4" t="s">
        <v>47</v>
      </c>
      <c r="D3" s="4" t="s">
        <v>48</v>
      </c>
    </row>
    <row r="4" spans="1:4">
      <c r="A4">
        <v>0</v>
      </c>
      <c r="B4">
        <f>_xlfn.F.DIST(A4,5,8,FALSE)</f>
        <v>0</v>
      </c>
      <c r="C4">
        <f>_xlfn.F.DIST(A4,10,15,FALSE)</f>
        <v>0</v>
      </c>
      <c r="D4">
        <f>_xlfn.F.DIST(A4,20,25,FALSE)</f>
        <v>0</v>
      </c>
    </row>
    <row r="5" spans="1:4">
      <c r="A5">
        <f>A4+0.05</f>
        <v>0.05</v>
      </c>
      <c r="B5">
        <f t="shared" ref="B5:B68" si="0">_xlfn.F.DIST(A5,5,8,FALSE)</f>
        <v>0.1020284539176448</v>
      </c>
      <c r="C5">
        <f t="shared" ref="C5:C68" si="1">_xlfn.F.DIST(A5,10,15,FALSE)</f>
        <v>1.6645541399660246E-3</v>
      </c>
      <c r="D5">
        <f t="shared" ref="D5:D68" si="2">_xlfn.F.DIST(A5,20,25,FALSE)</f>
        <v>4.1637138719083368E-7</v>
      </c>
    </row>
    <row r="6" spans="1:4">
      <c r="A6">
        <f t="shared" ref="A6:A69" si="3">A5+0.05</f>
        <v>0.1</v>
      </c>
      <c r="B6">
        <f t="shared" si="0"/>
        <v>0.23768071626680554</v>
      </c>
      <c r="C6">
        <f t="shared" si="1"/>
        <v>1.7908711977074498E-2</v>
      </c>
      <c r="D6">
        <f t="shared" si="2"/>
        <v>9.1194043833443028E-5</v>
      </c>
    </row>
    <row r="7" spans="1:4">
      <c r="A7">
        <f t="shared" si="3"/>
        <v>0.15000000000000002</v>
      </c>
      <c r="B7">
        <f t="shared" si="0"/>
        <v>0.36166085831254646</v>
      </c>
      <c r="C7">
        <f t="shared" si="1"/>
        <v>6.1713456093774974E-2</v>
      </c>
      <c r="D7">
        <f t="shared" si="2"/>
        <v>1.5467381377435513E-3</v>
      </c>
    </row>
    <row r="8" spans="1:4">
      <c r="A8">
        <f t="shared" si="3"/>
        <v>0.2</v>
      </c>
      <c r="B8">
        <f t="shared" si="0"/>
        <v>0.46364507066635824</v>
      </c>
      <c r="C8">
        <f t="shared" si="1"/>
        <v>0.13429894481984472</v>
      </c>
      <c r="D8">
        <f t="shared" si="2"/>
        <v>9.3533282503278792E-3</v>
      </c>
    </row>
    <row r="9" spans="1:4">
      <c r="A9">
        <f t="shared" si="3"/>
        <v>0.25</v>
      </c>
      <c r="B9">
        <f t="shared" si="0"/>
        <v>0.54225768408827346</v>
      </c>
      <c r="C9">
        <f t="shared" si="1"/>
        <v>0.22821729901956153</v>
      </c>
      <c r="D9">
        <f t="shared" si="2"/>
        <v>3.2499974076457376E-2</v>
      </c>
    </row>
    <row r="10" spans="1:4">
      <c r="A10">
        <f t="shared" si="3"/>
        <v>0.3</v>
      </c>
      <c r="B10">
        <f t="shared" si="0"/>
        <v>0.59937056696341673</v>
      </c>
      <c r="C10">
        <f t="shared" si="1"/>
        <v>0.33276898351893458</v>
      </c>
      <c r="D10">
        <f t="shared" si="2"/>
        <v>8.0187070752678183E-2</v>
      </c>
    </row>
    <row r="11" spans="1:4">
      <c r="A11">
        <f t="shared" si="3"/>
        <v>0.35</v>
      </c>
      <c r="B11">
        <f t="shared" si="0"/>
        <v>0.6379535069890282</v>
      </c>
      <c r="C11">
        <f t="shared" si="1"/>
        <v>0.43771326417583722</v>
      </c>
      <c r="D11">
        <f t="shared" si="2"/>
        <v>0.15717702150579987</v>
      </c>
    </row>
    <row r="12" spans="1:4">
      <c r="A12">
        <f t="shared" si="3"/>
        <v>0.39999999999999997</v>
      </c>
      <c r="B12">
        <f t="shared" si="0"/>
        <v>0.66116057958713803</v>
      </c>
      <c r="C12">
        <f t="shared" si="1"/>
        <v>0.53503733524810126</v>
      </c>
      <c r="D12">
        <f t="shared" si="2"/>
        <v>0.26159379746406836</v>
      </c>
    </row>
    <row r="13" spans="1:4">
      <c r="A13">
        <f t="shared" si="3"/>
        <v>0.44999999999999996</v>
      </c>
      <c r="B13">
        <f t="shared" si="0"/>
        <v>0.67194017839664877</v>
      </c>
      <c r="C13">
        <f t="shared" si="1"/>
        <v>0.61941475739148388</v>
      </c>
      <c r="D13">
        <f t="shared" si="2"/>
        <v>0.38573421084216658</v>
      </c>
    </row>
    <row r="14" spans="1:4">
      <c r="A14">
        <f t="shared" si="3"/>
        <v>0.49999999999999994</v>
      </c>
      <c r="B14">
        <f t="shared" si="0"/>
        <v>0.67288605385201561</v>
      </c>
      <c r="C14">
        <f t="shared" si="1"/>
        <v>0.68796953428063301</v>
      </c>
      <c r="D14">
        <f t="shared" si="2"/>
        <v>0.51862113208898453</v>
      </c>
    </row>
    <row r="15" spans="1:4">
      <c r="A15">
        <f t="shared" si="3"/>
        <v>0.54999999999999993</v>
      </c>
      <c r="B15">
        <f t="shared" si="0"/>
        <v>0.66620207543009824</v>
      </c>
      <c r="C15">
        <f t="shared" si="1"/>
        <v>0.73976133745201145</v>
      </c>
      <c r="D15">
        <f t="shared" si="2"/>
        <v>0.64879740759576976</v>
      </c>
    </row>
    <row r="16" spans="1:4">
      <c r="A16">
        <f t="shared" si="3"/>
        <v>0.6</v>
      </c>
      <c r="B16">
        <f t="shared" si="0"/>
        <v>0.65371942007194073</v>
      </c>
      <c r="C16">
        <f t="shared" si="1"/>
        <v>0.77522532609335704</v>
      </c>
      <c r="D16">
        <f t="shared" si="2"/>
        <v>0.76643200102550035</v>
      </c>
    </row>
    <row r="17" spans="1:4">
      <c r="A17">
        <f t="shared" si="3"/>
        <v>0.65</v>
      </c>
      <c r="B17">
        <f t="shared" si="0"/>
        <v>0.63693571784341707</v>
      </c>
      <c r="C17">
        <f t="shared" si="1"/>
        <v>0.7956770150456951</v>
      </c>
      <c r="D17">
        <f t="shared" si="2"/>
        <v>0.86445114447971094</v>
      </c>
    </row>
    <row r="18" spans="1:4">
      <c r="A18">
        <f t="shared" si="3"/>
        <v>0.70000000000000007</v>
      </c>
      <c r="B18">
        <f t="shared" si="0"/>
        <v>0.61706094856076921</v>
      </c>
      <c r="C18">
        <f t="shared" si="1"/>
        <v>0.8029209408076915</v>
      </c>
      <c r="D18">
        <f t="shared" si="2"/>
        <v>0.93881467527005291</v>
      </c>
    </row>
    <row r="19" spans="1:4">
      <c r="A19">
        <f t="shared" si="3"/>
        <v>0.75000000000000011</v>
      </c>
      <c r="B19">
        <f t="shared" si="0"/>
        <v>0.59506269778882637</v>
      </c>
      <c r="C19">
        <f t="shared" si="1"/>
        <v>0.79896492175019485</v>
      </c>
      <c r="D19">
        <f t="shared" si="2"/>
        <v>0.98821793908013367</v>
      </c>
    </row>
    <row r="20" spans="1:4">
      <c r="A20">
        <f t="shared" si="3"/>
        <v>0.80000000000000016</v>
      </c>
      <c r="B20">
        <f t="shared" si="0"/>
        <v>0.57170744248458349</v>
      </c>
      <c r="C20">
        <f t="shared" si="1"/>
        <v>0.78582552756229218</v>
      </c>
      <c r="D20">
        <f t="shared" si="2"/>
        <v>1.0135012168073632</v>
      </c>
    </row>
    <row r="21" spans="1:4">
      <c r="A21">
        <f t="shared" si="3"/>
        <v>0.8500000000000002</v>
      </c>
      <c r="B21">
        <f t="shared" si="0"/>
        <v>0.54759664258825902</v>
      </c>
      <c r="C21">
        <f t="shared" si="1"/>
        <v>0.76540546626873063</v>
      </c>
      <c r="D21">
        <f t="shared" si="2"/>
        <v>1.0169801242117624</v>
      </c>
    </row>
    <row r="22" spans="1:4">
      <c r="A22">
        <f t="shared" si="3"/>
        <v>0.90000000000000024</v>
      </c>
      <c r="B22">
        <f t="shared" si="0"/>
        <v>0.52319748096000029</v>
      </c>
      <c r="C22">
        <f t="shared" si="1"/>
        <v>0.73942418510889596</v>
      </c>
      <c r="D22">
        <f t="shared" si="2"/>
        <v>1.0018287763331875</v>
      </c>
    </row>
    <row r="23" spans="1:4">
      <c r="A23">
        <f t="shared" si="3"/>
        <v>0.95000000000000029</v>
      </c>
      <c r="B23">
        <f t="shared" si="0"/>
        <v>0.49886860274930656</v>
      </c>
      <c r="C23">
        <f t="shared" si="1"/>
        <v>0.70938581765768549</v>
      </c>
      <c r="D23">
        <f t="shared" si="2"/>
        <v>0.97157961545177629</v>
      </c>
    </row>
    <row r="24" spans="1:4">
      <c r="A24">
        <f t="shared" si="3"/>
        <v>1.0000000000000002</v>
      </c>
      <c r="B24">
        <f t="shared" si="0"/>
        <v>0.47488141652354043</v>
      </c>
      <c r="C24">
        <f t="shared" si="1"/>
        <v>0.67657200953522179</v>
      </c>
      <c r="D24">
        <f t="shared" si="2"/>
        <v>0.92975732323078997</v>
      </c>
    </row>
    <row r="25" spans="1:4">
      <c r="A25">
        <f t="shared" si="3"/>
        <v>1.0500000000000003</v>
      </c>
      <c r="B25">
        <f t="shared" si="0"/>
        <v>0.45143757519887528</v>
      </c>
      <c r="C25">
        <f t="shared" si="1"/>
        <v>0.64205033347725893</v>
      </c>
      <c r="D25">
        <f t="shared" si="2"/>
        <v>0.87963731958532709</v>
      </c>
    </row>
    <row r="26" spans="1:4">
      <c r="A26">
        <f t="shared" si="3"/>
        <v>1.1000000000000003</v>
      </c>
      <c r="B26">
        <f t="shared" si="0"/>
        <v>0.428683232866442</v>
      </c>
      <c r="C26">
        <f t="shared" si="1"/>
        <v>0.60669166160236787</v>
      </c>
      <c r="D26">
        <f t="shared" si="2"/>
        <v>0.82410686244004627</v>
      </c>
    </row>
    <row r="27" spans="1:4">
      <c r="A27">
        <f t="shared" si="3"/>
        <v>1.1500000000000004</v>
      </c>
      <c r="B27">
        <f t="shared" si="0"/>
        <v>0.40672061649557062</v>
      </c>
      <c r="C27">
        <f t="shared" si="1"/>
        <v>0.57119194220798408</v>
      </c>
      <c r="D27">
        <f t="shared" si="2"/>
        <v>0.76560346432912418</v>
      </c>
    </row>
    <row r="28" spans="1:4">
      <c r="A28">
        <f t="shared" si="3"/>
        <v>1.2000000000000004</v>
      </c>
      <c r="B28">
        <f t="shared" si="0"/>
        <v>0.38561738204373036</v>
      </c>
      <c r="C28">
        <f t="shared" si="1"/>
        <v>0.53609538330730144</v>
      </c>
      <c r="D28">
        <f t="shared" si="2"/>
        <v>0.7061071050255</v>
      </c>
    </row>
    <row r="29" spans="1:4">
      <c r="A29">
        <f t="shared" si="3"/>
        <v>1.2500000000000004</v>
      </c>
      <c r="B29">
        <f t="shared" si="0"/>
        <v>0.36541415452730791</v>
      </c>
      <c r="C29">
        <f t="shared" si="1"/>
        <v>0.50181716685490474</v>
      </c>
      <c r="D29">
        <f t="shared" si="2"/>
        <v>0.6471667367913263</v>
      </c>
    </row>
    <row r="30" spans="1:4">
      <c r="A30">
        <f t="shared" si="3"/>
        <v>1.3000000000000005</v>
      </c>
      <c r="B30">
        <f t="shared" si="0"/>
        <v>0.34613058680737613</v>
      </c>
      <c r="C30">
        <f t="shared" si="1"/>
        <v>0.46866460173812446</v>
      </c>
      <c r="D30">
        <f t="shared" si="2"/>
        <v>0.58994615680069251</v>
      </c>
    </row>
    <row r="31" spans="1:4">
      <c r="A31">
        <f t="shared" si="3"/>
        <v>1.3500000000000005</v>
      </c>
      <c r="B31">
        <f t="shared" si="0"/>
        <v>0.32777021456092259</v>
      </c>
      <c r="C31">
        <f t="shared" si="1"/>
        <v>0.43685615489875651</v>
      </c>
      <c r="D31">
        <f t="shared" si="2"/>
        <v>0.53527856473520374</v>
      </c>
    </row>
    <row r="32" spans="1:4">
      <c r="A32">
        <f t="shared" si="3"/>
        <v>1.4000000000000006</v>
      </c>
      <c r="B32">
        <f t="shared" si="0"/>
        <v>0.31032433569057188</v>
      </c>
      <c r="C32">
        <f t="shared" si="1"/>
        <v>0.406538147633907</v>
      </c>
      <c r="D32">
        <f t="shared" si="2"/>
        <v>0.48372264930131303</v>
      </c>
    </row>
    <row r="33" spans="1:4">
      <c r="A33">
        <f t="shared" si="3"/>
        <v>1.4500000000000006</v>
      </c>
      <c r="B33">
        <f t="shared" si="0"/>
        <v>0.29377510091889336</v>
      </c>
      <c r="C33">
        <f t="shared" si="1"/>
        <v>0.37779912195190407</v>
      </c>
      <c r="D33">
        <f t="shared" si="2"/>
        <v>0.435615768266084</v>
      </c>
    </row>
    <row r="34" spans="1:4">
      <c r="A34">
        <f t="shared" si="3"/>
        <v>1.5000000000000007</v>
      </c>
      <c r="B34">
        <f t="shared" si="0"/>
        <v>0.27809796775035539</v>
      </c>
      <c r="C34">
        <f t="shared" si="1"/>
        <v>0.35068201009792349</v>
      </c>
      <c r="D34">
        <f t="shared" si="2"/>
        <v>0.39112176635584772</v>
      </c>
    </row>
    <row r="35" spans="1:4">
      <c r="A35">
        <f t="shared" si="3"/>
        <v>1.5500000000000007</v>
      </c>
      <c r="B35">
        <f t="shared" si="0"/>
        <v>0.26326364145769543</v>
      </c>
      <c r="C35">
        <f t="shared" si="1"/>
        <v>0.32519430837748903</v>
      </c>
      <c r="D35">
        <f t="shared" si="2"/>
        <v>0.35027233993336249</v>
      </c>
    </row>
    <row r="36" spans="1:4">
      <c r="A36">
        <f t="shared" si="3"/>
        <v>1.6000000000000008</v>
      </c>
      <c r="B36">
        <f t="shared" si="0"/>
        <v>0.24923960335402279</v>
      </c>
      <c r="C36">
        <f t="shared" si="1"/>
        <v>0.30131648512566178</v>
      </c>
      <c r="D36">
        <f t="shared" si="2"/>
        <v>0.3130017451549903</v>
      </c>
    </row>
    <row r="37" spans="1:4">
      <c r="A37">
        <f t="shared" si="3"/>
        <v>1.6500000000000008</v>
      </c>
      <c r="B37">
        <f t="shared" si="0"/>
        <v>0.23599130751159339</v>
      </c>
      <c r="C37">
        <f t="shared" si="1"/>
        <v>0.27900885671167835</v>
      </c>
      <c r="D37">
        <f t="shared" si="2"/>
        <v>0.2791751836278431</v>
      </c>
    </row>
    <row r="38" spans="1:4">
      <c r="A38">
        <f t="shared" si="3"/>
        <v>1.7000000000000008</v>
      </c>
      <c r="B38">
        <f t="shared" si="0"/>
        <v>0.22348311154548464</v>
      </c>
      <c r="C38">
        <f t="shared" si="1"/>
        <v>0.2582171548326091</v>
      </c>
      <c r="D38">
        <f t="shared" si="2"/>
        <v>0.24861149099750071</v>
      </c>
    </row>
    <row r="39" spans="1:4">
      <c r="A39">
        <f t="shared" si="3"/>
        <v>1.7500000000000009</v>
      </c>
      <c r="B39">
        <f t="shared" si="0"/>
        <v>0.21167899446256663</v>
      </c>
      <c r="C39">
        <f t="shared" si="1"/>
        <v>0.23887698972567648</v>
      </c>
      <c r="D39">
        <f t="shared" si="2"/>
        <v>0.22110088058193145</v>
      </c>
    </row>
    <row r="40" spans="1:4">
      <c r="A40">
        <f t="shared" si="3"/>
        <v>1.8000000000000009</v>
      </c>
      <c r="B40">
        <f t="shared" si="0"/>
        <v>0.20054310435011674</v>
      </c>
      <c r="C40">
        <f t="shared" si="1"/>
        <v>0.22091739167773025</v>
      </c>
      <c r="D40">
        <f t="shared" si="2"/>
        <v>0.19641851618122955</v>
      </c>
    </row>
    <row r="41" spans="1:4">
      <c r="A41">
        <f t="shared" si="3"/>
        <v>1.850000000000001</v>
      </c>
      <c r="B41">
        <f t="shared" si="0"/>
        <v>0.19004017040070248</v>
      </c>
      <c r="C41">
        <f t="shared" si="1"/>
        <v>0.20426359007914943</v>
      </c>
      <c r="D41">
        <f t="shared" si="2"/>
        <v>0.17433464817182259</v>
      </c>
    </row>
    <row r="42" spans="1:4">
      <c r="A42">
        <f t="shared" si="3"/>
        <v>1.900000000000001</v>
      </c>
      <c r="B42">
        <f t="shared" si="0"/>
        <v>0.18013580707491339</v>
      </c>
      <c r="C42">
        <f t="shared" si="1"/>
        <v>0.18883916690739694</v>
      </c>
      <c r="D42">
        <f t="shared" si="2"/>
        <v>0.15462197404848455</v>
      </c>
    </row>
    <row r="43" spans="1:4">
      <c r="A43">
        <f t="shared" si="3"/>
        <v>1.9500000000000011</v>
      </c>
      <c r="B43">
        <f t="shared" si="0"/>
        <v>0.17079673279167015</v>
      </c>
      <c r="C43">
        <f t="shared" si="1"/>
        <v>0.17456770084937237</v>
      </c>
      <c r="D43">
        <f t="shared" si="2"/>
        <v>0.13706079777321242</v>
      </c>
    </row>
    <row r="44" spans="1:4">
      <c r="A44">
        <f t="shared" si="3"/>
        <v>2.0000000000000009</v>
      </c>
      <c r="B44">
        <f t="shared" si="0"/>
        <v>0.16199092116291697</v>
      </c>
      <c r="C44">
        <f t="shared" si="1"/>
        <v>0.16137399972080979</v>
      </c>
      <c r="D44">
        <f t="shared" si="2"/>
        <v>0.1214424735036666</v>
      </c>
    </row>
    <row r="45" spans="1:4">
      <c r="A45">
        <f t="shared" si="3"/>
        <v>2.0500000000000007</v>
      </c>
      <c r="B45">
        <f t="shared" si="0"/>
        <v>0.15368769925700396</v>
      </c>
      <c r="C45">
        <f t="shared" si="1"/>
        <v>0.14918500255260278</v>
      </c>
      <c r="D45">
        <f t="shared" si="2"/>
        <v>0.10757153540917791</v>
      </c>
    </row>
    <row r="46" spans="1:4">
      <c r="A46">
        <f t="shared" si="3"/>
        <v>2.1000000000000005</v>
      </c>
      <c r="B46">
        <f t="shared" si="0"/>
        <v>0.14585780452203989</v>
      </c>
      <c r="C46">
        <f t="shared" si="1"/>
        <v>0.13793041864265621</v>
      </c>
      <c r="D46">
        <f t="shared" si="2"/>
        <v>9.5266839919300725E-2</v>
      </c>
    </row>
    <row r="47" spans="1:4">
      <c r="A47">
        <f t="shared" si="3"/>
        <v>2.1500000000000004</v>
      </c>
      <c r="B47">
        <f t="shared" si="0"/>
        <v>0.13847340969664451</v>
      </c>
      <c r="C47">
        <f t="shared" si="1"/>
        <v>0.12754315886876041</v>
      </c>
      <c r="D47">
        <f t="shared" si="2"/>
        <v>8.4361981331633654E-2</v>
      </c>
    </row>
    <row r="48" spans="1:4">
      <c r="A48">
        <f t="shared" si="3"/>
        <v>2.2000000000000002</v>
      </c>
      <c r="B48">
        <f t="shared" si="0"/>
        <v>0.13150812317547217</v>
      </c>
      <c r="C48">
        <f t="shared" si="1"/>
        <v>0.11795960442250031</v>
      </c>
      <c r="D48">
        <f t="shared" si="2"/>
        <v>7.4705186366979884E-2</v>
      </c>
    </row>
    <row r="49" spans="1:4">
      <c r="A49">
        <f t="shared" si="3"/>
        <v>2.25</v>
      </c>
      <c r="B49">
        <f t="shared" si="0"/>
        <v>0.12493697079549559</v>
      </c>
      <c r="C49">
        <f t="shared" si="1"/>
        <v>0.1091197496369206</v>
      </c>
      <c r="D49">
        <f t="shared" si="2"/>
        <v>6.6158847389466119E-2</v>
      </c>
    </row>
    <row r="50" spans="1:4">
      <c r="A50">
        <f t="shared" si="3"/>
        <v>2.2999999999999998</v>
      </c>
      <c r="B50">
        <f t="shared" si="0"/>
        <v>0.11873636379753559</v>
      </c>
      <c r="C50">
        <f t="shared" si="1"/>
        <v>0.10096724852351487</v>
      </c>
      <c r="D50">
        <f t="shared" si="2"/>
        <v>5.8598816618280189E-2</v>
      </c>
    </row>
    <row r="51" spans="1:4">
      <c r="A51">
        <f t="shared" si="3"/>
        <v>2.3499999999999996</v>
      </c>
      <c r="B51">
        <f t="shared" si="0"/>
        <v>0.11288405674034813</v>
      </c>
      <c r="C51">
        <f t="shared" si="1"/>
        <v>9.3449388801588346E-2</v>
      </c>
      <c r="D51">
        <f t="shared" si="2"/>
        <v>5.1913553613913067E-2</v>
      </c>
    </row>
    <row r="52" spans="1:4">
      <c r="A52">
        <f t="shared" si="3"/>
        <v>2.3999999999999995</v>
      </c>
      <c r="B52">
        <f t="shared" si="0"/>
        <v>0.1073590983568696</v>
      </c>
      <c r="C52">
        <f t="shared" si="1"/>
        <v>8.6517012408600422E-2</v>
      </c>
      <c r="D52">
        <f t="shared" si="2"/>
        <v>4.6003194489956864E-2</v>
      </c>
    </row>
    <row r="53" spans="1:4">
      <c r="A53">
        <f t="shared" si="3"/>
        <v>2.4499999999999993</v>
      </c>
      <c r="B53">
        <f t="shared" si="0"/>
        <v>0.10214177770770815</v>
      </c>
      <c r="C53">
        <f t="shared" si="1"/>
        <v>8.0124397558091587E-2</v>
      </c>
      <c r="D53">
        <f t="shared" si="2"/>
        <v>4.0778592622275754E-2</v>
      </c>
    </row>
    <row r="54" spans="1:4">
      <c r="A54">
        <f t="shared" si="3"/>
        <v>2.4999999999999991</v>
      </c>
      <c r="B54">
        <f t="shared" si="0"/>
        <v>9.7213567476367155E-2</v>
      </c>
      <c r="C54">
        <f t="shared" si="1"/>
        <v>7.4229114218076861E-2</v>
      </c>
      <c r="D54">
        <f t="shared" si="2"/>
        <v>3.6160366155911408E-2</v>
      </c>
    </row>
    <row r="55" spans="1:4">
      <c r="A55">
        <f t="shared" si="3"/>
        <v>2.5499999999999989</v>
      </c>
      <c r="B55">
        <f t="shared" si="0"/>
        <v>9.2557065840302974E-2</v>
      </c>
      <c r="C55">
        <f t="shared" si="1"/>
        <v>6.8791862293363842E-2</v>
      </c>
      <c r="D55">
        <f t="shared" si="2"/>
        <v>3.2077976529844732E-2</v>
      </c>
    </row>
    <row r="56" spans="1:4">
      <c r="A56">
        <f t="shared" si="3"/>
        <v>2.5999999999999988</v>
      </c>
      <c r="B56">
        <f t="shared" si="0"/>
        <v>8.815593802259479E-2</v>
      </c>
      <c r="C56">
        <f t="shared" si="1"/>
        <v>6.3776299704805986E-2</v>
      </c>
      <c r="D56">
        <f t="shared" si="2"/>
        <v>2.846885386114233E-2</v>
      </c>
    </row>
    <row r="57" spans="1:4">
      <c r="A57">
        <f t="shared" si="3"/>
        <v>2.6499999999999986</v>
      </c>
      <c r="B57">
        <f t="shared" si="0"/>
        <v>8.3994858365243286E-2</v>
      </c>
      <c r="C57">
        <f t="shared" si="1"/>
        <v>5.91488658781587E-2</v>
      </c>
      <c r="D57">
        <f t="shared" si="2"/>
        <v>2.5277578781227203E-2</v>
      </c>
    </row>
    <row r="58" spans="1:4">
      <c r="A58">
        <f t="shared" si="3"/>
        <v>2.6999999999999984</v>
      </c>
      <c r="B58">
        <f t="shared" si="0"/>
        <v>8.0059453554367374E-2</v>
      </c>
      <c r="C58">
        <f t="shared" si="1"/>
        <v>5.487860481063548E-2</v>
      </c>
      <c r="D58">
        <f t="shared" si="2"/>
        <v>2.2455125730619006E-2</v>
      </c>
    </row>
    <row r="59" spans="1:4">
      <c r="A59">
        <f t="shared" si="3"/>
        <v>2.7499999999999982</v>
      </c>
      <c r="B59">
        <f t="shared" si="0"/>
        <v>7.6336247459679818E-2</v>
      </c>
      <c r="C59">
        <f t="shared" si="1"/>
        <v>5.0936990812545491E-2</v>
      </c>
      <c r="D59">
        <f t="shared" si="2"/>
        <v>1.9958169417141604E-2</v>
      </c>
    </row>
    <row r="60" spans="1:4">
      <c r="A60">
        <f t="shared" si="3"/>
        <v>2.799999999999998</v>
      </c>
      <c r="B60">
        <f t="shared" si="0"/>
        <v>7.2812607917347713E-2</v>
      </c>
      <c r="C60">
        <f t="shared" si="1"/>
        <v>4.7297759173291404E-2</v>
      </c>
      <c r="D60">
        <f t="shared" si="2"/>
        <v>1.7748453824812133E-2</v>
      </c>
    </row>
    <row r="61" spans="1:4">
      <c r="A61">
        <f t="shared" si="3"/>
        <v>2.8499999999999979</v>
      </c>
      <c r="B61">
        <f t="shared" si="0"/>
        <v>6.9476695680035006E-2</v>
      </c>
      <c r="C61">
        <f t="shared" si="1"/>
        <v>4.3936743333216254E-2</v>
      </c>
      <c r="D61">
        <f t="shared" si="2"/>
        <v>1.579222158784966E-2</v>
      </c>
    </row>
    <row r="62" spans="1:4">
      <c r="A62">
        <f t="shared" si="3"/>
        <v>2.8999999999999977</v>
      </c>
      <c r="B62">
        <f t="shared" si="0"/>
        <v>6.631741567515613E-2</v>
      </c>
      <c r="C62">
        <f t="shared" si="1"/>
        <v>4.0831719620596528E-2</v>
      </c>
      <c r="D62">
        <f t="shared" si="2"/>
        <v>1.4059700529285143E-2</v>
      </c>
    </row>
    <row r="63" spans="1:4">
      <c r="A63">
        <f t="shared" si="3"/>
        <v>2.9499999999999975</v>
      </c>
      <c r="B63">
        <f t="shared" si="0"/>
        <v>6.3324370647774492E-2</v>
      </c>
      <c r="C63">
        <f t="shared" si="1"/>
        <v>3.7962260208019197E-2</v>
      </c>
      <c r="D63">
        <f t="shared" si="2"/>
        <v>1.2524643560925239E-2</v>
      </c>
    </row>
    <row r="64" spans="1:4">
      <c r="A64">
        <f t="shared" si="3"/>
        <v>2.9999999999999973</v>
      </c>
      <c r="B64">
        <f t="shared" si="0"/>
        <v>6.0487817214590643E-2</v>
      </c>
      <c r="C64">
        <f t="shared" si="1"/>
        <v>3.530959463123403E-2</v>
      </c>
      <c r="D64">
        <f t="shared" si="2"/>
        <v>1.1163917838534165E-2</v>
      </c>
    </row>
    <row r="65" spans="1:4">
      <c r="A65">
        <f t="shared" si="3"/>
        <v>3.0499999999999972</v>
      </c>
      <c r="B65">
        <f t="shared" si="0"/>
        <v>5.7798624317223227E-2</v>
      </c>
      <c r="C65">
        <f t="shared" si="1"/>
        <v>3.2856479977438811E-2</v>
      </c>
      <c r="D65">
        <f t="shared" si="2"/>
        <v>9.9571389770861732E-3</v>
      </c>
    </row>
    <row r="66" spans="1:4">
      <c r="A66">
        <f t="shared" si="3"/>
        <v>3.099999999999997</v>
      </c>
      <c r="B66">
        <f t="shared" si="0"/>
        <v>5.5248234034127583E-2</v>
      </c>
      <c r="C66">
        <f t="shared" si="1"/>
        <v>3.0587079673458962E-2</v>
      </c>
      <c r="D66">
        <f t="shared" si="2"/>
        <v>8.8863461905836615E-3</v>
      </c>
    </row>
    <row r="67" spans="1:4">
      <c r="A67">
        <f t="shared" si="3"/>
        <v>3.1499999999999968</v>
      </c>
      <c r="B67">
        <f t="shared" si="0"/>
        <v>5.282862468916362E-2</v>
      </c>
      <c r="C67">
        <f t="shared" si="1"/>
        <v>2.8486850675024919E-2</v>
      </c>
      <c r="D67">
        <f t="shared" si="2"/>
        <v>7.9357143802550687E-3</v>
      </c>
    </row>
    <row r="68" spans="1:4">
      <c r="A68">
        <f t="shared" si="3"/>
        <v>3.1999999999999966</v>
      </c>
      <c r="B68">
        <f t="shared" si="0"/>
        <v>5.0532276179458525E-2</v>
      </c>
      <c r="C68">
        <f t="shared" si="1"/>
        <v>2.654243876626072E-2</v>
      </c>
      <c r="D68">
        <f t="shared" si="2"/>
        <v>7.0912994175671793E-3</v>
      </c>
    </row>
    <row r="69" spans="1:4">
      <c r="A69">
        <f t="shared" si="3"/>
        <v>3.2499999999999964</v>
      </c>
      <c r="B69">
        <f t="shared" ref="B69:B84" si="4">_xlfn.F.DIST(A69,5,8,FALSE)</f>
        <v>4.8352137434582866E-2</v>
      </c>
      <c r="C69">
        <f t="shared" ref="C69:C84" si="5">_xlfn.F.DIST(A69,10,15,FALSE)</f>
        <v>2.4741581615506228E-2</v>
      </c>
      <c r="D69">
        <f t="shared" ref="D69:D84" si="6">_xlfn.F.DIST(A69,20,25,FALSE)</f>
        <v>6.3408131277221114E-3</v>
      </c>
    </row>
    <row r="70" spans="1:4">
      <c r="A70">
        <f t="shared" ref="A70:A84" si="7">A69+0.05</f>
        <v>3.2999999999999963</v>
      </c>
      <c r="B70">
        <f t="shared" si="4"/>
        <v>4.6281595912170945E-2</v>
      </c>
      <c r="C70">
        <f t="shared" si="5"/>
        <v>2.3073019193208946E-2</v>
      </c>
      <c r="D70">
        <f t="shared" si="6"/>
        <v>5.6734247559282209E-3</v>
      </c>
    </row>
    <row r="71" spans="1:4">
      <c r="A71">
        <f t="shared" si="7"/>
        <v>3.3499999999999961</v>
      </c>
      <c r="B71">
        <f t="shared" si="4"/>
        <v>4.4314449031150741E-2</v>
      </c>
      <c r="C71">
        <f t="shared" si="5"/>
        <v>2.1526411134630021E-2</v>
      </c>
      <c r="D71">
        <f t="shared" si="6"/>
        <v>5.0795859791146741E-3</v>
      </c>
    </row>
    <row r="72" spans="1:4">
      <c r="A72">
        <f t="shared" si="7"/>
        <v>3.3999999999999959</v>
      </c>
      <c r="B72">
        <f t="shared" si="4"/>
        <v>4.2444877442057792E-2</v>
      </c>
      <c r="C72">
        <f t="shared" si="5"/>
        <v>2.0092260620377712E-2</v>
      </c>
      <c r="D72">
        <f t="shared" si="6"/>
        <v>4.5508768005531287E-3</v>
      </c>
    </row>
    <row r="73" spans="1:4">
      <c r="A73">
        <f t="shared" si="7"/>
        <v>3.4499999999999957</v>
      </c>
      <c r="B73">
        <f t="shared" si="4"/>
        <v>4.0667420033964473E-2</v>
      </c>
      <c r="C73">
        <f t="shared" si="5"/>
        <v>1.8761844347997381E-2</v>
      </c>
      <c r="D73">
        <f t="shared" si="6"/>
        <v>4.079869927853268E-3</v>
      </c>
    </row>
    <row r="74" spans="1:4">
      <c r="A74">
        <f t="shared" si="7"/>
        <v>3.4999999999999956</v>
      </c>
      <c r="B74">
        <f t="shared" si="4"/>
        <v>3.8976950578938782E-2</v>
      </c>
      <c r="C74">
        <f t="shared" si="5"/>
        <v>1.7527148175414873E-2</v>
      </c>
      <c r="D74">
        <f t="shared" si="6"/>
        <v>3.6600114821637771E-3</v>
      </c>
    </row>
    <row r="75" spans="1:4">
      <c r="A75">
        <f t="shared" si="7"/>
        <v>3.5499999999999954</v>
      </c>
      <c r="B75">
        <f t="shared" si="4"/>
        <v>3.736865591731988E-2</v>
      </c>
      <c r="C75">
        <f t="shared" si="5"/>
        <v>1.6380808029877653E-2</v>
      </c>
      <c r="D75">
        <f t="shared" si="6"/>
        <v>3.2855161159730953E-3</v>
      </c>
    </row>
    <row r="76" spans="1:4">
      <c r="A76">
        <f t="shared" si="7"/>
        <v>3.5999999999999952</v>
      </c>
      <c r="B76">
        <f t="shared" si="4"/>
        <v>3.5838015590183597E-2</v>
      </c>
      <c r="C76">
        <f t="shared" si="5"/>
        <v>1.5316055692567058E-2</v>
      </c>
      <c r="D76">
        <f t="shared" si="6"/>
        <v>2.9512748277320693E-3</v>
      </c>
    </row>
    <row r="77" spans="1:4">
      <c r="A77">
        <f t="shared" si="7"/>
        <v>3.649999999999995</v>
      </c>
      <c r="B77">
        <f t="shared" si="4"/>
        <v>3.4380782828970079E-2</v>
      </c>
      <c r="C77">
        <f t="shared" si="5"/>
        <v>1.4326669088001488E-2</v>
      </c>
      <c r="D77">
        <f t="shared" si="6"/>
        <v>2.6527739535270353E-3</v>
      </c>
    </row>
    <row r="78" spans="1:4">
      <c r="A78">
        <f t="shared" si="7"/>
        <v>3.6999999999999948</v>
      </c>
      <c r="B78">
        <f t="shared" si="4"/>
        <v>3.2992966816170394E-2</v>
      </c>
      <c r="C78">
        <f t="shared" si="5"/>
        <v>1.3406926727756585E-2</v>
      </c>
      <c r="D78">
        <f t="shared" si="6"/>
        <v>2.3860239897115182E-3</v>
      </c>
    </row>
    <row r="79" spans="1:4">
      <c r="A79">
        <f t="shared" si="7"/>
        <v>3.7499999999999947</v>
      </c>
      <c r="B79">
        <f t="shared" si="4"/>
        <v>3.1670816135101101E-2</v>
      </c>
      <c r="C79">
        <f t="shared" si="5"/>
        <v>1.2551565979145151E-2</v>
      </c>
      <c r="D79">
        <f t="shared" si="6"/>
        <v>2.1474970566341769E-3</v>
      </c>
    </row>
    <row r="80" spans="1:4">
      <c r="A80">
        <f t="shared" si="7"/>
        <v>3.7999999999999945</v>
      </c>
      <c r="B80">
        <f t="shared" si="4"/>
        <v>3.0410803331023362E-2</v>
      </c>
      <c r="C80">
        <f t="shared" si="5"/>
        <v>1.1755744850778623E-2</v>
      </c>
      <c r="D80">
        <f t="shared" si="6"/>
        <v>1.9340719534819615E-3</v>
      </c>
    </row>
    <row r="81" spans="1:4">
      <c r="A81">
        <f t="shared" si="7"/>
        <v>3.8499999999999943</v>
      </c>
      <c r="B81">
        <f t="shared" si="4"/>
        <v>2.9209610510107935E-2</v>
      </c>
      <c r="C81">
        <f t="shared" si="5"/>
        <v>1.101500700795088E-2</v>
      </c>
      <c r="D81">
        <f t="shared" si="6"/>
        <v>1.7429858790183961E-3</v>
      </c>
    </row>
    <row r="82" spans="1:4">
      <c r="A82">
        <f t="shared" si="7"/>
        <v>3.8999999999999941</v>
      </c>
      <c r="B82">
        <f t="shared" si="4"/>
        <v>2.8064115906948052E-2</v>
      </c>
      <c r="C82">
        <f t="shared" si="5"/>
        <v>1.0325249751250933E-2</v>
      </c>
      <c r="D82">
        <f t="shared" si="6"/>
        <v>1.571792003910802E-3</v>
      </c>
    </row>
    <row r="83" spans="1:4">
      <c r="A83">
        <f t="shared" si="7"/>
        <v>3.949999999999994</v>
      </c>
      <c r="B83">
        <f t="shared" si="4"/>
        <v>2.6971381355434868E-2</v>
      </c>
      <c r="C83">
        <f t="shared" si="5"/>
        <v>9.6826947115049213E-3</v>
      </c>
      <c r="D83">
        <f t="shared" si="6"/>
        <v>1.4183221786742775E-3</v>
      </c>
    </row>
    <row r="84" spans="1:4">
      <c r="A84">
        <f t="shared" si="7"/>
        <v>3.9999999999999938</v>
      </c>
      <c r="B84">
        <f t="shared" si="4"/>
        <v>2.5928640601796518E-2</v>
      </c>
      <c r="C84">
        <f t="shared" si="5"/>
        <v>9.0838610329325217E-3</v>
      </c>
      <c r="D84">
        <f t="shared" si="6"/>
        <v>1.2806541482392542E-3</v>
      </c>
    </row>
  </sheetData>
  <mergeCells count="1">
    <mergeCell ref="B2:D2"/>
  </mergeCells>
  <phoneticPr fontId="6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E42C-22CD-4F70-BF8F-0A850661136C}">
  <dimension ref="A1:F23"/>
  <sheetViews>
    <sheetView topLeftCell="A10" workbookViewId="0"/>
  </sheetViews>
  <sheetFormatPr defaultColWidth="9" defaultRowHeight="13.5"/>
  <cols>
    <col min="1" max="1" width="9" style="10"/>
    <col min="2" max="2" width="12.375" style="10" bestFit="1" customWidth="1"/>
    <col min="3" max="3" width="8.125" style="10" bestFit="1" customWidth="1"/>
    <col min="4" max="4" width="9" style="10" bestFit="1" customWidth="1"/>
    <col min="5" max="5" width="12.125" style="10" bestFit="1" customWidth="1"/>
    <col min="6" max="6" width="7.125" style="10" bestFit="1" customWidth="1"/>
    <col min="7" max="7" width="12.625" style="10" bestFit="1" customWidth="1"/>
    <col min="8" max="16384" width="9" style="10"/>
  </cols>
  <sheetData>
    <row r="1" spans="1:6">
      <c r="A1" s="19" t="s">
        <v>80</v>
      </c>
    </row>
    <row r="2" spans="1:6">
      <c r="A2" s="65" t="s">
        <v>4</v>
      </c>
      <c r="B2" s="65" t="s">
        <v>19</v>
      </c>
      <c r="C2" s="65" t="s">
        <v>20</v>
      </c>
      <c r="D2" s="65" t="s">
        <v>4</v>
      </c>
      <c r="E2" s="65" t="s">
        <v>19</v>
      </c>
      <c r="F2" s="65" t="s">
        <v>20</v>
      </c>
    </row>
    <row r="3" spans="1:6">
      <c r="A3" s="66">
        <v>43800</v>
      </c>
      <c r="B3" s="67">
        <v>23656.619140999999</v>
      </c>
      <c r="C3" s="67"/>
      <c r="D3" s="66">
        <v>44166</v>
      </c>
      <c r="E3" s="67">
        <v>27444.169922000001</v>
      </c>
      <c r="F3" s="68"/>
    </row>
    <row r="4" spans="1:6">
      <c r="A4" s="66">
        <v>43831</v>
      </c>
      <c r="B4" s="67">
        <v>23205.179688</v>
      </c>
      <c r="C4" s="68">
        <f>(B4-B3)/B3</f>
        <v>-1.9083008028716823E-2</v>
      </c>
      <c r="D4" s="66">
        <v>44197</v>
      </c>
      <c r="E4" s="67">
        <v>27663.390625</v>
      </c>
      <c r="F4" s="68">
        <f>(E4-E3)/E3</f>
        <v>7.9878787962271609E-3</v>
      </c>
    </row>
    <row r="5" spans="1:6">
      <c r="A5" s="66">
        <v>43862</v>
      </c>
      <c r="B5" s="67">
        <v>21142.960938</v>
      </c>
      <c r="C5" s="68">
        <f t="shared" ref="C5:C15" si="0">(B5-B4)/B4</f>
        <v>-8.8868898139428193E-2</v>
      </c>
      <c r="D5" s="66">
        <v>44228</v>
      </c>
      <c r="E5" s="69">
        <v>28966.009765999999</v>
      </c>
      <c r="F5" s="68">
        <f t="shared" ref="F5:F15" si="1">(E5-E4)/E4</f>
        <v>4.7088195321320962E-2</v>
      </c>
    </row>
    <row r="6" spans="1:6">
      <c r="A6" s="66">
        <v>43891</v>
      </c>
      <c r="B6" s="67">
        <v>18917.009765999999</v>
      </c>
      <c r="C6" s="68">
        <f t="shared" si="0"/>
        <v>-0.10528095750294485</v>
      </c>
      <c r="D6" s="66">
        <v>44256</v>
      </c>
      <c r="E6" s="69">
        <v>29178.800781000002</v>
      </c>
      <c r="F6" s="68">
        <f t="shared" si="1"/>
        <v>7.3462315561936458E-3</v>
      </c>
    </row>
    <row r="7" spans="1:6">
      <c r="A7" s="66">
        <v>43922</v>
      </c>
      <c r="B7" s="67">
        <v>20193.689452999999</v>
      </c>
      <c r="C7" s="68">
        <f t="shared" si="0"/>
        <v>6.7488451018014872E-2</v>
      </c>
      <c r="D7" s="66">
        <v>44287</v>
      </c>
      <c r="E7" s="69">
        <v>28812.630859000001</v>
      </c>
      <c r="F7" s="68">
        <f t="shared" si="1"/>
        <v>-1.254917653224581E-2</v>
      </c>
    </row>
    <row r="8" spans="1:6">
      <c r="A8" s="66">
        <v>43952</v>
      </c>
      <c r="B8" s="67">
        <v>21877.890625</v>
      </c>
      <c r="C8" s="68">
        <f t="shared" si="0"/>
        <v>8.3402350814590451E-2</v>
      </c>
      <c r="D8" s="66">
        <v>44317</v>
      </c>
      <c r="E8" s="69">
        <v>28860.080077999999</v>
      </c>
      <c r="F8" s="68">
        <f t="shared" si="1"/>
        <v>1.646820078048405E-3</v>
      </c>
    </row>
    <row r="9" spans="1:6">
      <c r="A9" s="66">
        <v>43983</v>
      </c>
      <c r="B9" s="67">
        <v>22288.140625</v>
      </c>
      <c r="C9" s="68">
        <f t="shared" si="0"/>
        <v>1.8751807796826846E-2</v>
      </c>
      <c r="D9" s="66">
        <v>44348</v>
      </c>
      <c r="E9" s="69">
        <v>28791.529297000001</v>
      </c>
      <c r="F9" s="68">
        <f t="shared" si="1"/>
        <v>-2.3752803462334902E-3</v>
      </c>
    </row>
    <row r="10" spans="1:6">
      <c r="A10" s="66">
        <v>44013</v>
      </c>
      <c r="B10" s="67">
        <v>21710</v>
      </c>
      <c r="C10" s="68">
        <f t="shared" si="0"/>
        <v>-2.59393834024681E-2</v>
      </c>
      <c r="D10" s="66">
        <v>44378</v>
      </c>
      <c r="E10" s="69">
        <v>27283.589843999998</v>
      </c>
      <c r="F10" s="68">
        <f t="shared" si="1"/>
        <v>-5.2374413232614422E-2</v>
      </c>
    </row>
    <row r="11" spans="1:6">
      <c r="A11" s="66">
        <v>44044</v>
      </c>
      <c r="B11" s="67">
        <v>23139.759765999999</v>
      </c>
      <c r="C11" s="68">
        <f t="shared" si="0"/>
        <v>6.585719788116072E-2</v>
      </c>
      <c r="D11" s="66">
        <v>44409</v>
      </c>
      <c r="E11" s="69">
        <v>28089.539063</v>
      </c>
      <c r="F11" s="68">
        <f t="shared" si="1"/>
        <v>2.9539705867453515E-2</v>
      </c>
    </row>
    <row r="12" spans="1:6">
      <c r="A12" s="66">
        <v>44075</v>
      </c>
      <c r="B12" s="67">
        <v>23185.119140999999</v>
      </c>
      <c r="C12" s="68">
        <f t="shared" si="0"/>
        <v>1.9602353463776235E-3</v>
      </c>
      <c r="D12" s="66">
        <v>44440</v>
      </c>
      <c r="E12" s="69">
        <v>29452.660156000002</v>
      </c>
      <c r="F12" s="68">
        <f t="shared" si="1"/>
        <v>4.8527713108526119E-2</v>
      </c>
    </row>
    <row r="13" spans="1:6">
      <c r="A13" s="66">
        <v>44105</v>
      </c>
      <c r="B13" s="67">
        <v>22977.130859000001</v>
      </c>
      <c r="C13" s="68">
        <f t="shared" si="0"/>
        <v>-8.9707661511299729E-3</v>
      </c>
      <c r="D13" s="66">
        <v>44470</v>
      </c>
      <c r="E13" s="69">
        <v>28892.689452999999</v>
      </c>
      <c r="F13" s="68">
        <f t="shared" si="1"/>
        <v>-1.9012567966154571E-2</v>
      </c>
    </row>
    <row r="14" spans="1:6">
      <c r="A14" s="66">
        <v>44136</v>
      </c>
      <c r="B14" s="67">
        <v>26433.619140999999</v>
      </c>
      <c r="C14" s="68">
        <f t="shared" si="0"/>
        <v>0.15043167500811414</v>
      </c>
      <c r="D14" s="66">
        <v>44501</v>
      </c>
      <c r="E14" s="69">
        <v>27821.759765999999</v>
      </c>
      <c r="F14" s="68">
        <f t="shared" si="1"/>
        <v>-3.7065766713828802E-2</v>
      </c>
    </row>
    <row r="15" spans="1:6">
      <c r="A15" s="66">
        <v>44166</v>
      </c>
      <c r="B15" s="67">
        <v>27444.169922000001</v>
      </c>
      <c r="C15" s="68">
        <f t="shared" si="0"/>
        <v>3.8229754904525418E-2</v>
      </c>
      <c r="D15" s="66">
        <v>44531</v>
      </c>
      <c r="E15" s="69">
        <v>28791.710938</v>
      </c>
      <c r="F15" s="68">
        <f t="shared" si="1"/>
        <v>3.4863041739916986E-2</v>
      </c>
    </row>
    <row r="16" spans="1:6">
      <c r="B16" s="16"/>
      <c r="C16" s="15"/>
      <c r="D16" s="13"/>
      <c r="E16" s="16"/>
      <c r="F16" s="15"/>
    </row>
    <row r="17" spans="1:6">
      <c r="A17" s="13" t="s">
        <v>90</v>
      </c>
      <c r="B17" s="16" t="s">
        <v>21</v>
      </c>
      <c r="C17" s="15">
        <f>_xlfn.VAR.S(C4:C15)*10000</f>
        <v>52.503676056232301</v>
      </c>
      <c r="D17" s="25" t="s">
        <v>91</v>
      </c>
      <c r="E17" s="16" t="s">
        <v>21</v>
      </c>
      <c r="F17" s="15">
        <f>_xlfn.VAR.S(F4:F15)*10000</f>
        <v>10.166078869894546</v>
      </c>
    </row>
    <row r="18" spans="1:6">
      <c r="B18" s="16" t="s">
        <v>29</v>
      </c>
      <c r="C18" s="20">
        <v>12</v>
      </c>
      <c r="E18" s="16" t="s">
        <v>29</v>
      </c>
      <c r="F18" s="20">
        <v>12</v>
      </c>
    </row>
    <row r="19" spans="1:6">
      <c r="B19" s="17"/>
      <c r="C19" s="22"/>
    </row>
    <row r="20" spans="1:6">
      <c r="B20" s="17" t="s">
        <v>22</v>
      </c>
      <c r="C20" s="22">
        <f>F17/C17</f>
        <v>0.1936260398035084</v>
      </c>
    </row>
    <row r="21" spans="1:6" ht="52.9">
      <c r="B21" s="23" t="s">
        <v>52</v>
      </c>
      <c r="C21" s="22">
        <f>_xlfn.F.INV(5%,11,11)</f>
        <v>0.35487035988387877</v>
      </c>
    </row>
    <row r="22" spans="1:6" ht="17.649999999999999">
      <c r="B22" s="24" t="s">
        <v>33</v>
      </c>
      <c r="C22" s="14">
        <f>_xlfn.F.DIST(C20,11,11,1)</f>
        <v>5.6340376759094401E-3</v>
      </c>
    </row>
    <row r="23" spans="1:6">
      <c r="B23" s="1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問6.1</vt:lpstr>
      <vt:lpstr>問6.2</vt:lpstr>
      <vt:lpstr>問6.3</vt:lpstr>
      <vt:lpstr>問6.4</vt:lpstr>
      <vt:lpstr>問6.5</vt:lpstr>
      <vt:lpstr>問6.6</vt:lpstr>
      <vt:lpstr>問6.7</vt:lpstr>
      <vt:lpstr>問6.8</vt:lpstr>
      <vt:lpstr>問6.10</vt:lpstr>
      <vt:lpstr>問6.12</vt:lpstr>
      <vt:lpstr>問6.13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Iwaki</dc:creator>
  <cp:lastModifiedBy>Hideki Iwaki</cp:lastModifiedBy>
  <cp:revision>1</cp:revision>
  <dcterms:created xsi:type="dcterms:W3CDTF">2022-08-11T06:30:37Z</dcterms:created>
  <dcterms:modified xsi:type="dcterms:W3CDTF">2022-08-29T06:10:42Z</dcterms:modified>
</cp:coreProperties>
</file>